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FDI_FICHIERS\Zensolutions$\doc\25\027\Z009O173\"/>
    </mc:Choice>
  </mc:AlternateContent>
  <xr:revisionPtr revIDLastSave="0" documentId="13_ncr:1_{C054791B-0121-47FD-A203-7346B19FB30A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  <c r="B180" i="1" l="1"/>
  <c r="D180" i="1" s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54" i="1"/>
  <c r="D154" i="1" s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28" i="1"/>
  <c r="D128" i="1" s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02" i="1"/>
  <c r="D102" i="1" s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D4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AN50" i="2" l="1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<sst xmlns="http://schemas.openxmlformats.org/spreadsheetml/2006/main" count="1189" uniqueCount="330">
  <si>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</si>
  <si>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</si>
  <si>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</si>
  <si>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</si>
  <si>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</si>
  <si>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</si>
  <si>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</si>
  <si>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</si>
  <si>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</si>
  <si>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</si>
  <si>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</si>
  <si>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</si>
  <si>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</si>
  <si>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</si>
  <si>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</si>
  <si>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</si>
  <si>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</si>
  <si>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</si>
  <si>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</si>
  <si>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</si>
  <si>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</si>
  <si>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</si>
  <si>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</si>
  <si>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</si>
  <si>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</si>
  <si>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</si>
  <si>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</si>
  <si>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</si>
  <si>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</si>
  <si>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</si>
  <si>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</si>
  <si>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</si>
  <si>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</si>
  <si>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</si>
  <si>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</si>
  <si>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</si>
  <si>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</si>
  <si>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</si>
  <si>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</si>
  <si>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</si>
  <si>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</si>
  <si>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</si>
  <si>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</si>
  <si>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</si>
  <si>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</si>
  <si>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</si>
  <si>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</si>
  <si>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</si>
  <si>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</si>
  <si>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</si>
  <si>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</si>
  <si>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</si>
  <si>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</si>
  <si>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</si>
  <si>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</si>
  <si>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</si>
  <si>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</si>
  <si>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</si>
  <si>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</si>
  <si>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</si>
  <si>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</si>
  <si>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</si>
  <si>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</si>
  <si>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</si>
  <si>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</si>
  <si>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</si>
  <si>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</si>
  <si>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</si>
  <si>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</si>
  <si>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</si>
  <si>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</si>
  <si>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</si>
  <si>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</si>
  <si>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</si>
  <si>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</si>
  <si>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</si>
  <si>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</si>
  <si>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</si>
  <si>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</si>
  <si>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</si>
  <si>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</si>
  <si>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</si>
  <si>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</si>
  <si>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</si>
  <si>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</si>
  <si>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</si>
  <si>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</si>
  <si>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</si>
  <si>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</si>
  <si>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</si>
  <si>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</si>
  <si>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</si>
  <si>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</si>
  <si>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</si>
  <si>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</si>
  <si>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</si>
  <si>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</si>
  <si>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</si>
  <si>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</si>
  <si>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</si>
  <si>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</si>
  <si>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</si>
  <si>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</si>
  <si>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</si>
  <si>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</si>
  <si>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</si>
  <si>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</si>
  <si>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</si>
  <si>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</si>
  <si>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</si>
  <si>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</si>
  <si>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</si>
  <si>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</si>
  <si>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</si>
  <si>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</si>
  <si>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</si>
  <si>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</si>
  <si>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</si>
  <si>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</si>
  <si>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</si>
  <si>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</si>
  <si>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</si>
  <si>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</si>
  <si>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</si>
  <si>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</si>
  <si>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</si>
  <si>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</si>
  <si>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</si>
  <si>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</si>
  <si>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</si>
  <si>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</si>
  <si>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</si>
  <si>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</si>
  <si>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</si>
  <si>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</si>
  <si>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</si>
  <si>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</si>
  <si>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</si>
  <si>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</si>
  <si>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</si>
  <si>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</si>
  <si>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</si>
  <si>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</si>
  <si>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</si>
  <si>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</si>
  <si>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</si>
  <si>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</si>
  <si>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</si>
  <si>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</si>
  <si>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</si>
  <si>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</si>
  <si>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</si>
  <si>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</si>
  <si>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</si>
  <si>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</si>
  <si>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</si>
  <si>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</si>
  <si>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</si>
  <si>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</si>
  <si>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</si>
  <si>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</si>
  <si>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</si>
  <si>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</si>
  <si>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</si>
  <si>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</si>
  <si>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</si>
  <si>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</si>
  <si>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</si>
  <si>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</si>
  <si>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</si>
  <si>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</si>
  <si>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</si>
  <si>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</si>
  <si>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</si>
  <si>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</si>
  <si>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</si>
  <si>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</si>
  <si>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</si>
  <si>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</si>
  <si>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</si>
  <si>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</si>
  <si>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</si>
  <si>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</si>
  <si>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</si>
  <si>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</si>
  <si>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</si>
  <si>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</si>
  <si>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</si>
  <si>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</si>
  <si>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</si>
  <si>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</si>
  <si>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</si>
  <si>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</si>
  <si>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</si>
  <si>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</si>
  <si>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</si>
  <si>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</si>
  <si>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</si>
  <si>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</si>
  <si>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</si>
  <si>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</si>
  <si>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</si>
  <si>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</si>
  <si>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</si>
  <si>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</si>
  <si>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</si>
  <si>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</si>
  <si>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</si>
  <si>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</si>
  <si>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</si>
  <si>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</si>
  <si>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</si>
  <si>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</si>
  <si>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</si>
  <si>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</si>
  <si>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</si>
  <si>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</si>
  <si>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</si>
  <si>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</si>
  <si>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</si>
  <si>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</si>
  <si>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</si>
  <si>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</si>
  <si>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</si>
  <si>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</si>
  <si>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</si>
  <si>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</si>
  <si>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</si>
  <si>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</si>
  <si>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</si>
  <si>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</si>
  <si>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</si>
  <si>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</si>
  <si>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</si>
  <si>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</si>
  <si>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</si>
  <si>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</si>
  <si>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</si>
  <si>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</si>
  <si>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</si>
  <si>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</si>
  <si>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</si>
  <si>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</si>
  <si>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</si>
  <si>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</si>
  <si>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</si>
  <si>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</si>
  <si>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</si>
  <si>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</si>
  <si>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</si>
  <si>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</si>
  <si>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</si>
  <si>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</si>
  <si>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</si>
  <si>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</si>
  <si>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</si>
  <si>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</si>
  <si>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</si>
  <si>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</si>
  <si>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</si>
  <si>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</si>
  <si>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</si>
  <si>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</si>
  <si>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</si>
  <si>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</si>
  <si>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</si>
  <si>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</si>
  <si>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</si>
  <si>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</si>
  <si>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</si>
  <si>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</si>
  <si>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</si>
  <si>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</si>
  <si>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</si>
  <si>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</si>
  <si>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</si>
  <si>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</si>
  <si>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</si>
  <si>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</si>
  <si>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</si>
  <si>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</si>
  <si>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</si>
  <si>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</si>
  <si>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</si>
  <si>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</si>
  <si>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</si>
  <si>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</si>
  <si>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</si>
  <si>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</si>
  <si>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</si>
  <si>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</si>
  <si>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</si>
  <si>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</si>
  <si>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</si>
  <si>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</si>
  <si>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</si>
  <si>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</si>
  <si>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</si>
  <si>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</si>
  <si>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</si>
  <si>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</si>
  <si>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</si>
  <si>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</si>
  <si>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</si>
  <si>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</si>
  <si>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</si>
  <si>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</si>
  <si>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</si>
  <si>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</si>
  <si>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</si>
  <si>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</si>
  <si>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</si>
  <si>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</si>
  <si>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</si>
  <si>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</si>
  <si>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</si>
  <si>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</si>
  <si>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</si>
  <si>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</si>
  <si>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</si>
  <si>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</si>
  <si>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</si>
  <si>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</si>
  <si>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</si>
  <si>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Pommier Sauvage</t>
  </si>
  <si>
    <t>Poirier sauvage</t>
  </si>
  <si>
    <t>CR</t>
  </si>
  <si>
    <t>Orme hybride</t>
  </si>
  <si>
    <t>Poirier Sauvage</t>
  </si>
  <si>
    <t>Pommier sauvage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</si>
</sst>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8.8044025208429719</c:v>
                </c:pt>
                <c:pt idx="2">
                  <c:v>17.221089273204196</c:v>
                </c:pt>
                <c:pt idx="3">
                  <c:v>25.512563294459923</c:v>
                </c:pt>
                <c:pt idx="4">
                  <c:v>33.726853274883347</c:v>
                </c:pt>
                <c:pt idx="5">
                  <c:v>41.885727391390851</c:v>
                </c:pt>
                <c:pt idx="6">
                  <c:v>50.00160312094232</c:v>
                </c:pt>
                <c:pt idx="7">
                  <c:v>58.082485530805052</c:v>
                </c:pt>
                <c:pt idx="8">
                  <c:v>66.133950466370564</c:v>
                </c:pt>
                <c:pt idx="9">
                  <c:v>74.160096244932106</c:v>
                </c:pt>
                <c:pt idx="10">
                  <c:v>82.164057018091427</c:v>
                </c:pt>
                <c:pt idx="11">
                  <c:v>90.148303834134651</c:v>
                </c:pt>
                <c:pt idx="12">
                  <c:v>98.114832690532054</c:v>
                </c:pt>
                <c:pt idx="13">
                  <c:v>106.06528794847596</c:v>
                </c:pt>
                <c:pt idx="14">
                  <c:v>114.0010466196989</c:v>
                </c:pt>
                <c:pt idx="15">
                  <c:v>121.9232778531174</c:v>
                </c:pt>
                <c:pt idx="16">
                  <c:v>129.83298609190561</c:v>
                </c:pt>
                <c:pt idx="17">
                  <c:v>137.73104312742694</c:v>
                </c:pt>
                <c:pt idx="18">
                  <c:v>145.61821239345747</c:v>
                </c:pt>
                <c:pt idx="19">
                  <c:v>153.49516770691636</c:v>
                </c:pt>
                <c:pt idx="20">
                  <c:v>161.362507950626</c:v>
                </c:pt>
                <c:pt idx="21">
                  <c:v>169.22076873606747</c:v>
                </c:pt>
                <c:pt idx="22">
                  <c:v>177.07043178171759</c:v>
                </c:pt>
                <c:pt idx="23">
                  <c:v>184.91193253803269</c:v>
                </c:pt>
                <c:pt idx="24">
                  <c:v>192.74566644892982</c:v>
                </c:pt>
                <c:pt idx="25">
                  <c:v>200.57199414028256</c:v>
                </c:pt>
                <c:pt idx="26">
                  <c:v>208.39124575488827</c:v>
                </c:pt>
                <c:pt idx="27">
                  <c:v>216.20372460175972</c:v>
                </c:pt>
                <c:pt idx="28">
                  <c:v>224.00971024958213</c:v>
                </c:pt>
                <c:pt idx="29">
                  <c:v>231.8094611658297</c:v>
                </c:pt>
                <c:pt idx="30">
                  <c:v>239.60321698163875</c:v>
                </c:pt>
                <c:pt idx="31">
                  <c:v>247.39120044621509</c:v>
                </c:pt>
                <c:pt idx="32">
                  <c:v>255.17361912197524</c:v>
                </c:pt>
                <c:pt idx="33">
                  <c:v>262.95066686184327</c:v>
                </c:pt>
                <c:pt idx="34">
                  <c:v>270.72252510244931</c:v>
                </c:pt>
                <c:pt idx="35">
                  <c:v>278.48936400091264</c:v>
                </c:pt>
                <c:pt idx="36">
                  <c:v>286.25134343805456</c:v>
                </c:pt>
                <c:pt idx="37">
                  <c:v>237.4118159146411</c:v>
                </c:pt>
                <c:pt idx="38">
                  <c:v>256.63221905446113</c:v>
                </c:pt>
                <c:pt idx="39">
                  <c:v>275.82006911547222</c:v>
                </c:pt>
                <c:pt idx="40">
                  <c:v>294.97794877206235</c:v>
                </c:pt>
                <c:pt idx="41">
                  <c:v>314.10807777988271</c:v>
                </c:pt>
                <c:pt idx="42">
                  <c:v>333.21238343704948</c:v>
                </c:pt>
                <c:pt idx="43">
                  <c:v>352.29255402604258</c:v>
                </c:pt>
                <c:pt idx="44">
                  <c:v>371.35008006494377</c:v>
                </c:pt>
                <c:pt idx="45">
                  <c:v>304.18312189352014</c:v>
                </c:pt>
                <c:pt idx="46">
                  <c:v>325.96051291867633</c:v>
                </c:pt>
                <c:pt idx="47">
                  <c:v>347.70577372743418</c:v>
                </c:pt>
                <c:pt idx="48">
                  <c:v>369.42119511414558</c:v>
                </c:pt>
                <c:pt idx="49">
                  <c:v>391.10877666986568</c:v>
                </c:pt>
                <c:pt idx="50">
                  <c:v>412.77027822799613</c:v>
                </c:pt>
                <c:pt idx="51">
                  <c:v>434.40725994376595</c:v>
                </c:pt>
                <c:pt idx="52">
                  <c:v>456.02111397099435</c:v>
                </c:pt>
                <c:pt idx="53">
                  <c:v>354.223437181012</c:v>
                </c:pt>
                <c:pt idx="54">
                  <c:v>373.76087912744418</c:v>
                </c:pt>
                <c:pt idx="55">
                  <c:v>393.27607323395705</c:v>
                </c:pt>
                <c:pt idx="56">
                  <c:v>412.77027822799613</c:v>
                </c:pt>
                <c:pt idx="57">
                  <c:v>432.24462429583883</c:v>
                </c:pt>
                <c:pt idx="58">
                  <c:v>451.70013152794922</c:v>
                </c:pt>
                <c:pt idx="59">
                  <c:v>471.13772502101688</c:v>
                </c:pt>
                <c:pt idx="60">
                  <c:v>490.55824735832431</c:v>
                </c:pt>
                <c:pt idx="61">
                  <c:v>403.46694653037821</c:v>
                </c:pt>
                <c:pt idx="62">
                  <c:v>420.14556032232667</c:v>
                </c:pt>
                <c:pt idx="63">
                  <c:v>436.80991738516144</c:v>
                </c:pt>
                <c:pt idx="64">
                  <c:v>453.46063798380879</c:v>
                </c:pt>
                <c:pt idx="65">
                  <c:v>470.09829313332119</c:v>
                </c:pt>
                <c:pt idx="66">
                  <c:v>486.72341015001916</c:v>
                </c:pt>
                <c:pt idx="67">
                  <c:v>503.33647740486361</c:v>
                </c:pt>
                <c:pt idx="68">
                  <c:v>519.93794841677959</c:v>
                </c:pt>
                <c:pt idx="69">
                  <c:v>536.52824539615131</c:v>
                </c:pt>
                <c:pt idx="70">
                  <c:v>454.31416423194418</c:v>
                </c:pt>
                <c:pt idx="71">
                  <c:v>469.88507028774637</c:v>
                </c:pt>
                <c:pt idx="72">
                  <c:v>485.44498879797311</c:v>
                </c:pt>
                <c:pt idx="73">
                  <c:v>500.99432141253783</c:v>
                </c:pt>
                <c:pt idx="74">
                  <c:v>516.53344282577962</c:v>
                </c:pt>
                <c:pt idx="75">
                  <c:v>532.06270335879174</c:v>
                </c:pt>
                <c:pt idx="76">
                  <c:v>547.58243122468434</c:v>
                </c:pt>
                <c:pt idx="77">
                  <c:v>563.09293452377176</c:v>
                </c:pt>
                <c:pt idx="78">
                  <c:v>578.5945030075876</c:v>
                </c:pt>
                <c:pt idx="79">
                  <c:v>499.71668415449676</c:v>
                </c:pt>
                <c:pt idx="80">
                  <c:v>514.61820052476094</c:v>
                </c:pt>
                <c:pt idx="81">
                  <c:v>529.51061140708282</c:v>
                </c:pt>
                <c:pt idx="82">
                  <c:v>544.39420886236155</c:v>
                </c:pt>
                <c:pt idx="83">
                  <c:v>559.2692676862448</c:v>
                </c:pt>
                <c:pt idx="84">
                  <c:v>574.13604687135296</c:v>
                </c:pt>
                <c:pt idx="85">
                  <c:v>588.99479091023716</c:v>
                </c:pt>
                <c:pt idx="86">
                  <c:v>603.84573096007898</c:v>
                </c:pt>
                <c:pt idx="87">
                  <c:v>618.68908588691181</c:v>
                </c:pt>
                <c:pt idx="88">
                  <c:v>546.73227677798229</c:v>
                </c:pt>
                <c:pt idx="89">
                  <c:v>560.7563140447694</c:v>
                </c:pt>
                <c:pt idx="90">
                  <c:v>574.77301329675186</c:v>
                </c:pt>
                <c:pt idx="91">
                  <c:v>588.7825786199727</c:v>
                </c:pt>
                <c:pt idx="92">
                  <c:v>602.78520360071263</c:v>
                </c:pt>
                <c:pt idx="93">
                  <c:v>616.7810721021084</c:v>
                </c:pt>
                <c:pt idx="94">
                  <c:v>630.77035896665097</c:v>
                </c:pt>
                <c:pt idx="95">
                  <c:v>644.75323065315456</c:v>
                </c:pt>
                <c:pt idx="96">
                  <c:v>658.72984581562605</c:v>
                </c:pt>
                <c:pt idx="97">
                  <c:v>588.35814925949501</c:v>
                </c:pt>
                <c:pt idx="98">
                  <c:v>601.93675380071136</c:v>
                </c:pt>
                <c:pt idx="99">
                  <c:v>615.50899495391707</c:v>
                </c:pt>
                <c:pt idx="100">
                  <c:v>629.07503274134626</c:v>
                </c:pt>
                <c:pt idx="101">
                  <c:v>642.635019724024</c:v>
                </c:pt>
                <c:pt idx="102">
                  <c:v>656.18910150302543</c:v>
                </c:pt>
                <c:pt idx="103">
                  <c:v>669.73741717718713</c:v>
                </c:pt>
                <c:pt idx="104">
                  <c:v>683.28009976187866</c:v>
                </c:pt>
                <c:pt idx="105">
                  <c:v>696.81727657286763</c:v>
                </c:pt>
                <c:pt idx="106">
                  <c:v>628.22733419629901</c:v>
                </c:pt>
                <c:pt idx="107">
                  <c:v>641.57586023448323</c:v>
                </c:pt>
                <c:pt idx="108">
                  <c:v>654.91865339125661</c:v>
                </c:pt>
                <c:pt idx="109">
                  <c:v>668.25584686179866</c:v>
                </c:pt>
                <c:pt idx="110">
                  <c:v>681.58756809397516</c:v>
                </c:pt>
                <c:pt idx="111">
                  <c:v>694.91393914623495</c:v>
                </c:pt>
                <c:pt idx="112">
                  <c:v>708.2350770166446</c:v>
                </c:pt>
                <c:pt idx="113">
                  <c:v>721.55109394589601</c:v>
                </c:pt>
                <c:pt idx="114">
                  <c:v>734.86209769679965</c:v>
                </c:pt>
                <c:pt idx="115">
                  <c:v>666.13920061354315</c:v>
                </c:pt>
                <c:pt idx="116">
                  <c:v>679.26019614635629</c:v>
                </c:pt>
                <c:pt idx="117">
                  <c:v>692.37598973245292</c:v>
                </c:pt>
                <c:pt idx="118">
                  <c:v>705.48669374356086</c:v>
                </c:pt>
                <c:pt idx="119">
                  <c:v>718.59241603672206</c:v>
                </c:pt>
                <c:pt idx="120">
                  <c:v>731.6932602164178</c:v>
                </c:pt>
                <c:pt idx="121">
                  <c:v>744.78932587695897</c:v>
                </c:pt>
                <c:pt idx="122">
                  <c:v>757.88070882695445</c:v>
                </c:pt>
                <c:pt idx="123">
                  <c:v>770.96750129747295</c:v>
                </c:pt>
                <c:pt idx="124">
                  <c:v>706.33237341600227</c:v>
                </c:pt>
                <c:pt idx="125">
                  <c:v>719.6491152090033</c:v>
                </c:pt>
                <c:pt idx="126">
                  <c:v>732.96082869312124</c:v>
                </c:pt>
                <c:pt idx="127">
                  <c:v>746.2676179992435</c:v>
                </c:pt>
                <c:pt idx="128">
                  <c:v>759.5695832444593</c:v>
                </c:pt>
                <c:pt idx="129">
                  <c:v>772.86682075581473</c:v>
                </c:pt>
                <c:pt idx="130">
                  <c:v>786.15942327787707</c:v>
                </c:pt>
                <c:pt idx="131">
                  <c:v>799.44748016554638</c:v>
                </c:pt>
                <c:pt idx="132">
                  <c:v>812.7310775633897</c:v>
                </c:pt>
                <c:pt idx="133">
                  <c:v>746.47879772357555</c:v>
                </c:pt>
                <c:pt idx="134">
                  <c:v>759.99178993037003</c:v>
                </c:pt>
                <c:pt idx="135">
                  <c:v>773.49990620972676</c:v>
                </c:pt>
                <c:pt idx="136">
                  <c:v>787.00324364912785</c:v>
                </c:pt>
                <c:pt idx="137">
                  <c:v>800.50189573532555</c:v>
                </c:pt>
                <c:pt idx="138">
                  <c:v>813.9959525476055</c:v>
                </c:pt>
                <c:pt idx="139">
                  <c:v>827.48550093758092</c:v>
                </c:pt>
                <c:pt idx="140">
                  <c:v>840.97062469666037</c:v>
                </c:pt>
                <c:pt idx="141">
                  <c:v>854.45140471222987</c:v>
                </c:pt>
                <c:pt idx="142">
                  <c:v>782.52023774531926</c:v>
                </c:pt>
                <c:pt idx="143">
                  <c:v>795.96770927094894</c:v>
                </c:pt>
                <c:pt idx="144">
                  <c:v>809.41059169599203</c:v>
                </c:pt>
                <c:pt idx="145">
                  <c:v>822.84897191684365</c:v>
                </c:pt>
                <c:pt idx="146">
                  <c:v>836.28293376251315</c:v>
                </c:pt>
                <c:pt idx="147">
                  <c:v>849.71255815145241</c:v>
                </c:pt>
                <c:pt idx="148">
                  <c:v>863.13792323796235</c:v>
                </c:pt>
                <c:pt idx="149">
                  <c:v>876.55910454902858</c:v>
                </c:pt>
                <c:pt idx="150">
                  <c:v>889.97617511234773</c:v>
                </c:pt>
                <c:pt idx="151">
                  <c:v>903.38920557623862</c:v>
                </c:pt>
                <c:pt idx="152">
                  <c:v>916.79826432207267</c:v>
                </c:pt>
                <c:pt idx="153">
                  <c:v>930.20341756978689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9.8300743723308273</c:v>
                </c:pt>
                <c:pt idx="2">
                  <c:v>19.231364587020316</c:v>
                </c:pt>
                <c:pt idx="3">
                  <c:v>28.494179042409929</c:v>
                </c:pt>
                <c:pt idx="4">
                  <c:v>37.671633817791609</c:v>
                </c:pt>
                <c:pt idx="5">
                  <c:v>46.787802861560664</c:v>
                </c:pt>
                <c:pt idx="6">
                  <c:v>55.85641895899721</c:v>
                </c:pt>
                <c:pt idx="7">
                  <c:v>64.886335105785449</c:v>
                </c:pt>
                <c:pt idx="8">
                  <c:v>73.883717762935518</c:v>
                </c:pt>
                <c:pt idx="9">
                  <c:v>82.853099357733484</c:v>
                </c:pt>
                <c:pt idx="10">
                  <c:v>91.797946023526876</c:v>
                </c:pt>
                <c:pt idx="11">
                  <c:v>100.72099055181911</c:v>
                </c:pt>
                <c:pt idx="12">
                  <c:v>109.62444036403467</c:v>
                </c:pt>
                <c:pt idx="13">
                  <c:v>118.51011399861339</c:v>
                </c:pt>
                <c:pt idx="14">
                  <c:v>127.37953432582198</c:v>
                </c:pt>
                <c:pt idx="15">
                  <c:v>136.23399433545893</c:v>
                </c:pt>
                <c:pt idx="16">
                  <c:v>145.07460486529598</c:v>
                </c:pt>
                <c:pt idx="17">
                  <c:v>153.90233005028921</c:v>
                </c:pt>
                <c:pt idx="18">
                  <c:v>162.7180141901425</c:v>
                </c:pt>
                <c:pt idx="19">
                  <c:v>171.52240247513097</c:v>
                </c:pt>
                <c:pt idx="20">
                  <c:v>180.31615722411632</c:v>
                </c:pt>
                <c:pt idx="21">
                  <c:v>189.09987078266829</c:v>
                </c:pt>
                <c:pt idx="22">
                  <c:v>197.87407589479196</c:v>
                </c:pt>
                <c:pt idx="23">
                  <c:v>206.63925413557971</c:v>
                </c:pt>
                <c:pt idx="24">
                  <c:v>215.3958428359341</c:v>
                </c:pt>
                <c:pt idx="25">
                  <c:v>224.14424082064872</c:v>
                </c:pt>
                <c:pt idx="26">
                  <c:v>232.88481320255323</c:v>
                </c:pt>
                <c:pt idx="27">
                  <c:v>241.61789541835174</c:v>
                </c:pt>
                <c:pt idx="28">
                  <c:v>250.3437966497514</c:v>
                </c:pt>
                <c:pt idx="29">
                  <c:v>259.06280274212457</c:v>
                </c:pt>
                <c:pt idx="30">
                  <c:v>267.77517870928631</c:v>
                </c:pt>
                <c:pt idx="31">
                  <c:v>276.48117089492001</c:v>
                </c:pt>
                <c:pt idx="32">
                  <c:v>285.18100884727528</c:v>
                </c:pt>
                <c:pt idx="33">
                  <c:v>293.87490695294525</c:v>
                </c:pt>
                <c:pt idx="34">
                  <c:v>302.56306586704625</c:v>
                </c:pt>
                <c:pt idx="35">
                  <c:v>311.24567377041313</c:v>
                </c:pt>
                <c:pt idx="36">
                  <c:v>319.92290747907703</c:v>
                </c:pt>
                <c:pt idx="37">
                  <c:v>265.32547851180402</c:v>
                </c:pt>
                <c:pt idx="38">
                  <c:v>286.81156096168161</c:v>
                </c:pt>
                <c:pt idx="39">
                  <c:v>308.26164218176535</c:v>
                </c:pt>
                <c:pt idx="40">
                  <c:v>329.6785784135397</c:v>
                </c:pt>
                <c:pt idx="41">
                  <c:v>351.06482453796201</c:v>
                </c:pt>
                <c:pt idx="42">
                  <c:v>372.42251200019518</c:v>
                </c:pt>
                <c:pt idx="43">
                  <c:v>393.75350791228328</c:v>
                </c:pt>
                <c:pt idx="44">
                  <c:v>415.05946067388419</c:v>
                </c:pt>
                <c:pt idx="45">
                  <c:v>339.96932609764059</c:v>
                </c:pt>
                <c:pt idx="46">
                  <c:v>364.31523713398838</c:v>
                </c:pt>
                <c:pt idx="47">
                  <c:v>388.62561459421386</c:v>
                </c:pt>
                <c:pt idx="48">
                  <c:v>412.90299192267594</c:v>
                </c:pt>
                <c:pt idx="49">
                  <c:v>437.14958051503055</c:v>
                </c:pt>
                <c:pt idx="50">
                  <c:v>461.36732661320042</c:v>
                </c:pt>
                <c:pt idx="51">
                  <c:v>485.55795563023315</c:v>
                </c:pt>
                <c:pt idx="52">
                  <c:v>509.72300718239177</c:v>
                </c:pt>
                <c:pt idx="53">
                  <c:v>395.91218652535935</c:v>
                </c:pt>
                <c:pt idx="54">
                  <c:v>417.75470695489565</c:v>
                </c:pt>
                <c:pt idx="55">
                  <c:v>439.5726229652293</c:v>
                </c:pt>
                <c:pt idx="56">
                  <c:v>461.36732661320042</c:v>
                </c:pt>
                <c:pt idx="57">
                  <c:v>483.14006779889104</c:v>
                </c:pt>
                <c:pt idx="58">
                  <c:v>504.89197466478595</c:v>
                </c:pt>
                <c:pt idx="59">
                  <c:v>526.62407029747862</c:v>
                </c:pt>
                <c:pt idx="60">
                  <c:v>548.3372865300081</c:v>
                </c:pt>
                <c:pt idx="61">
                  <c:v>450.96608395211155</c:v>
                </c:pt>
                <c:pt idx="62">
                  <c:v>469.61302435390735</c:v>
                </c:pt>
                <c:pt idx="63">
                  <c:v>488.24419789739949</c:v>
                </c:pt>
                <c:pt idx="64">
                  <c:v>506.86029054843084</c:v>
                </c:pt>
                <c:pt idx="65">
                  <c:v>525.46193380622901</c:v>
                </c:pt>
                <c:pt idx="66">
                  <c:v>544.04971084254669</c:v>
                </c:pt>
                <c:pt idx="67">
                  <c:v>562.62416175853025</c:v>
                </c:pt>
                <c:pt idx="68">
                  <c:v>581.18578811162547</c:v>
                </c:pt>
                <c:pt idx="69">
                  <c:v>599.73505683441124</c:v>
                </c:pt>
                <c:pt idx="70">
                  <c:v>507.81456730697511</c:v>
                </c:pt>
                <c:pt idx="71">
                  <c:v>525.22354014492771</c:v>
                </c:pt>
                <c:pt idx="72">
                  <c:v>542.6203615929777</c:v>
                </c:pt>
                <c:pt idx="73">
                  <c:v>560.00547584538776</c:v>
                </c:pt>
                <c:pt idx="74">
                  <c:v>577.37929728560482</c:v>
                </c:pt>
                <c:pt idx="75">
                  <c:v>594.74221334211904</c:v>
                </c:pt>
                <c:pt idx="76">
                  <c:v>612.09458699367303</c:v>
                </c:pt>
                <c:pt idx="77">
                  <c:v>629.43675897578566</c:v>
                </c:pt>
                <c:pt idx="78">
                  <c:v>646.76904973162027</c:v>
                </c:pt>
                <c:pt idx="79">
                  <c:v>558.57699374416472</c:v>
                </c:pt>
                <c:pt idx="80">
                  <c:v>575.23791626765171</c:v>
                </c:pt>
                <c:pt idx="81">
                  <c:v>591.88876881386489</c:v>
                </c:pt>
                <c:pt idx="82">
                  <c:v>608.52987437995023</c:v>
                </c:pt>
                <c:pt idx="83">
                  <c:v>625.16153686899827</c:v>
                </c:pt>
                <c:pt idx="84">
                  <c:v>641.78404270715339</c:v>
                </c:pt>
                <c:pt idx="85">
                  <c:v>658.39766228458541</c:v>
                </c:pt>
                <c:pt idx="86">
                  <c:v>675.00265124355963</c:v>
                </c:pt>
                <c:pt idx="87">
                  <c:v>691.59925163326625</c:v>
                </c:pt>
                <c:pt idx="88">
                  <c:v>611.14403919111862</c:v>
                </c:pt>
                <c:pt idx="89">
                  <c:v>626.82419491945245</c:v>
                </c:pt>
                <c:pt idx="90">
                  <c:v>642.49623536140246</c:v>
                </c:pt>
                <c:pt idx="91">
                  <c:v>658.16038622061342</c:v>
                </c:pt>
                <c:pt idx="92">
                  <c:v>673.81686158879108</c:v>
                </c:pt>
                <c:pt idx="93">
                  <c:v>689.46586480458382</c:v>
                </c:pt>
                <c:pt idx="94">
                  <c:v>705.10758923049116</c:v>
                </c:pt>
                <c:pt idx="95">
                  <c:v>720.74221895730363</c:v>
                </c:pt>
                <c:pt idx="96">
                  <c:v>736.36992944428937</c:v>
                </c:pt>
                <c:pt idx="97">
                  <c:v>657.68582880641031</c:v>
                </c:pt>
                <c:pt idx="98">
                  <c:v>672.86819899586487</c:v>
                </c:pt>
                <c:pt idx="99">
                  <c:v>688.04353176205825</c:v>
                </c:pt>
                <c:pt idx="100">
                  <c:v>703.2120040774131</c:v>
                </c:pt>
                <c:pt idx="101">
                  <c:v>718.37378466282235</c:v>
                </c:pt>
                <c:pt idx="102">
                  <c:v>733.52903454200316</c:v>
                </c:pt>
                <c:pt idx="103">
                  <c:v>748.67790754769158</c:v>
                </c:pt>
                <c:pt idx="104">
                  <c:v>763.82055078477163</c:v>
                </c:pt>
                <c:pt idx="105">
                  <c:v>778.9571050548019</c:v>
                </c:pt>
                <c:pt idx="106">
                  <c:v>702.26417231534003</c:v>
                </c:pt>
                <c:pt idx="107">
                  <c:v>717.18950776806685</c:v>
                </c:pt>
                <c:pt idx="108">
                  <c:v>732.10850308988756</c:v>
                </c:pt>
                <c:pt idx="109">
                  <c:v>747.02130558454212</c:v>
                </c:pt>
                <c:pt idx="110">
                  <c:v>761.92805619967874</c:v>
                </c:pt>
                <c:pt idx="111">
                  <c:v>776.82888992266089</c:v>
                </c:pt>
                <c:pt idx="112">
                  <c:v>791.72393614445298</c:v>
                </c:pt>
                <c:pt idx="113">
                  <c:v>806.61331899472589</c:v>
                </c:pt>
                <c:pt idx="114">
                  <c:v>821.497157650953</c:v>
                </c:pt>
                <c:pt idx="115">
                  <c:v>744.65460170812833</c:v>
                </c:pt>
                <c:pt idx="116">
                  <c:v>759.32572031578832</c:v>
                </c:pt>
                <c:pt idx="117">
                  <c:v>773.99108596594078</c:v>
                </c:pt>
                <c:pt idx="118">
                  <c:v>788.65082293317255</c:v>
                </c:pt>
                <c:pt idx="119">
                  <c:v>803.30505049916974</c:v>
                </c:pt>
                <c:pt idx="120">
                  <c:v>817.95388324261091</c:v>
                </c:pt>
                <c:pt idx="121">
                  <c:v>832.59743130723098</c:v>
                </c:pt>
                <c:pt idx="122">
                  <c:v>847.23580065006502</c:v>
                </c:pt>
                <c:pt idx="123">
                  <c:v>861.86909327166234</c:v>
                </c:pt>
                <c:pt idx="124">
                  <c:v>789.59642197566109</c:v>
                </c:pt>
                <c:pt idx="125">
                  <c:v>804.48660647012127</c:v>
                </c:pt>
                <c:pt idx="126">
                  <c:v>819.3712300373146</c:v>
                </c:pt>
                <c:pt idx="127">
                  <c:v>834.25040783808424</c:v>
                </c:pt>
                <c:pt idx="128">
                  <c:v>849.12425059431791</c:v>
                </c:pt>
                <c:pt idx="129">
                  <c:v>863.99286483640378</c:v>
                </c:pt>
                <c:pt idx="130">
                  <c:v>878.85635313278044</c:v>
                </c:pt>
                <c:pt idx="131">
                  <c:v>893.71481430317328</c:v>
                </c:pt>
                <c:pt idx="132">
                  <c:v>908.56834361692279</c:v>
                </c:pt>
                <c:pt idx="133">
                  <c:v>834.4865419626525</c:v>
                </c:pt>
                <c:pt idx="134">
                  <c:v>849.59634989946483</c:v>
                </c:pt>
                <c:pt idx="135">
                  <c:v>864.70076543130153</c:v>
                </c:pt>
                <c:pt idx="136">
                  <c:v>879.79989592953541</c:v>
                </c:pt>
                <c:pt idx="137">
                  <c:v>894.89384478340492</c:v>
                </c:pt>
                <c:pt idx="138">
                  <c:v>909.98271161375123</c:v>
                </c:pt>
                <c:pt idx="139">
                  <c:v>925.06659247185326</c:v>
                </c:pt>
                <c:pt idx="140">
                  <c:v>940.14558002463798</c:v>
                </c:pt>
                <c:pt idx="141">
                  <c:v>955.21976372740301</c:v>
                </c:pt>
                <c:pt idx="142">
                  <c:v>874.7870923769766</c:v>
                </c:pt>
                <c:pt idx="143">
                  <c:v>889.82379307073563</c:v>
                </c:pt>
                <c:pt idx="144">
                  <c:v>904.85541856820555</c:v>
                </c:pt>
                <c:pt idx="145">
                  <c:v>919.88206497019212</c:v>
                </c:pt>
                <c:pt idx="146">
                  <c:v>934.90382498520512</c:v>
                </c:pt>
                <c:pt idx="147">
                  <c:v>949.92078810289877</c:v>
                </c:pt>
                <c:pt idx="148">
                  <c:v>964.93304075598735</c:v>
                </c:pt>
                <c:pt idx="149">
                  <c:v>979.94066647157388</c:v>
                </c:pt>
                <c:pt idx="150">
                  <c:v>994.94374601273728</c:v>
                </c:pt>
                <c:pt idx="151">
                  <c:v>1009.9423575111465</c:v>
                </c:pt>
                <c:pt idx="152">
                  <c:v>1024.9365765913979</c:v>
                </c:pt>
                <c:pt idx="153">
                  <c:v>1039.9264764877069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3.272196333784017</c:v>
                </c:pt>
                <c:pt idx="2">
                  <c:v>4.3468083457162265</c:v>
                </c:pt>
                <c:pt idx="3">
                  <c:v>5.7757594573306692</c:v>
                </c:pt>
                <c:pt idx="4">
                  <c:v>7.6763310117648969</c:v>
                </c:pt>
                <c:pt idx="5">
                  <c:v>10.204759451487858</c:v>
                </c:pt>
                <c:pt idx="6">
                  <c:v>13.569217275126766</c:v>
                </c:pt>
                <c:pt idx="7">
                  <c:v>18.047132482275387</c:v>
                </c:pt>
                <c:pt idx="8">
                  <c:v>24.008300439783866</c:v>
                </c:pt>
                <c:pt idx="9">
                  <c:v>31.94573054698839</c:v>
                </c:pt>
                <c:pt idx="10">
                  <c:v>42.516822975226809</c:v>
                </c:pt>
                <c:pt idx="11">
                  <c:v>58.958381860593853</c:v>
                </c:pt>
                <c:pt idx="12">
                  <c:v>90.230803796280711</c:v>
                </c:pt>
                <c:pt idx="13">
                  <c:v>121.22718363614437</c:v>
                </c:pt>
                <c:pt idx="14">
                  <c:v>152.02916982811959</c:v>
                </c:pt>
                <c:pt idx="15">
                  <c:v>182.68196779156236</c:v>
                </c:pt>
                <c:pt idx="16">
                  <c:v>127.99300373621668</c:v>
                </c:pt>
                <c:pt idx="17">
                  <c:v>161.70140970029556</c:v>
                </c:pt>
                <c:pt idx="18">
                  <c:v>195.24278318241954</c:v>
                </c:pt>
                <c:pt idx="19">
                  <c:v>228.64995281860433</c:v>
                </c:pt>
                <c:pt idx="20">
                  <c:v>261.94531000618412</c:v>
                </c:pt>
                <c:pt idx="21">
                  <c:v>209.45575121390013</c:v>
                </c:pt>
                <c:pt idx="22">
                  <c:v>244.47808276569103</c:v>
                </c:pt>
                <c:pt idx="23">
                  <c:v>279.38625176640875</c:v>
                </c:pt>
                <c:pt idx="24">
                  <c:v>314.19652766801346</c:v>
                </c:pt>
                <c:pt idx="25">
                  <c:v>348.92127422322795</c:v>
                </c:pt>
                <c:pt idx="26">
                  <c:v>295.97394986116774</c:v>
                </c:pt>
                <c:pt idx="27">
                  <c:v>329.91530269151468</c:v>
                </c:pt>
                <c:pt idx="28">
                  <c:v>363.77960344692718</c:v>
                </c:pt>
                <c:pt idx="29">
                  <c:v>397.57502530134639</c:v>
                </c:pt>
                <c:pt idx="30">
                  <c:v>431.30823874034081</c:v>
                </c:pt>
                <c:pt idx="31">
                  <c:v>376.1513920342295</c:v>
                </c:pt>
                <c:pt idx="32">
                  <c:v>407.45433407493073</c:v>
                </c:pt>
                <c:pt idx="33">
                  <c:v>438.70533103430927</c:v>
                </c:pt>
                <c:pt idx="34">
                  <c:v>469.90859842704066</c:v>
                </c:pt>
                <c:pt idx="35">
                  <c:v>501.06774674350328</c:v>
                </c:pt>
                <c:pt idx="36">
                  <c:v>441.99206601099746</c:v>
                </c:pt>
                <c:pt idx="37">
                  <c:v>469.08803973384329</c:v>
                </c:pt>
                <c:pt idx="38">
                  <c:v>496.15068169403889</c:v>
                </c:pt>
                <c:pt idx="39">
                  <c:v>523.18206342045517</c:v>
                </c:pt>
                <c:pt idx="40">
                  <c:v>550.1840251484324</c:v>
                </c:pt>
                <c:pt idx="41">
                  <c:v>491.64246508072887</c:v>
                </c:pt>
                <c:pt idx="42">
                  <c:v>514.99392273715944</c:v>
                </c:pt>
                <c:pt idx="43">
                  <c:v>538.32304075493141</c:v>
                </c:pt>
                <c:pt idx="44">
                  <c:v>561.63092245161022</c:v>
                </c:pt>
                <c:pt idx="45">
                  <c:v>584.91857219258952</c:v>
                </c:pt>
                <c:pt idx="46">
                  <c:v>551.81959936072428</c:v>
                </c:pt>
                <c:pt idx="47">
                  <c:v>571.84723871208746</c:v>
                </c:pt>
                <c:pt idx="48">
                  <c:v>591.86023292490802</c:v>
                </c:pt>
                <c:pt idx="49">
                  <c:v>611.85914647032064</c:v>
                </c:pt>
                <c:pt idx="50">
                  <c:v>631.84450394424459</c:v>
                </c:pt>
                <c:pt idx="51">
                  <c:v>606.14657668140751</c:v>
                </c:pt>
                <c:pt idx="52">
                  <c:v>623.28097854279656</c:v>
                </c:pt>
                <c:pt idx="53">
                  <c:v>640.40562962638535</c:v>
                </c:pt>
                <c:pt idx="54">
                  <c:v>657.52082719173109</c:v>
                </c:pt>
                <c:pt idx="55">
                  <c:v>674.62685177369769</c:v>
                </c:pt>
                <c:pt idx="56">
                  <c:v>653.03917318988681</c:v>
                </c:pt>
                <c:pt idx="57">
                  <c:v>668.11133540519415</c:v>
                </c:pt>
                <c:pt idx="58">
                  <c:v>683.17650762504957</c:v>
                </c:pt>
                <c:pt idx="59">
                  <c:v>698.23486559909486</c:v>
                </c:pt>
                <c:pt idx="60">
                  <c:v>713.28657688382839</c:v>
                </c:pt>
                <c:pt idx="61">
                  <c:v>690.91001835052691</c:v>
                </c:pt>
                <c:pt idx="62">
                  <c:v>703.11722207803825</c:v>
                </c:pt>
                <c:pt idx="63">
                  <c:v>715.32009094800969</c:v>
                </c:pt>
                <c:pt idx="64">
                  <c:v>727.51870929218273</c:v>
                </c:pt>
                <c:pt idx="65">
                  <c:v>739.71315838525049</c:v>
                </c:pt>
                <c:pt idx="66">
                  <c:v>717.76015201514667</c:v>
                </c:pt>
                <c:pt idx="67">
                  <c:v>728.3318013929462</c:v>
                </c:pt>
                <c:pt idx="68">
                  <c:v>738.90032323597507</c:v>
                </c:pt>
                <c:pt idx="69">
                  <c:v>749.46576856243689</c:v>
                </c:pt>
                <c:pt idx="70">
                  <c:v>760.02818683550049</c:v>
                </c:pt>
                <c:pt idx="71">
                  <c:v>739.30674308461903</c:v>
                </c:pt>
                <c:pt idx="72">
                  <c:v>749.05946156612254</c:v>
                </c:pt>
                <c:pt idx="73">
                  <c:v>758.80959920160149</c:v>
                </c:pt>
                <c:pt idx="74">
                  <c:v>768.5571938133404</c:v>
                </c:pt>
                <c:pt idx="75">
                  <c:v>778.30228218643288</c:v>
                </c:pt>
                <c:pt idx="76">
                  <c:v>757.99718537604701</c:v>
                </c:pt>
                <c:pt idx="77">
                  <c:v>766.12053153986756</c:v>
                </c:pt>
                <c:pt idx="78">
                  <c:v>774.24213095759535</c:v>
                </c:pt>
                <c:pt idx="79">
                  <c:v>782.36200452923958</c:v>
                </c:pt>
                <c:pt idx="80">
                  <c:v>790.48017268575893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2.761960356615663</c:v>
                </c:pt>
                <c:pt idx="2">
                  <c:v>3.6684591803038082</c:v>
                </c:pt>
                <c:pt idx="3">
                  <c:v>4.8736941899238824</c:v>
                </c:pt>
                <c:pt idx="4">
                  <c:v>6.476490537914958</c:v>
                </c:pt>
                <c:pt idx="5">
                  <c:v>8.6084821312026509</c:v>
                </c:pt>
                <c:pt idx="6">
                  <c:v>11.445039516514228</c:v>
                </c:pt>
                <c:pt idx="7">
                  <c:v>15.219848571167617</c:v>
                </c:pt>
                <c:pt idx="8">
                  <c:v>20.244363015123902</c:v>
                </c:pt>
                <c:pt idx="9">
                  <c:v>26.933764488855257</c:v>
                </c:pt>
                <c:pt idx="10">
                  <c:v>35.841612916234673</c:v>
                </c:pt>
                <c:pt idx="11">
                  <c:v>49.6944394468998</c:v>
                </c:pt>
                <c:pt idx="12">
                  <c:v>76.038777739330698</c:v>
                </c:pt>
                <c:pt idx="13">
                  <c:v>102.14680795061109</c:v>
                </c:pt>
                <c:pt idx="14">
                  <c:v>128.08842589863374</c:v>
                </c:pt>
                <c:pt idx="15">
                  <c:v>153.90233005028921</c:v>
                </c:pt>
                <c:pt idx="16">
                  <c:v>107.84522593798255</c:v>
                </c:pt>
                <c:pt idx="17">
                  <c:v>136.23399433545893</c:v>
                </c:pt>
                <c:pt idx="18">
                  <c:v>164.47977321830047</c:v>
                </c:pt>
                <c:pt idx="19">
                  <c:v>192.61066580735999</c:v>
                </c:pt>
                <c:pt idx="20">
                  <c:v>220.64584044043252</c:v>
                </c:pt>
                <c:pt idx="21">
                  <c:v>176.44817575735132</c:v>
                </c:pt>
                <c:pt idx="22">
                  <c:v>205.93836150645791</c:v>
                </c:pt>
                <c:pt idx="23">
                  <c:v>235.33081747524636</c:v>
                </c:pt>
                <c:pt idx="24">
                  <c:v>264.63947126038499</c:v>
                </c:pt>
                <c:pt idx="25">
                  <c:v>293.87490695294525</c:v>
                </c:pt>
                <c:pt idx="26">
                  <c:v>249.29705799777221</c:v>
                </c:pt>
                <c:pt idx="27">
                  <c:v>277.87355278777568</c:v>
                </c:pt>
                <c:pt idx="28">
                  <c:v>306.38408652237496</c:v>
                </c:pt>
                <c:pt idx="29">
                  <c:v>334.83565591359439</c:v>
                </c:pt>
                <c:pt idx="30">
                  <c:v>363.2339712848547</c:v>
                </c:pt>
                <c:pt idx="31">
                  <c:v>316.79971175786812</c:v>
                </c:pt>
                <c:pt idx="32">
                  <c:v>343.1526425341026</c:v>
                </c:pt>
                <c:pt idx="33">
                  <c:v>369.46110530100674</c:v>
                </c:pt>
                <c:pt idx="34">
                  <c:v>395.72870878420321</c:v>
                </c:pt>
                <c:pt idx="35">
                  <c:v>421.95854377334393</c:v>
                </c:pt>
                <c:pt idx="36">
                  <c:v>372.22798284097138</c:v>
                </c:pt>
                <c:pt idx="37">
                  <c:v>395.03795250824879</c:v>
                </c:pt>
                <c:pt idx="38">
                  <c:v>417.81938824902596</c:v>
                </c:pt>
                <c:pt idx="39">
                  <c:v>440.57406341244024</c:v>
                </c:pt>
                <c:pt idx="40">
                  <c:v>463.30355334692075</c:v>
                </c:pt>
                <c:pt idx="41">
                  <c:v>414.02438592016205</c:v>
                </c:pt>
                <c:pt idx="42">
                  <c:v>433.68143565596597</c:v>
                </c:pt>
                <c:pt idx="43">
                  <c:v>453.31936136241058</c:v>
                </c:pt>
                <c:pt idx="44">
                  <c:v>472.93910754347075</c:v>
                </c:pt>
                <c:pt idx="45">
                  <c:v>492.54153399430976</c:v>
                </c:pt>
                <c:pt idx="46">
                  <c:v>464.68032061955699</c:v>
                </c:pt>
                <c:pt idx="47">
                  <c:v>481.53874733054272</c:v>
                </c:pt>
                <c:pt idx="48">
                  <c:v>498.38463695157185</c:v>
                </c:pt>
                <c:pt idx="49">
                  <c:v>515.21847270274975</c:v>
                </c:pt>
                <c:pt idx="50">
                  <c:v>532.04070366867984</c:v>
                </c:pt>
                <c:pt idx="51">
                  <c:v>510.41000854334516</c:v>
                </c:pt>
                <c:pt idx="52">
                  <c:v>524.83256960470442</c:v>
                </c:pt>
                <c:pt idx="53">
                  <c:v>539.24678343342566</c:v>
                </c:pt>
                <c:pt idx="54">
                  <c:v>553.65290450097052</c:v>
                </c:pt>
                <c:pt idx="55">
                  <c:v>568.05117296149081</c:v>
                </c:pt>
                <c:pt idx="56">
                  <c:v>549.88064131168267</c:v>
                </c:pt>
                <c:pt idx="57">
                  <c:v>562.56702951922227</c:v>
                </c:pt>
                <c:pt idx="58">
                  <c:v>575.24743388430682</c:v>
                </c:pt>
                <c:pt idx="59">
                  <c:v>587.92200485884598</c:v>
                </c:pt>
                <c:pt idx="60">
                  <c:v>600.59088588094301</c:v>
                </c:pt>
                <c:pt idx="61">
                  <c:v>581.75671680137043</c:v>
                </c:pt>
                <c:pt idx="62">
                  <c:v>592.03144782908828</c:v>
                </c:pt>
                <c:pt idx="63">
                  <c:v>602.30246796675408</c:v>
                </c:pt>
                <c:pt idx="64">
                  <c:v>612.56984940724135</c:v>
                </c:pt>
                <c:pt idx="65">
                  <c:v>622.83366172641195</c:v>
                </c:pt>
                <c:pt idx="66">
                  <c:v>604.35623308741242</c:v>
                </c:pt>
                <c:pt idx="67">
                  <c:v>613.25421384601759</c:v>
                </c:pt>
                <c:pt idx="68">
                  <c:v>622.14951725304638</c:v>
                </c:pt>
                <c:pt idx="69">
                  <c:v>631.04218698304737</c:v>
                </c:pt>
                <c:pt idx="70">
                  <c:v>639.93226537936778</c:v>
                </c:pt>
                <c:pt idx="71">
                  <c:v>622.49159143641089</c:v>
                </c:pt>
                <c:pt idx="72">
                  <c:v>630.70020940783763</c:v>
                </c:pt>
                <c:pt idx="73">
                  <c:v>638.90661802503564</c:v>
                </c:pt>
                <c:pt idx="74">
                  <c:v>647.11084966607893</c:v>
                </c:pt>
                <c:pt idx="75">
                  <c:v>655.31293582114574</c:v>
                </c:pt>
                <c:pt idx="76">
                  <c:v>638.22283422926841</c:v>
                </c:pt>
                <c:pt idx="77">
                  <c:v>645.05999411037908</c:v>
                </c:pt>
                <c:pt idx="78">
                  <c:v>651.89565867529075</c:v>
                </c:pt>
                <c:pt idx="79">
                  <c:v>658.72984581562616</c:v>
                </c:pt>
                <c:pt idx="80">
                  <c:v>665.56257302147412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3.272196333784017</c:v>
                </c:pt>
                <c:pt idx="2">
                  <c:v>4.3468083457162265</c:v>
                </c:pt>
                <c:pt idx="3">
                  <c:v>5.7757594573306692</c:v>
                </c:pt>
                <c:pt idx="4">
                  <c:v>7.6763310117648969</c:v>
                </c:pt>
                <c:pt idx="5">
                  <c:v>10.204759451487858</c:v>
                </c:pt>
                <c:pt idx="6">
                  <c:v>13.569217275126766</c:v>
                </c:pt>
                <c:pt idx="7">
                  <c:v>18.047132482275387</c:v>
                </c:pt>
                <c:pt idx="8">
                  <c:v>24.008300439783866</c:v>
                </c:pt>
                <c:pt idx="9">
                  <c:v>31.94573054698839</c:v>
                </c:pt>
                <c:pt idx="10">
                  <c:v>42.516822975226809</c:v>
                </c:pt>
                <c:pt idx="11">
                  <c:v>58.958381860593853</c:v>
                </c:pt>
                <c:pt idx="12">
                  <c:v>90.230803796280711</c:v>
                </c:pt>
                <c:pt idx="13">
                  <c:v>121.22718363614437</c:v>
                </c:pt>
                <c:pt idx="14">
                  <c:v>152.02916982811959</c:v>
                </c:pt>
                <c:pt idx="15">
                  <c:v>182.68196779156236</c:v>
                </c:pt>
                <c:pt idx="16">
                  <c:v>127.99300373621668</c:v>
                </c:pt>
                <c:pt idx="17">
                  <c:v>161.70140970029556</c:v>
                </c:pt>
                <c:pt idx="18">
                  <c:v>195.24278318241954</c:v>
                </c:pt>
                <c:pt idx="19">
                  <c:v>228.64995281860433</c:v>
                </c:pt>
                <c:pt idx="20">
                  <c:v>261.94531000618412</c:v>
                </c:pt>
                <c:pt idx="21">
                  <c:v>209.45575121390013</c:v>
                </c:pt>
                <c:pt idx="22">
                  <c:v>244.47808276569103</c:v>
                </c:pt>
                <c:pt idx="23">
                  <c:v>279.38625176640875</c:v>
                </c:pt>
                <c:pt idx="24">
                  <c:v>314.19652766801346</c:v>
                </c:pt>
                <c:pt idx="25">
                  <c:v>348.92127422322795</c:v>
                </c:pt>
                <c:pt idx="26">
                  <c:v>295.97394986116774</c:v>
                </c:pt>
                <c:pt idx="27">
                  <c:v>329.91530269151468</c:v>
                </c:pt>
                <c:pt idx="28">
                  <c:v>363.77960344692718</c:v>
                </c:pt>
                <c:pt idx="29">
                  <c:v>397.57502530134639</c:v>
                </c:pt>
                <c:pt idx="30">
                  <c:v>431.30823874034081</c:v>
                </c:pt>
                <c:pt idx="31">
                  <c:v>376.1513920342295</c:v>
                </c:pt>
                <c:pt idx="32">
                  <c:v>407.45433407493073</c:v>
                </c:pt>
                <c:pt idx="33">
                  <c:v>438.70533103430927</c:v>
                </c:pt>
                <c:pt idx="34">
                  <c:v>469.90859842704066</c:v>
                </c:pt>
                <c:pt idx="35">
                  <c:v>501.06774674350328</c:v>
                </c:pt>
                <c:pt idx="36">
                  <c:v>441.99206601099746</c:v>
                </c:pt>
                <c:pt idx="37">
                  <c:v>469.08803973384329</c:v>
                </c:pt>
                <c:pt idx="38">
                  <c:v>496.15068169403889</c:v>
                </c:pt>
                <c:pt idx="39">
                  <c:v>523.18206342045517</c:v>
                </c:pt>
                <c:pt idx="40">
                  <c:v>550.1840251484324</c:v>
                </c:pt>
                <c:pt idx="41">
                  <c:v>491.64246508072887</c:v>
                </c:pt>
                <c:pt idx="42">
                  <c:v>514.99392273715944</c:v>
                </c:pt>
                <c:pt idx="43">
                  <c:v>538.32304075493141</c:v>
                </c:pt>
                <c:pt idx="44">
                  <c:v>561.63092245161022</c:v>
                </c:pt>
                <c:pt idx="45">
                  <c:v>584.91857219258952</c:v>
                </c:pt>
                <c:pt idx="46">
                  <c:v>551.81959936072428</c:v>
                </c:pt>
                <c:pt idx="47">
                  <c:v>571.84723871208746</c:v>
                </c:pt>
                <c:pt idx="48">
                  <c:v>591.86023292490802</c:v>
                </c:pt>
                <c:pt idx="49">
                  <c:v>611.85914647032064</c:v>
                </c:pt>
                <c:pt idx="50">
                  <c:v>631.84450394424459</c:v>
                </c:pt>
                <c:pt idx="51">
                  <c:v>606.14657668140751</c:v>
                </c:pt>
                <c:pt idx="52">
                  <c:v>623.28097854279656</c:v>
                </c:pt>
                <c:pt idx="53">
                  <c:v>640.40562962638535</c:v>
                </c:pt>
                <c:pt idx="54">
                  <c:v>657.52082719173109</c:v>
                </c:pt>
                <c:pt idx="55">
                  <c:v>674.62685177369769</c:v>
                </c:pt>
                <c:pt idx="56">
                  <c:v>653.03917318988681</c:v>
                </c:pt>
                <c:pt idx="57">
                  <c:v>668.11133540519415</c:v>
                </c:pt>
                <c:pt idx="58">
                  <c:v>683.17650762504957</c:v>
                </c:pt>
                <c:pt idx="59">
                  <c:v>698.23486559909486</c:v>
                </c:pt>
                <c:pt idx="60">
                  <c:v>713.28657688382839</c:v>
                </c:pt>
                <c:pt idx="61">
                  <c:v>690.91001835052691</c:v>
                </c:pt>
                <c:pt idx="62">
                  <c:v>703.11722207803825</c:v>
                </c:pt>
                <c:pt idx="63">
                  <c:v>715.32009094800969</c:v>
                </c:pt>
                <c:pt idx="64">
                  <c:v>727.51870929218273</c:v>
                </c:pt>
                <c:pt idx="65">
                  <c:v>739.71315838525049</c:v>
                </c:pt>
                <c:pt idx="66">
                  <c:v>717.76015201514667</c:v>
                </c:pt>
                <c:pt idx="67">
                  <c:v>728.3318013929462</c:v>
                </c:pt>
                <c:pt idx="68">
                  <c:v>738.90032323597507</c:v>
                </c:pt>
                <c:pt idx="69">
                  <c:v>749.46576856243689</c:v>
                </c:pt>
                <c:pt idx="70">
                  <c:v>760.02818683550049</c:v>
                </c:pt>
                <c:pt idx="71">
                  <c:v>739.30674308461903</c:v>
                </c:pt>
                <c:pt idx="72">
                  <c:v>749.05946156612254</c:v>
                </c:pt>
                <c:pt idx="73">
                  <c:v>758.80959920160149</c:v>
                </c:pt>
                <c:pt idx="74">
                  <c:v>768.5571938133404</c:v>
                </c:pt>
                <c:pt idx="75">
                  <c:v>778.30228218643288</c:v>
                </c:pt>
                <c:pt idx="76">
                  <c:v>757.99718537604701</c:v>
                </c:pt>
                <c:pt idx="77">
                  <c:v>766.12053153986756</c:v>
                </c:pt>
                <c:pt idx="78">
                  <c:v>774.24213095759535</c:v>
                </c:pt>
                <c:pt idx="79">
                  <c:v>782.36200452923958</c:v>
                </c:pt>
                <c:pt idx="80">
                  <c:v>790.48017268575893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3.272196333784017</c:v>
                </c:pt>
                <c:pt idx="2">
                  <c:v>4.3468083457162265</c:v>
                </c:pt>
                <c:pt idx="3">
                  <c:v>5.7757594573306692</c:v>
                </c:pt>
                <c:pt idx="4">
                  <c:v>7.6763310117648969</c:v>
                </c:pt>
                <c:pt idx="5">
                  <c:v>10.204759451487858</c:v>
                </c:pt>
                <c:pt idx="6">
                  <c:v>13.569217275126766</c:v>
                </c:pt>
                <c:pt idx="7">
                  <c:v>18.047132482275387</c:v>
                </c:pt>
                <c:pt idx="8">
                  <c:v>24.008300439783866</c:v>
                </c:pt>
                <c:pt idx="9">
                  <c:v>31.94573054698839</c:v>
                </c:pt>
                <c:pt idx="10">
                  <c:v>42.516822975226809</c:v>
                </c:pt>
                <c:pt idx="11">
                  <c:v>58.958381860593853</c:v>
                </c:pt>
                <c:pt idx="12">
                  <c:v>90.230803796280711</c:v>
                </c:pt>
                <c:pt idx="13">
                  <c:v>121.22718363614437</c:v>
                </c:pt>
                <c:pt idx="14">
                  <c:v>152.02916982811959</c:v>
                </c:pt>
                <c:pt idx="15">
                  <c:v>182.68196779156236</c:v>
                </c:pt>
                <c:pt idx="16">
                  <c:v>127.99300373621668</c:v>
                </c:pt>
                <c:pt idx="17">
                  <c:v>161.70140970029556</c:v>
                </c:pt>
                <c:pt idx="18">
                  <c:v>195.24278318241954</c:v>
                </c:pt>
                <c:pt idx="19">
                  <c:v>228.64995281860433</c:v>
                </c:pt>
                <c:pt idx="20">
                  <c:v>261.94531000618412</c:v>
                </c:pt>
                <c:pt idx="21">
                  <c:v>209.45575121390013</c:v>
                </c:pt>
                <c:pt idx="22">
                  <c:v>244.47808276569103</c:v>
                </c:pt>
                <c:pt idx="23">
                  <c:v>279.38625176640875</c:v>
                </c:pt>
                <c:pt idx="24">
                  <c:v>314.19652766801346</c:v>
                </c:pt>
                <c:pt idx="25">
                  <c:v>348.92127422322795</c:v>
                </c:pt>
                <c:pt idx="26">
                  <c:v>295.97394986116774</c:v>
                </c:pt>
                <c:pt idx="27">
                  <c:v>329.91530269151468</c:v>
                </c:pt>
                <c:pt idx="28">
                  <c:v>363.77960344692718</c:v>
                </c:pt>
                <c:pt idx="29">
                  <c:v>397.57502530134639</c:v>
                </c:pt>
                <c:pt idx="30">
                  <c:v>431.30823874034081</c:v>
                </c:pt>
                <c:pt idx="31">
                  <c:v>376.1513920342295</c:v>
                </c:pt>
                <c:pt idx="32">
                  <c:v>407.45433407493073</c:v>
                </c:pt>
                <c:pt idx="33">
                  <c:v>438.70533103430927</c:v>
                </c:pt>
                <c:pt idx="34">
                  <c:v>469.90859842704066</c:v>
                </c:pt>
                <c:pt idx="35">
                  <c:v>501.06774674350328</c:v>
                </c:pt>
                <c:pt idx="36">
                  <c:v>441.99206601099746</c:v>
                </c:pt>
                <c:pt idx="37">
                  <c:v>469.08803973384329</c:v>
                </c:pt>
                <c:pt idx="38">
                  <c:v>496.15068169403889</c:v>
                </c:pt>
                <c:pt idx="39">
                  <c:v>523.18206342045517</c:v>
                </c:pt>
                <c:pt idx="40">
                  <c:v>550.1840251484324</c:v>
                </c:pt>
                <c:pt idx="41">
                  <c:v>491.64246508072887</c:v>
                </c:pt>
                <c:pt idx="42">
                  <c:v>514.99392273715944</c:v>
                </c:pt>
                <c:pt idx="43">
                  <c:v>538.32304075493141</c:v>
                </c:pt>
                <c:pt idx="44">
                  <c:v>561.63092245161022</c:v>
                </c:pt>
                <c:pt idx="45">
                  <c:v>584.91857219258952</c:v>
                </c:pt>
                <c:pt idx="46">
                  <c:v>551.81959936072428</c:v>
                </c:pt>
                <c:pt idx="47">
                  <c:v>571.84723871208746</c:v>
                </c:pt>
                <c:pt idx="48">
                  <c:v>591.86023292490802</c:v>
                </c:pt>
                <c:pt idx="49">
                  <c:v>611.85914647032064</c:v>
                </c:pt>
                <c:pt idx="50">
                  <c:v>631.84450394424459</c:v>
                </c:pt>
                <c:pt idx="51">
                  <c:v>606.14657668140751</c:v>
                </c:pt>
                <c:pt idx="52">
                  <c:v>623.28097854279656</c:v>
                </c:pt>
                <c:pt idx="53">
                  <c:v>640.40562962638535</c:v>
                </c:pt>
                <c:pt idx="54">
                  <c:v>657.52082719173109</c:v>
                </c:pt>
                <c:pt idx="55">
                  <c:v>674.62685177369769</c:v>
                </c:pt>
                <c:pt idx="56">
                  <c:v>653.03917318988681</c:v>
                </c:pt>
                <c:pt idx="57">
                  <c:v>668.11133540519415</c:v>
                </c:pt>
                <c:pt idx="58">
                  <c:v>683.17650762504957</c:v>
                </c:pt>
                <c:pt idx="59">
                  <c:v>698.23486559909486</c:v>
                </c:pt>
                <c:pt idx="60">
                  <c:v>713.28657688382839</c:v>
                </c:pt>
                <c:pt idx="61">
                  <c:v>690.91001835052691</c:v>
                </c:pt>
                <c:pt idx="62">
                  <c:v>703.11722207803825</c:v>
                </c:pt>
                <c:pt idx="63">
                  <c:v>715.32009094800969</c:v>
                </c:pt>
                <c:pt idx="64">
                  <c:v>727.51870929218273</c:v>
                </c:pt>
                <c:pt idx="65">
                  <c:v>739.71315838525049</c:v>
                </c:pt>
                <c:pt idx="66">
                  <c:v>717.76015201514667</c:v>
                </c:pt>
                <c:pt idx="67">
                  <c:v>728.3318013929462</c:v>
                </c:pt>
                <c:pt idx="68">
                  <c:v>738.90032323597507</c:v>
                </c:pt>
                <c:pt idx="69">
                  <c:v>749.46576856243689</c:v>
                </c:pt>
                <c:pt idx="70">
                  <c:v>760.02818683550049</c:v>
                </c:pt>
                <c:pt idx="71">
                  <c:v>739.30674308461903</c:v>
                </c:pt>
                <c:pt idx="72">
                  <c:v>749.05946156612254</c:v>
                </c:pt>
                <c:pt idx="73">
                  <c:v>758.80959920160149</c:v>
                </c:pt>
                <c:pt idx="74">
                  <c:v>768.5571938133404</c:v>
                </c:pt>
                <c:pt idx="75">
                  <c:v>778.30228218643288</c:v>
                </c:pt>
                <c:pt idx="76">
                  <c:v>757.99718537604701</c:v>
                </c:pt>
                <c:pt idx="77">
                  <c:v>766.12053153986756</c:v>
                </c:pt>
                <c:pt idx="78">
                  <c:v>774.24213095759535</c:v>
                </c:pt>
                <c:pt idx="79">
                  <c:v>782.36200452923958</c:v>
                </c:pt>
                <c:pt idx="80">
                  <c:v>790.48017268575893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19" zoomScale="80" zoomScaleNormal="80" workbookViewId="0">
      <selection activeCell="I163" sqref="I16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2.6890000000000001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0.32500000000000001</v>
      </c>
      <c r="D9" s="33">
        <f t="shared" ref="D9:D18" si="0">C9*$C$5</f>
        <v>0.87392500000000006</v>
      </c>
      <c r="E9" s="34">
        <v>153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0.32500000000000001</v>
      </c>
      <c r="D10" s="33">
        <f t="shared" si="0"/>
        <v>0.87392500000000006</v>
      </c>
      <c r="E10" s="34">
        <v>153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</v>
      </c>
      <c r="C11" s="32">
        <v>0.1</v>
      </c>
      <c r="D11" s="33">
        <f t="shared" si="0"/>
        <v>0.26890000000000003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31</v>
      </c>
      <c r="C12" s="32">
        <v>0.15</v>
      </c>
      <c r="D12" s="33">
        <f t="shared" si="0"/>
        <v>0.40334999999999999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327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</v>
      </c>
      <c r="C13" s="32">
        <v>0.05</v>
      </c>
      <c r="D13" s="33">
        <f t="shared" si="0"/>
        <v>0.13445000000000001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</v>
      </c>
      <c r="C14" s="32">
        <v>0.05</v>
      </c>
      <c r="D14" s="33">
        <f t="shared" si="0"/>
        <v>0.13445000000000001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2.6890000000000005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36</v>
      </c>
      <c r="B36" s="60">
        <v>144</v>
      </c>
      <c r="C36" s="60">
        <v>1</v>
      </c>
      <c r="D36" s="60">
        <v>35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44</v>
      </c>
      <c r="B37" s="60">
        <v>188</v>
      </c>
      <c r="C37" s="60">
        <v>2</v>
      </c>
      <c r="D37" s="60">
        <v>46</v>
      </c>
      <c r="E37" s="51">
        <v>0</v>
      </c>
      <c r="F37" s="51">
        <v>0.5</v>
      </c>
      <c r="G37" s="51">
        <v>0</v>
      </c>
      <c r="H37" s="51">
        <v>0.5</v>
      </c>
      <c r="I37" s="53">
        <f t="shared" ref="I37:I55" si="1">IF(A37&lt;&gt;0,(B37-(B36-D36))/(A37-A36),"")</f>
        <v>9.875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52</v>
      </c>
      <c r="B38" s="60">
        <v>232</v>
      </c>
      <c r="C38" s="60">
        <v>3</v>
      </c>
      <c r="D38" s="60">
        <v>63</v>
      </c>
      <c r="E38" s="51">
        <v>0</v>
      </c>
      <c r="F38" s="51">
        <v>0.5</v>
      </c>
      <c r="G38" s="51">
        <v>0</v>
      </c>
      <c r="H38" s="51">
        <v>0.5</v>
      </c>
      <c r="I38" s="53">
        <f t="shared" si="1"/>
        <v>11.25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60</v>
      </c>
      <c r="B39" s="60">
        <v>250</v>
      </c>
      <c r="C39" s="60">
        <v>4</v>
      </c>
      <c r="D39" s="60">
        <v>54</v>
      </c>
      <c r="E39" s="51">
        <v>0</v>
      </c>
      <c r="F39" s="51">
        <v>0.5</v>
      </c>
      <c r="G39" s="51">
        <v>0</v>
      </c>
      <c r="H39" s="51">
        <v>0.5</v>
      </c>
      <c r="I39" s="49">
        <f t="shared" si="1"/>
        <v>10.125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69</v>
      </c>
      <c r="B40" s="60">
        <v>274</v>
      </c>
      <c r="C40" s="60">
        <v>5</v>
      </c>
      <c r="D40" s="60">
        <v>51</v>
      </c>
      <c r="E40" s="51">
        <v>0</v>
      </c>
      <c r="F40" s="51">
        <v>0.5</v>
      </c>
      <c r="G40" s="51">
        <v>0</v>
      </c>
      <c r="H40" s="51">
        <v>0.5</v>
      </c>
      <c r="I40" s="49">
        <f t="shared" si="1"/>
        <v>8.6666666666666661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78</v>
      </c>
      <c r="B41" s="60">
        <v>296</v>
      </c>
      <c r="C41" s="60">
        <v>6</v>
      </c>
      <c r="D41" s="60">
        <v>49</v>
      </c>
      <c r="E41" s="51">
        <v>0.1</v>
      </c>
      <c r="F41" s="51">
        <v>0.5</v>
      </c>
      <c r="G41" s="51">
        <v>0</v>
      </c>
      <c r="H41" s="51">
        <v>0.4</v>
      </c>
      <c r="I41" s="53">
        <f t="shared" si="1"/>
        <v>8.1111111111111107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87</v>
      </c>
      <c r="B42" s="60">
        <v>317</v>
      </c>
      <c r="C42" s="60">
        <v>7</v>
      </c>
      <c r="D42" s="60">
        <v>45</v>
      </c>
      <c r="E42" s="51">
        <v>0.3</v>
      </c>
      <c r="F42" s="51">
        <v>0.35</v>
      </c>
      <c r="G42" s="51">
        <v>0</v>
      </c>
      <c r="H42" s="51">
        <v>0.35</v>
      </c>
      <c r="I42" s="53">
        <f t="shared" si="1"/>
        <v>7.7777777777777777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96</v>
      </c>
      <c r="B43" s="60">
        <v>338</v>
      </c>
      <c r="C43" s="60">
        <v>8</v>
      </c>
      <c r="D43" s="60">
        <v>44</v>
      </c>
      <c r="E43" s="51">
        <v>0.4</v>
      </c>
      <c r="F43" s="51">
        <v>0.3</v>
      </c>
      <c r="G43" s="51">
        <v>0</v>
      </c>
      <c r="H43" s="51">
        <v>0.3</v>
      </c>
      <c r="I43" s="49">
        <f t="shared" si="1"/>
        <v>7.333333333333333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105</v>
      </c>
      <c r="B44" s="60">
        <v>358</v>
      </c>
      <c r="C44" s="60">
        <v>9</v>
      </c>
      <c r="D44" s="60">
        <v>43</v>
      </c>
      <c r="E44" s="51">
        <v>0.7</v>
      </c>
      <c r="F44" s="51">
        <v>0.1</v>
      </c>
      <c r="G44" s="51">
        <v>0</v>
      </c>
      <c r="H44" s="51">
        <v>0.2</v>
      </c>
      <c r="I44" s="49">
        <f t="shared" si="1"/>
        <v>7.1111111111111107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114</v>
      </c>
      <c r="B45" s="60">
        <v>378</v>
      </c>
      <c r="C45" s="60">
        <v>10</v>
      </c>
      <c r="D45" s="60">
        <v>43</v>
      </c>
      <c r="E45" s="51">
        <v>0.7</v>
      </c>
      <c r="F45" s="51">
        <v>0.1</v>
      </c>
      <c r="G45" s="51">
        <v>0</v>
      </c>
      <c r="H45" s="51">
        <v>0.2</v>
      </c>
      <c r="I45" s="49">
        <f t="shared" si="1"/>
        <v>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123</v>
      </c>
      <c r="B46" s="60">
        <v>397</v>
      </c>
      <c r="C46" s="60">
        <v>11</v>
      </c>
      <c r="D46" s="60">
        <v>41</v>
      </c>
      <c r="E46" s="51">
        <v>0.7</v>
      </c>
      <c r="F46" s="51">
        <v>0.1</v>
      </c>
      <c r="G46" s="51">
        <v>0</v>
      </c>
      <c r="H46" s="51">
        <v>0.2</v>
      </c>
      <c r="I46" s="49">
        <f t="shared" si="1"/>
        <v>6.8888888888888893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132</v>
      </c>
      <c r="B47" s="60">
        <v>419</v>
      </c>
      <c r="C47" s="60">
        <v>12</v>
      </c>
      <c r="D47" s="60">
        <v>42</v>
      </c>
      <c r="E47" s="51">
        <v>0.7</v>
      </c>
      <c r="F47" s="51">
        <v>0.1</v>
      </c>
      <c r="G47" s="51">
        <v>0</v>
      </c>
      <c r="H47" s="51">
        <v>0.2</v>
      </c>
      <c r="I47" s="49">
        <f t="shared" si="1"/>
        <v>7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141</v>
      </c>
      <c r="B48" s="60">
        <v>441</v>
      </c>
      <c r="C48" s="60">
        <v>13</v>
      </c>
      <c r="D48" s="60">
        <v>45</v>
      </c>
      <c r="E48" s="51">
        <v>0.7</v>
      </c>
      <c r="F48" s="51">
        <v>0.1</v>
      </c>
      <c r="G48" s="51">
        <v>0</v>
      </c>
      <c r="H48" s="51">
        <v>0.2</v>
      </c>
      <c r="I48" s="49">
        <f t="shared" si="1"/>
        <v>7.1111111111111107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153</v>
      </c>
      <c r="B49" s="60">
        <v>481</v>
      </c>
      <c r="C49" s="60" t="s">
        <v>326</v>
      </c>
      <c r="D49" s="60">
        <f>B49</f>
        <v>481</v>
      </c>
      <c r="E49" s="51">
        <v>0.7</v>
      </c>
      <c r="F49" s="51">
        <v>0.1</v>
      </c>
      <c r="G49" s="51">
        <v>0</v>
      </c>
      <c r="H49" s="51">
        <v>0.2</v>
      </c>
      <c r="I49" s="49">
        <f t="shared" si="1"/>
        <v>7.083333333333333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36</v>
      </c>
      <c r="B62" s="60">
        <v>144</v>
      </c>
      <c r="C62" s="60">
        <v>1</v>
      </c>
      <c r="D62" s="60">
        <v>35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44</v>
      </c>
      <c r="B63" s="60">
        <v>188</v>
      </c>
      <c r="C63" s="60">
        <v>2</v>
      </c>
      <c r="D63" s="60">
        <v>46</v>
      </c>
      <c r="E63" s="51">
        <v>0</v>
      </c>
      <c r="F63" s="51">
        <v>0.5</v>
      </c>
      <c r="G63" s="51">
        <v>0</v>
      </c>
      <c r="H63" s="51">
        <v>0.5</v>
      </c>
      <c r="I63" s="49">
        <f>IF(A63&lt;&gt;0,(B63-(B62-D62))/(A63-A62),"")</f>
        <v>9.875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52</v>
      </c>
      <c r="B64" s="60">
        <v>232</v>
      </c>
      <c r="C64" s="60">
        <v>3</v>
      </c>
      <c r="D64" s="60">
        <v>63</v>
      </c>
      <c r="E64" s="51">
        <v>0</v>
      </c>
      <c r="F64" s="51">
        <v>0.5</v>
      </c>
      <c r="G64" s="51">
        <v>0</v>
      </c>
      <c r="H64" s="51">
        <v>0.5</v>
      </c>
      <c r="I64" s="49">
        <f>IF(A64&lt;&gt;0,(B64-(B63-D63))/(A64-A63),"")</f>
        <v>11.25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60</v>
      </c>
      <c r="B65" s="60">
        <v>250</v>
      </c>
      <c r="C65" s="60">
        <v>4</v>
      </c>
      <c r="D65" s="60">
        <v>54</v>
      </c>
      <c r="E65" s="51">
        <v>0</v>
      </c>
      <c r="F65" s="51">
        <v>0.5</v>
      </c>
      <c r="G65" s="51">
        <v>0</v>
      </c>
      <c r="H65" s="51">
        <v>0.5</v>
      </c>
      <c r="I65" s="49">
        <f>IF(A65&lt;&gt;0,(B65-(B64-D64))/(A65-A64),"")</f>
        <v>10.125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69</v>
      </c>
      <c r="B66" s="60">
        <v>274</v>
      </c>
      <c r="C66" s="60">
        <v>5</v>
      </c>
      <c r="D66" s="60">
        <v>51</v>
      </c>
      <c r="E66" s="51">
        <v>0</v>
      </c>
      <c r="F66" s="51">
        <v>0.5</v>
      </c>
      <c r="G66" s="51">
        <v>0</v>
      </c>
      <c r="H66" s="51">
        <v>0.5</v>
      </c>
      <c r="I66" s="49">
        <f t="shared" ref="I66:I81" si="2">IF(A66&lt;&gt;0,(B66-(B65-D65))/(A66-A65),"")</f>
        <v>8.6666666666666661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78</v>
      </c>
      <c r="B67" s="60">
        <v>296</v>
      </c>
      <c r="C67" s="60">
        <v>6</v>
      </c>
      <c r="D67" s="60">
        <v>49</v>
      </c>
      <c r="E67" s="51">
        <v>0.1</v>
      </c>
      <c r="F67" s="51">
        <v>0.5</v>
      </c>
      <c r="G67" s="51">
        <v>0</v>
      </c>
      <c r="H67" s="51">
        <v>0.4</v>
      </c>
      <c r="I67" s="49">
        <f t="shared" si="2"/>
        <v>8.1111111111111107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87</v>
      </c>
      <c r="B68" s="60">
        <v>317</v>
      </c>
      <c r="C68" s="60">
        <v>7</v>
      </c>
      <c r="D68" s="60">
        <v>45</v>
      </c>
      <c r="E68" s="51">
        <v>0.3</v>
      </c>
      <c r="F68" s="51">
        <v>0.35</v>
      </c>
      <c r="G68" s="51">
        <v>0</v>
      </c>
      <c r="H68" s="51">
        <v>0.35</v>
      </c>
      <c r="I68" s="49">
        <f t="shared" si="2"/>
        <v>7.7777777777777777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96</v>
      </c>
      <c r="B69" s="50">
        <v>338</v>
      </c>
      <c r="C69" s="50">
        <v>8</v>
      </c>
      <c r="D69" s="50">
        <v>44</v>
      </c>
      <c r="E69" s="51">
        <v>0.4</v>
      </c>
      <c r="F69" s="51">
        <v>0.3</v>
      </c>
      <c r="G69" s="51">
        <v>0</v>
      </c>
      <c r="H69" s="51">
        <v>0.3</v>
      </c>
      <c r="I69" s="49">
        <f t="shared" si="2"/>
        <v>7.333333333333333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105</v>
      </c>
      <c r="B70" s="50">
        <v>358</v>
      </c>
      <c r="C70" s="50">
        <v>9</v>
      </c>
      <c r="D70" s="50">
        <v>43</v>
      </c>
      <c r="E70" s="51">
        <v>0.7</v>
      </c>
      <c r="F70" s="51">
        <v>0.1</v>
      </c>
      <c r="G70" s="51">
        <v>0</v>
      </c>
      <c r="H70" s="51">
        <v>0.2</v>
      </c>
      <c r="I70" s="49">
        <f t="shared" si="2"/>
        <v>7.1111111111111107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114</v>
      </c>
      <c r="B71" s="50">
        <v>378</v>
      </c>
      <c r="C71" s="50">
        <v>10</v>
      </c>
      <c r="D71" s="50">
        <v>43</v>
      </c>
      <c r="E71" s="51">
        <v>0.7</v>
      </c>
      <c r="F71" s="51">
        <v>0.1</v>
      </c>
      <c r="G71" s="51">
        <v>0</v>
      </c>
      <c r="H71" s="51">
        <v>0.2</v>
      </c>
      <c r="I71" s="49">
        <f t="shared" si="2"/>
        <v>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123</v>
      </c>
      <c r="B72" s="50">
        <v>397</v>
      </c>
      <c r="C72" s="50">
        <v>11</v>
      </c>
      <c r="D72" s="50">
        <v>41</v>
      </c>
      <c r="E72" s="51">
        <v>0.7</v>
      </c>
      <c r="F72" s="51">
        <v>0.1</v>
      </c>
      <c r="G72" s="51">
        <v>0</v>
      </c>
      <c r="H72" s="51">
        <v>0.2</v>
      </c>
      <c r="I72" s="49">
        <f t="shared" si="2"/>
        <v>6.8888888888888893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132</v>
      </c>
      <c r="B73" s="50">
        <v>419</v>
      </c>
      <c r="C73" s="50">
        <v>12</v>
      </c>
      <c r="D73" s="50">
        <v>42</v>
      </c>
      <c r="E73" s="51">
        <v>0.7</v>
      </c>
      <c r="F73" s="51">
        <v>0.1</v>
      </c>
      <c r="G73" s="51">
        <v>0</v>
      </c>
      <c r="H73" s="51">
        <v>0.2</v>
      </c>
      <c r="I73" s="49">
        <f t="shared" si="2"/>
        <v>7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141</v>
      </c>
      <c r="B74" s="50">
        <v>441</v>
      </c>
      <c r="C74" s="50">
        <v>13</v>
      </c>
      <c r="D74" s="50">
        <v>45</v>
      </c>
      <c r="E74" s="51">
        <v>0.7</v>
      </c>
      <c r="F74" s="51">
        <v>0.1</v>
      </c>
      <c r="G74" s="51">
        <v>0</v>
      </c>
      <c r="H74" s="51">
        <v>0.2</v>
      </c>
      <c r="I74" s="49">
        <f t="shared" si="2"/>
        <v>7.1111111111111107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153</v>
      </c>
      <c r="B75" s="50">
        <v>481</v>
      </c>
      <c r="C75" s="50" t="s">
        <v>326</v>
      </c>
      <c r="D75" s="50">
        <f>B75</f>
        <v>481</v>
      </c>
      <c r="E75" s="51">
        <v>0.7</v>
      </c>
      <c r="F75" s="51">
        <v>0.1</v>
      </c>
      <c r="G75" s="51">
        <v>0</v>
      </c>
      <c r="H75" s="51">
        <v>0.2</v>
      </c>
      <c r="I75" s="49">
        <f t="shared" si="2"/>
        <v>7.083333333333333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Alisier torminal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f>12+D88</f>
        <v>19</v>
      </c>
      <c r="C88" s="60">
        <v>1</v>
      </c>
      <c r="D88" s="60">
        <v>7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15</v>
      </c>
      <c r="B89" s="60">
        <f>43+D89</f>
        <v>85</v>
      </c>
      <c r="C89" s="60">
        <v>2</v>
      </c>
      <c r="D89" s="60">
        <v>42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14.6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20</v>
      </c>
      <c r="B90" s="60">
        <f>81+D90</f>
        <v>123</v>
      </c>
      <c r="C90" s="60">
        <v>3</v>
      </c>
      <c r="D90" s="60">
        <v>42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25</v>
      </c>
      <c r="B91" s="60">
        <f>123+D91</f>
        <v>165</v>
      </c>
      <c r="C91" s="60">
        <v>4</v>
      </c>
      <c r="D91" s="60">
        <v>42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16.8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30</v>
      </c>
      <c r="B92" s="60">
        <f>163+D92</f>
        <v>205</v>
      </c>
      <c r="C92" s="60">
        <v>5</v>
      </c>
      <c r="D92" s="60">
        <v>42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16.399999999999999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35</v>
      </c>
      <c r="B93" s="60">
        <f>197+D93</f>
        <v>239</v>
      </c>
      <c r="C93" s="60">
        <v>6</v>
      </c>
      <c r="D93" s="60">
        <v>42</v>
      </c>
      <c r="E93" s="87">
        <v>0</v>
      </c>
      <c r="F93" s="87">
        <v>0.3</v>
      </c>
      <c r="G93" s="87">
        <v>0.4</v>
      </c>
      <c r="H93" s="87">
        <v>0.3</v>
      </c>
      <c r="I93" s="53">
        <f t="shared" si="3"/>
        <v>15.2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40</v>
      </c>
      <c r="B94" s="60">
        <f>223+D94</f>
        <v>263</v>
      </c>
      <c r="C94" s="60">
        <v>7</v>
      </c>
      <c r="D94" s="60">
        <v>40</v>
      </c>
      <c r="E94" s="87">
        <v>0.1</v>
      </c>
      <c r="F94" s="87">
        <v>0.4</v>
      </c>
      <c r="G94" s="87">
        <v>0.3</v>
      </c>
      <c r="H94" s="87">
        <v>0.2</v>
      </c>
      <c r="I94" s="53">
        <f t="shared" si="3"/>
        <v>13.2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45</v>
      </c>
      <c r="B95" s="60">
        <f>254+D95</f>
        <v>280</v>
      </c>
      <c r="C95" s="60">
        <v>8</v>
      </c>
      <c r="D95" s="60">
        <v>26</v>
      </c>
      <c r="E95" s="87">
        <v>0.3</v>
      </c>
      <c r="F95" s="87">
        <v>0.2</v>
      </c>
      <c r="G95" s="87">
        <v>0.3</v>
      </c>
      <c r="H95" s="87">
        <v>0.2</v>
      </c>
      <c r="I95" s="53">
        <f t="shared" si="3"/>
        <v>11.4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50</v>
      </c>
      <c r="B96" s="60">
        <f>282+D96</f>
        <v>303</v>
      </c>
      <c r="C96" s="60">
        <v>9</v>
      </c>
      <c r="D96" s="60">
        <v>21</v>
      </c>
      <c r="E96" s="87">
        <v>0.5</v>
      </c>
      <c r="F96" s="87">
        <v>0</v>
      </c>
      <c r="G96" s="87">
        <v>0.3</v>
      </c>
      <c r="H96" s="87">
        <v>0.2</v>
      </c>
      <c r="I96" s="53">
        <f t="shared" si="3"/>
        <v>9.8000000000000007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55</v>
      </c>
      <c r="B97" s="60">
        <f>306+D97</f>
        <v>324</v>
      </c>
      <c r="C97" s="60">
        <v>10</v>
      </c>
      <c r="D97" s="60">
        <v>18</v>
      </c>
      <c r="E97" s="87">
        <v>0.7</v>
      </c>
      <c r="F97" s="87">
        <v>0</v>
      </c>
      <c r="G97" s="87">
        <v>0.2</v>
      </c>
      <c r="H97" s="87">
        <v>0.1</v>
      </c>
      <c r="I97" s="53">
        <f t="shared" si="3"/>
        <v>8.4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60</v>
      </c>
      <c r="B98" s="60">
        <f>326+D98</f>
        <v>343</v>
      </c>
      <c r="C98" s="60">
        <v>11</v>
      </c>
      <c r="D98" s="60">
        <v>17</v>
      </c>
      <c r="E98" s="87">
        <v>0.7</v>
      </c>
      <c r="F98" s="87">
        <v>0</v>
      </c>
      <c r="G98" s="87">
        <v>0.2</v>
      </c>
      <c r="H98" s="87">
        <v>0.1</v>
      </c>
      <c r="I98" s="53">
        <f t="shared" si="3"/>
        <v>7.4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65</v>
      </c>
      <c r="B99" s="60">
        <f>340+D99</f>
        <v>356</v>
      </c>
      <c r="C99" s="60">
        <v>12</v>
      </c>
      <c r="D99" s="60">
        <v>16</v>
      </c>
      <c r="E99" s="87">
        <v>0.7</v>
      </c>
      <c r="F99" s="87">
        <v>0</v>
      </c>
      <c r="G99" s="87">
        <v>0.2</v>
      </c>
      <c r="H99" s="87">
        <v>0.1</v>
      </c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70</v>
      </c>
      <c r="B100" s="60">
        <f>351+D100</f>
        <v>366</v>
      </c>
      <c r="C100" s="60">
        <v>13</v>
      </c>
      <c r="D100" s="60">
        <v>15</v>
      </c>
      <c r="E100" s="65">
        <v>0.7</v>
      </c>
      <c r="F100" s="65">
        <v>0</v>
      </c>
      <c r="G100" s="65">
        <v>0.2</v>
      </c>
      <c r="H100" s="65">
        <v>0.1</v>
      </c>
      <c r="I100" s="53">
        <f t="shared" si="3"/>
        <v>5.2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75</v>
      </c>
      <c r="B101" s="60">
        <f>361+D101</f>
        <v>375</v>
      </c>
      <c r="C101" s="60">
        <v>14</v>
      </c>
      <c r="D101" s="60">
        <v>14</v>
      </c>
      <c r="E101" s="65">
        <v>0.7</v>
      </c>
      <c r="F101" s="65">
        <v>0</v>
      </c>
      <c r="G101" s="65">
        <v>0.2</v>
      </c>
      <c r="H101" s="65">
        <v>0.1</v>
      </c>
      <c r="I101" s="53">
        <f t="shared" si="3"/>
        <v>4.8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80</v>
      </c>
      <c r="B102" s="50">
        <f>368+13</f>
        <v>381</v>
      </c>
      <c r="C102" s="60" t="s">
        <v>326</v>
      </c>
      <c r="D102" s="50">
        <f>B102</f>
        <v>381</v>
      </c>
      <c r="E102" s="54">
        <v>0.7</v>
      </c>
      <c r="F102" s="54">
        <v>0</v>
      </c>
      <c r="G102" s="54">
        <v>0.2</v>
      </c>
      <c r="H102" s="54">
        <v>0.1</v>
      </c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Orme</v>
      </c>
      <c r="D110" s="229" t="s">
        <v>307</v>
      </c>
      <c r="I110" s="23" t="s">
        <v>327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f>12+D114</f>
        <v>19</v>
      </c>
      <c r="C114" s="50">
        <v>1</v>
      </c>
      <c r="D114" s="60">
        <v>7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15</v>
      </c>
      <c r="B115" s="60">
        <f>43+D115</f>
        <v>85</v>
      </c>
      <c r="C115" s="50">
        <v>2</v>
      </c>
      <c r="D115" s="60">
        <v>42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20</v>
      </c>
      <c r="B116" s="60">
        <f>81+D116</f>
        <v>123</v>
      </c>
      <c r="C116" s="50">
        <v>3</v>
      </c>
      <c r="D116" s="60">
        <v>42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25</v>
      </c>
      <c r="B117" s="60">
        <f>123+D117</f>
        <v>165</v>
      </c>
      <c r="C117" s="50">
        <v>4</v>
      </c>
      <c r="D117" s="60">
        <v>42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16.8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30</v>
      </c>
      <c r="B118" s="60">
        <f>163+D118</f>
        <v>205</v>
      </c>
      <c r="C118" s="50">
        <v>5</v>
      </c>
      <c r="D118" s="60">
        <v>42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16.399999999999999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35</v>
      </c>
      <c r="B119" s="60">
        <f>197+D119</f>
        <v>239</v>
      </c>
      <c r="C119" s="50">
        <v>6</v>
      </c>
      <c r="D119" s="60">
        <v>42</v>
      </c>
      <c r="E119" s="51">
        <v>0</v>
      </c>
      <c r="F119" s="51">
        <v>0.3</v>
      </c>
      <c r="G119" s="51">
        <v>0.4</v>
      </c>
      <c r="H119" s="51">
        <v>0.3</v>
      </c>
      <c r="I119" s="53">
        <f t="shared" si="4"/>
        <v>15.2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40</v>
      </c>
      <c r="B120" s="60">
        <f>223+D120</f>
        <v>263</v>
      </c>
      <c r="C120" s="60">
        <v>7</v>
      </c>
      <c r="D120" s="60">
        <v>40</v>
      </c>
      <c r="E120" s="87">
        <v>0.1</v>
      </c>
      <c r="F120" s="87">
        <v>0.4</v>
      </c>
      <c r="G120" s="87">
        <v>0.3</v>
      </c>
      <c r="H120" s="87">
        <v>0.2</v>
      </c>
      <c r="I120" s="53">
        <f t="shared" si="4"/>
        <v>13.2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45</v>
      </c>
      <c r="B121" s="60">
        <f>254+D121</f>
        <v>280</v>
      </c>
      <c r="C121" s="60">
        <v>8</v>
      </c>
      <c r="D121" s="60">
        <v>26</v>
      </c>
      <c r="E121" s="87">
        <v>0.3</v>
      </c>
      <c r="F121" s="87">
        <v>0.2</v>
      </c>
      <c r="G121" s="87">
        <v>0.3</v>
      </c>
      <c r="H121" s="87">
        <v>0.2</v>
      </c>
      <c r="I121" s="53">
        <f t="shared" si="4"/>
        <v>11.4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50</v>
      </c>
      <c r="B122" s="60">
        <f>282+D122</f>
        <v>303</v>
      </c>
      <c r="C122" s="60">
        <v>9</v>
      </c>
      <c r="D122" s="60">
        <v>21</v>
      </c>
      <c r="E122" s="87">
        <v>0.5</v>
      </c>
      <c r="F122" s="87">
        <v>0</v>
      </c>
      <c r="G122" s="87">
        <v>0.3</v>
      </c>
      <c r="H122" s="87">
        <v>0.2</v>
      </c>
      <c r="I122" s="53">
        <f t="shared" si="4"/>
        <v>9.8000000000000007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55</v>
      </c>
      <c r="B123" s="60">
        <f>306+D123</f>
        <v>324</v>
      </c>
      <c r="C123" s="60">
        <v>10</v>
      </c>
      <c r="D123" s="60">
        <v>18</v>
      </c>
      <c r="E123" s="87">
        <v>0.7</v>
      </c>
      <c r="F123" s="87">
        <v>0</v>
      </c>
      <c r="G123" s="87">
        <v>0.2</v>
      </c>
      <c r="H123" s="87">
        <v>0.1</v>
      </c>
      <c r="I123" s="53">
        <f t="shared" si="4"/>
        <v>8.4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60</v>
      </c>
      <c r="B124" s="60">
        <f>326+D124</f>
        <v>343</v>
      </c>
      <c r="C124" s="60">
        <v>11</v>
      </c>
      <c r="D124" s="60">
        <v>17</v>
      </c>
      <c r="E124" s="87">
        <v>0.7</v>
      </c>
      <c r="F124" s="87">
        <v>0</v>
      </c>
      <c r="G124" s="87">
        <v>0.2</v>
      </c>
      <c r="H124" s="87">
        <v>0.1</v>
      </c>
      <c r="I124" s="53">
        <f t="shared" si="4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65</v>
      </c>
      <c r="B125" s="60">
        <f>340+D125</f>
        <v>356</v>
      </c>
      <c r="C125" s="60">
        <v>12</v>
      </c>
      <c r="D125" s="60">
        <v>16</v>
      </c>
      <c r="E125" s="87">
        <v>0.7</v>
      </c>
      <c r="F125" s="87">
        <v>0</v>
      </c>
      <c r="G125" s="87">
        <v>0.2</v>
      </c>
      <c r="H125" s="87">
        <v>0.1</v>
      </c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70</v>
      </c>
      <c r="B126" s="60">
        <f>351+D126</f>
        <v>366</v>
      </c>
      <c r="C126" s="60">
        <v>13</v>
      </c>
      <c r="D126" s="60">
        <v>15</v>
      </c>
      <c r="E126" s="65">
        <v>0.7</v>
      </c>
      <c r="F126" s="65">
        <v>0</v>
      </c>
      <c r="G126" s="65">
        <v>0.2</v>
      </c>
      <c r="H126" s="65">
        <v>0.1</v>
      </c>
      <c r="I126" s="53">
        <f t="shared" si="4"/>
        <v>5.2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75</v>
      </c>
      <c r="B127" s="60">
        <f>361+D127</f>
        <v>375</v>
      </c>
      <c r="C127" s="60">
        <v>14</v>
      </c>
      <c r="D127" s="60">
        <v>14</v>
      </c>
      <c r="E127" s="65">
        <v>0.7</v>
      </c>
      <c r="F127" s="65">
        <v>0</v>
      </c>
      <c r="G127" s="65">
        <v>0.2</v>
      </c>
      <c r="H127" s="65">
        <v>0.1</v>
      </c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80</v>
      </c>
      <c r="B128" s="50">
        <f>368+13</f>
        <v>381</v>
      </c>
      <c r="C128" s="50" t="s">
        <v>326</v>
      </c>
      <c r="D128" s="50">
        <f>B128</f>
        <v>381</v>
      </c>
      <c r="E128" s="54">
        <v>0.7</v>
      </c>
      <c r="F128" s="54">
        <v>0</v>
      </c>
      <c r="G128" s="54">
        <v>0.2</v>
      </c>
      <c r="H128" s="54">
        <v>0.1</v>
      </c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Alisier torminal</v>
      </c>
      <c r="D136" s="229" t="s">
        <v>307</v>
      </c>
      <c r="I136" s="23" t="s">
        <v>328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f>12+D140</f>
        <v>19</v>
      </c>
      <c r="C140" s="50">
        <v>1</v>
      </c>
      <c r="D140" s="60">
        <v>7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1.9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15</v>
      </c>
      <c r="B141" s="60">
        <f>43+D141</f>
        <v>85</v>
      </c>
      <c r="C141" s="50">
        <v>2</v>
      </c>
      <c r="D141" s="60">
        <v>42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14.6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20</v>
      </c>
      <c r="B142" s="60">
        <f>81+D142</f>
        <v>123</v>
      </c>
      <c r="C142" s="50">
        <v>3</v>
      </c>
      <c r="D142" s="60">
        <v>42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25</v>
      </c>
      <c r="B143" s="60">
        <f>123+D143</f>
        <v>165</v>
      </c>
      <c r="C143" s="50">
        <v>4</v>
      </c>
      <c r="D143" s="60">
        <v>42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16.8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30</v>
      </c>
      <c r="B144" s="60">
        <f>163+D144</f>
        <v>205</v>
      </c>
      <c r="C144" s="50">
        <v>5</v>
      </c>
      <c r="D144" s="60">
        <v>42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16.399999999999999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35</v>
      </c>
      <c r="B145" s="60">
        <f>197+D145</f>
        <v>239</v>
      </c>
      <c r="C145" s="50">
        <v>6</v>
      </c>
      <c r="D145" s="60">
        <v>42</v>
      </c>
      <c r="E145" s="51">
        <v>0</v>
      </c>
      <c r="F145" s="51">
        <v>0.3</v>
      </c>
      <c r="G145" s="51">
        <v>0.4</v>
      </c>
      <c r="H145" s="51">
        <v>0.3</v>
      </c>
      <c r="I145" s="57">
        <f t="shared" si="5"/>
        <v>15.2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40</v>
      </c>
      <c r="B146" s="60">
        <f>223+D146</f>
        <v>263</v>
      </c>
      <c r="C146" s="50">
        <v>7</v>
      </c>
      <c r="D146" s="60">
        <v>40</v>
      </c>
      <c r="E146" s="51">
        <v>0.1</v>
      </c>
      <c r="F146" s="51">
        <v>0.4</v>
      </c>
      <c r="G146" s="51">
        <v>0.3</v>
      </c>
      <c r="H146" s="51">
        <v>0.2</v>
      </c>
      <c r="I146" s="57">
        <f t="shared" si="5"/>
        <v>13.2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45</v>
      </c>
      <c r="B147" s="60">
        <f>254+D147</f>
        <v>280</v>
      </c>
      <c r="C147" s="50">
        <v>8</v>
      </c>
      <c r="D147" s="60">
        <v>26</v>
      </c>
      <c r="E147" s="51">
        <v>0.3</v>
      </c>
      <c r="F147" s="51">
        <v>0.2</v>
      </c>
      <c r="G147" s="51">
        <v>0.3</v>
      </c>
      <c r="H147" s="51">
        <v>0.2</v>
      </c>
      <c r="I147" s="57">
        <f>IF(A147&lt;&gt;0,(B147-(B146-D146))/(A147-A146),"")</f>
        <v>11.4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50</v>
      </c>
      <c r="B148" s="60">
        <f>282+D148</f>
        <v>303</v>
      </c>
      <c r="C148" s="50">
        <v>9</v>
      </c>
      <c r="D148" s="60">
        <v>21</v>
      </c>
      <c r="E148" s="51">
        <v>0.5</v>
      </c>
      <c r="F148" s="51">
        <v>0</v>
      </c>
      <c r="G148" s="51">
        <v>0.3</v>
      </c>
      <c r="H148" s="51">
        <v>0.2</v>
      </c>
      <c r="I148" s="57">
        <f t="shared" si="5"/>
        <v>9.8000000000000007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55</v>
      </c>
      <c r="B149" s="60">
        <f>306+D149</f>
        <v>324</v>
      </c>
      <c r="C149" s="50">
        <v>10</v>
      </c>
      <c r="D149" s="60">
        <v>18</v>
      </c>
      <c r="E149" s="51">
        <v>0.7</v>
      </c>
      <c r="F149" s="51">
        <v>0</v>
      </c>
      <c r="G149" s="51">
        <v>0.2</v>
      </c>
      <c r="H149" s="51">
        <v>0.1</v>
      </c>
      <c r="I149" s="57">
        <f t="shared" si="5"/>
        <v>8.4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60</v>
      </c>
      <c r="B150" s="60">
        <f>326+D150</f>
        <v>343</v>
      </c>
      <c r="C150" s="50">
        <v>11</v>
      </c>
      <c r="D150" s="60">
        <v>17</v>
      </c>
      <c r="E150" s="51">
        <v>0.7</v>
      </c>
      <c r="F150" s="51">
        <v>0</v>
      </c>
      <c r="G150" s="51">
        <v>0.2</v>
      </c>
      <c r="H150" s="51">
        <v>0.1</v>
      </c>
      <c r="I150" s="57">
        <f t="shared" si="5"/>
        <v>7.4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65</v>
      </c>
      <c r="B151" s="60">
        <f>340+D151</f>
        <v>356</v>
      </c>
      <c r="C151" s="50">
        <v>12</v>
      </c>
      <c r="D151" s="60">
        <v>16</v>
      </c>
      <c r="E151" s="51">
        <v>0.7</v>
      </c>
      <c r="F151" s="51">
        <v>0</v>
      </c>
      <c r="G151" s="51">
        <v>0.2</v>
      </c>
      <c r="H151" s="51">
        <v>0.1</v>
      </c>
      <c r="I151" s="57">
        <f t="shared" si="5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70</v>
      </c>
      <c r="B152" s="60">
        <f>351+D152</f>
        <v>366</v>
      </c>
      <c r="C152" s="50">
        <v>13</v>
      </c>
      <c r="D152" s="60">
        <v>15</v>
      </c>
      <c r="E152" s="54">
        <v>0.7</v>
      </c>
      <c r="F152" s="54">
        <v>0</v>
      </c>
      <c r="G152" s="54">
        <v>0.2</v>
      </c>
      <c r="H152" s="54">
        <v>0.1</v>
      </c>
      <c r="I152" s="57">
        <f t="shared" si="5"/>
        <v>5.2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75</v>
      </c>
      <c r="B153" s="60">
        <f>361+D153</f>
        <v>375</v>
      </c>
      <c r="C153" s="50">
        <v>14</v>
      </c>
      <c r="D153" s="60">
        <v>14</v>
      </c>
      <c r="E153" s="54">
        <v>0.7</v>
      </c>
      <c r="F153" s="54">
        <v>0</v>
      </c>
      <c r="G153" s="54">
        <v>0.2</v>
      </c>
      <c r="H153" s="54">
        <v>0.1</v>
      </c>
      <c r="I153" s="57">
        <f t="shared" si="5"/>
        <v>4.8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>
        <v>80</v>
      </c>
      <c r="B154" s="56">
        <f>368+13</f>
        <v>381</v>
      </c>
      <c r="C154" s="50" t="s">
        <v>326</v>
      </c>
      <c r="D154" s="50">
        <f>B154</f>
        <v>381</v>
      </c>
      <c r="E154" s="54">
        <v>0.7</v>
      </c>
      <c r="F154" s="54">
        <v>0</v>
      </c>
      <c r="G154" s="54">
        <v>0.2</v>
      </c>
      <c r="H154" s="54">
        <v>0.1</v>
      </c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Alisier torminal</v>
      </c>
      <c r="D162" s="229" t="s">
        <v>307</v>
      </c>
      <c r="I162" s="23" t="s">
        <v>329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I163" s="23">
        <v>68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f>12+D166</f>
        <v>19</v>
      </c>
      <c r="C166" s="60">
        <v>1</v>
      </c>
      <c r="D166" s="60">
        <v>7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1.9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15</v>
      </c>
      <c r="B167" s="60">
        <f>43+D167</f>
        <v>85</v>
      </c>
      <c r="C167" s="60">
        <v>2</v>
      </c>
      <c r="D167" s="60">
        <v>42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14.6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20</v>
      </c>
      <c r="B168" s="60">
        <f>81+D168</f>
        <v>123</v>
      </c>
      <c r="C168" s="60">
        <v>3</v>
      </c>
      <c r="D168" s="60">
        <v>42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16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25</v>
      </c>
      <c r="B169" s="60">
        <f>123+D169</f>
        <v>165</v>
      </c>
      <c r="C169" s="60">
        <v>4</v>
      </c>
      <c r="D169" s="60">
        <v>42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16.8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30</v>
      </c>
      <c r="B170" s="60">
        <f>163+D170</f>
        <v>205</v>
      </c>
      <c r="C170" s="60">
        <v>5</v>
      </c>
      <c r="D170" s="60">
        <v>42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16.399999999999999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35</v>
      </c>
      <c r="B171" s="60">
        <f>197+D171</f>
        <v>239</v>
      </c>
      <c r="C171" s="60">
        <v>6</v>
      </c>
      <c r="D171" s="60">
        <v>42</v>
      </c>
      <c r="E171" s="51">
        <v>0</v>
      </c>
      <c r="F171" s="51">
        <v>0.3</v>
      </c>
      <c r="G171" s="51">
        <v>0.4</v>
      </c>
      <c r="H171" s="51">
        <v>0.3</v>
      </c>
      <c r="I171" s="49">
        <f t="shared" si="6"/>
        <v>15.2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40</v>
      </c>
      <c r="B172" s="60">
        <f>223+D172</f>
        <v>263</v>
      </c>
      <c r="C172" s="60">
        <v>7</v>
      </c>
      <c r="D172" s="60">
        <v>40</v>
      </c>
      <c r="E172" s="51">
        <v>0.1</v>
      </c>
      <c r="F172" s="51">
        <v>0.4</v>
      </c>
      <c r="G172" s="51">
        <v>0.3</v>
      </c>
      <c r="H172" s="51">
        <v>0.2</v>
      </c>
      <c r="I172" s="49">
        <f t="shared" si="6"/>
        <v>13.2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45</v>
      </c>
      <c r="B173" s="50">
        <f>254+D173</f>
        <v>280</v>
      </c>
      <c r="C173" s="50">
        <v>8</v>
      </c>
      <c r="D173" s="50">
        <v>26</v>
      </c>
      <c r="E173" s="51">
        <v>0.3</v>
      </c>
      <c r="F173" s="51">
        <v>0.2</v>
      </c>
      <c r="G173" s="51">
        <v>0.3</v>
      </c>
      <c r="H173" s="51">
        <v>0.2</v>
      </c>
      <c r="I173" s="49">
        <f t="shared" si="6"/>
        <v>11.4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50</v>
      </c>
      <c r="B174" s="50">
        <f>282+D174</f>
        <v>303</v>
      </c>
      <c r="C174" s="50">
        <v>9</v>
      </c>
      <c r="D174" s="50">
        <v>21</v>
      </c>
      <c r="E174" s="51">
        <v>0.5</v>
      </c>
      <c r="F174" s="51">
        <v>0</v>
      </c>
      <c r="G174" s="51">
        <v>0.3</v>
      </c>
      <c r="H174" s="51">
        <v>0.2</v>
      </c>
      <c r="I174" s="49">
        <f t="shared" si="6"/>
        <v>9.8000000000000007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55</v>
      </c>
      <c r="B175" s="50">
        <f>306+D175</f>
        <v>324</v>
      </c>
      <c r="C175" s="50">
        <v>10</v>
      </c>
      <c r="D175" s="50">
        <v>18</v>
      </c>
      <c r="E175" s="51">
        <v>0.7</v>
      </c>
      <c r="F175" s="51">
        <v>0</v>
      </c>
      <c r="G175" s="51">
        <v>0.2</v>
      </c>
      <c r="H175" s="51">
        <v>0.1</v>
      </c>
      <c r="I175" s="49">
        <f t="shared" si="6"/>
        <v>8.4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60</v>
      </c>
      <c r="B176" s="50">
        <f>326+D176</f>
        <v>343</v>
      </c>
      <c r="C176" s="50">
        <v>11</v>
      </c>
      <c r="D176" s="50">
        <v>17</v>
      </c>
      <c r="E176" s="51">
        <v>0.7</v>
      </c>
      <c r="F176" s="51">
        <v>0</v>
      </c>
      <c r="G176" s="51">
        <v>0.2</v>
      </c>
      <c r="H176" s="51">
        <v>0.1</v>
      </c>
      <c r="I176" s="49">
        <f t="shared" si="6"/>
        <v>7.4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65</v>
      </c>
      <c r="B177" s="50">
        <f>340+D177</f>
        <v>356</v>
      </c>
      <c r="C177" s="50">
        <v>12</v>
      </c>
      <c r="D177" s="50">
        <v>16</v>
      </c>
      <c r="E177" s="51">
        <v>0.7</v>
      </c>
      <c r="F177" s="51">
        <v>0</v>
      </c>
      <c r="G177" s="51">
        <v>0.2</v>
      </c>
      <c r="H177" s="51">
        <v>0.1</v>
      </c>
      <c r="I177" s="49">
        <f t="shared" si="6"/>
        <v>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70</v>
      </c>
      <c r="B178" s="50">
        <f>351+D178</f>
        <v>366</v>
      </c>
      <c r="C178" s="50">
        <v>13</v>
      </c>
      <c r="D178" s="50">
        <v>15</v>
      </c>
      <c r="E178" s="51">
        <v>0.7</v>
      </c>
      <c r="F178" s="51">
        <v>0</v>
      </c>
      <c r="G178" s="51">
        <v>0.2</v>
      </c>
      <c r="H178" s="51">
        <v>0.1</v>
      </c>
      <c r="I178" s="49">
        <f t="shared" si="6"/>
        <v>5.2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75</v>
      </c>
      <c r="B179" s="50">
        <f>361+D179</f>
        <v>375</v>
      </c>
      <c r="C179" s="50">
        <v>14</v>
      </c>
      <c r="D179" s="50">
        <v>14</v>
      </c>
      <c r="E179" s="51">
        <v>0.7</v>
      </c>
      <c r="F179" s="51">
        <v>0</v>
      </c>
      <c r="G179" s="51">
        <v>0.2</v>
      </c>
      <c r="H179" s="51">
        <v>0.1</v>
      </c>
      <c r="I179" s="49">
        <f t="shared" si="6"/>
        <v>4.8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>
        <v>80</v>
      </c>
      <c r="B180" s="50">
        <f>368+13</f>
        <v>381</v>
      </c>
      <c r="C180" s="50" t="s">
        <v>326</v>
      </c>
      <c r="D180" s="50">
        <f>B180</f>
        <v>381</v>
      </c>
      <c r="E180" s="51">
        <v>0.7</v>
      </c>
      <c r="F180" s="51">
        <v>0</v>
      </c>
      <c r="G180" s="51">
        <v>0.2</v>
      </c>
      <c r="H180" s="51">
        <v>0.1</v>
      </c>
      <c r="I180" s="49">
        <f t="shared" si="6"/>
        <v>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Alisier torminal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Orme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Alisier torminal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Alisier torminal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569.49435820174267</v>
      </c>
      <c r="T3" s="59">
        <f>IF('Données projet'!E9&gt;30,$R$33-$H$33,LOOKUP('Données projet'!$E$9,$A$3:$A$203,R3:R203)-LOOKUP('Données projet'!$E$9,$A$3:$A$203,$H$3:$H$203))</f>
        <v>295.37730858134739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627.83896530587367</v>
      </c>
      <c r="AO3" s="59">
        <f>IF('Données projet'!E10&gt;30,$AM$33-$H$33,LOOKUP('Données projet'!$E$10,$A$3:$A$203,AM3:AM203)-LOOKUP('Données projet'!$E$10,$A$3:$A$203,$H$3:$H$203))</f>
        <v>323.54927030899489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508.3185483454435</v>
      </c>
      <c r="BJ3" s="59">
        <f>IF('Données projet'!E11&gt;30,$BH$33-$H$33,LOOKUP('Données projet'!$E$11,$A$3:$A$203,BH3:BH203)-LOOKUP('Données projet'!$E$11,$A$3:$A$203,$H$3:$H$203))</f>
        <v>487.08233034004945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436.50252985867149</v>
      </c>
      <c r="CE3" s="59">
        <f>IF('Données projet'!E12&gt;30,$CC$33-$H$33,LOOKUP('Données projet'!$E$12,$A$3:$A$203,CC3:CC203)-LOOKUP('Données projet'!$E$12,$A$3:$A$203,$H$3:$H$203))</f>
        <v>419.00806288456329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508.3185483454435</v>
      </c>
      <c r="CZ3" s="59">
        <f>IF('Données projet'!E13&gt;30,$CX$33-$H$33,LOOKUP('Données projet'!$E$13,$A$3:$A$203,CX3:CX203)-LOOKUP('Données projet'!$E$13,$A$3:$A$203,$H$3:$H$203))</f>
        <v>487.08233034004945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508.3185483454435</v>
      </c>
      <c r="DU3" s="59">
        <f>IF('Données projet'!E14&gt;30,$DS$33-$H$33,LOOKUP('Données projet'!$E$14,$A$3:$A$203,DS3:DS203)-LOOKUP('Données projet'!$E$14,$A$3:$A$203,$H$3:$H$203))</f>
        <v>487.08233034004945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</v>
      </c>
      <c r="N4" s="13">
        <f>IF('Données projet'!$A$36&gt;35,N3+M4-V3,IF(A4&lt;'Données projet'!$A$36,$K$205^A4,IF(A4='Données projet'!$A$36,'Données projet'!$B$36,N3+M4-V3)))</f>
        <v>4</v>
      </c>
      <c r="O4" s="13">
        <f>N4*VLOOKUP('Données projet'!$B$9,Paramètres!$A$1:$I$89,3,0)*VLOOKUP('Données projet'!$B$9,Paramètres!$A$1:$I$89,5,0)</f>
        <v>3.6191999999999998</v>
      </c>
      <c r="P4" s="13">
        <f>EXP(-1.0587+0.8836*LN(O4)+0.284)</f>
        <v>1.4359593421107981</v>
      </c>
      <c r="Q4" s="20">
        <f t="shared" ref="Q4:Q34" si="2">(O4+P4)*0.475*44/12</f>
        <v>8.8044025208429719</v>
      </c>
      <c r="R4" s="59">
        <f t="shared" si="0"/>
        <v>176.61683647376682</v>
      </c>
      <c r="S4" s="59">
        <f ca="1">AVERAGE(OFFSET($R$3,0,0,'Données projet'!$E$9+1,1))-AVERAGE(OFFSET($H$3,0,0,'Données projet'!$E$9+1,1))</f>
        <v>569.49435820174267</v>
      </c>
      <c r="T4" s="59">
        <f>$T$3</f>
        <v>295.37730858134739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</v>
      </c>
      <c r="AI4" s="13">
        <f>IF('Données projet'!$A$62&gt;35,AI3+AH4-AQ3,IF(A4&lt;'Données projet'!$A$62,$AF$205^A4,IF(A4='Données projet'!$A$62,'Données projet'!$B$62,AI3+AH4-AQ3)))</f>
        <v>4</v>
      </c>
      <c r="AJ4" s="13">
        <f>AI4*VLOOKUP('Données projet'!$B$10,Paramètres!$A$1:$I$89,3,0)*VLOOKUP('Données projet'!$B$10,Paramètres!$A$1:$I$89,5,0)</f>
        <v>4.056</v>
      </c>
      <c r="AK4" s="13">
        <f>EXP(-1.0587+0.8836*LN(AJ4)+0.284)</f>
        <v>1.588061840572724</v>
      </c>
      <c r="AL4" s="20">
        <f t="shared" ref="AL4:AL67" si="4">(AJ4+AK4)*0.475*44/12</f>
        <v>9.8300743723308273</v>
      </c>
      <c r="AM4" s="59">
        <f t="shared" ref="AM4:AM67" si="5">AL4+(AD4+AE4)*44/12</f>
        <v>177.64250832525465</v>
      </c>
      <c r="AN4" s="59">
        <f ca="1">AVERAGE(OFFSET($AM$3,0,0,'Données projet'!$E$10+1,1))-AVERAGE(OFFSET($H$3,0,0,'Données projet'!$E$10+1,1))</f>
        <v>627.83896530587367</v>
      </c>
      <c r="AO4" s="59">
        <f>$AO$3</f>
        <v>323.54927030899489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1.2983495984105478</v>
      </c>
      <c r="BF4" s="13">
        <f>EXP(-1.0587+0.8836*LN(BE4)+0.284)</f>
        <v>0.58042341620228499</v>
      </c>
      <c r="BG4" s="20">
        <f t="shared" ref="BG4:BG67" si="7">(BE4+BF4)*0.475*44/12</f>
        <v>3.272196333784017</v>
      </c>
      <c r="BH4" s="59">
        <f t="shared" ref="BH4:BH67" si="8">BG4+(AY4+AZ4)*44/12</f>
        <v>171.08463028670786</v>
      </c>
      <c r="BI4" s="59">
        <f ca="1">AVERAGE(OFFSET($BH$3,0,0,'Données projet'!$E$11+1,1))-AVERAGE(OFFSET($H$3,0,0,'Données projet'!$E$11+1,1))</f>
        <v>508.3185483454435</v>
      </c>
      <c r="BJ4" s="59">
        <f>$BJ$3</f>
        <v>487.08233034004945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1.0889383728604596</v>
      </c>
      <c r="CA4" s="13">
        <f>EXP(-1.0587+0.8836*LN(BZ4)+0.284)</f>
        <v>0.49687618596193051</v>
      </c>
      <c r="CB4" s="20">
        <f t="shared" ref="CB4:CB67" si="10">(BZ4+CA4)*0.475*44/12</f>
        <v>2.761960356615663</v>
      </c>
      <c r="CC4" s="59">
        <f t="shared" ref="CC4:CC67" si="11">CB4+(BT4+BU4)*44/12</f>
        <v>170.57439430953951</v>
      </c>
      <c r="CD4" s="59">
        <f ca="1">AVERAGE(OFFSET($CC$3,0,0,'Données projet'!$E$12+1,1))-AVERAGE(OFFSET($H$3,0,0,'Données projet'!$E$12+1,1))</f>
        <v>436.50252985867149</v>
      </c>
      <c r="CE4" s="59">
        <f>$CE$3</f>
        <v>419.00806288456329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</v>
      </c>
      <c r="CT4" s="12">
        <f>IF('Données projet'!$A$140&gt;35,CT3+CS4-DB3,IF(A4&lt;'Données projet'!$A$140,$CQ$205^A4,IF(A4='Données projet'!$A$140,'Données projet'!$B$140,CT3+CS4-DB3)))</f>
        <v>1.3423796509621049</v>
      </c>
      <c r="CU4" s="17">
        <f>CT4*VLOOKUP('Données projet'!$B$13,Paramètres!$A$1:$I$89,3,0)*VLOOKUP('Données projet'!$B$13,Paramètres!$A$1:$I$89,5,0)</f>
        <v>1.2983495984105478</v>
      </c>
      <c r="CV4" s="13">
        <f>EXP(-1.0587+0.8836*LN(CU4)+0.284)</f>
        <v>0.58042341620228499</v>
      </c>
      <c r="CW4" s="20">
        <f t="shared" ref="CW4:CW67" si="13">(CU4+CV4)*0.475*44/12</f>
        <v>3.272196333784017</v>
      </c>
      <c r="CX4" s="59">
        <f t="shared" ref="CX4:CX67" si="14">CW4+(CO4+CP4)*44/12</f>
        <v>171.08463028670786</v>
      </c>
      <c r="CY4" s="59">
        <f ca="1">AVERAGE(OFFSET($CX$3,0,0,'Données projet'!$E$13+1,1))-AVERAGE(OFFSET($H$3,0,0,'Données projet'!$E$13+1,1))</f>
        <v>508.3185483454435</v>
      </c>
      <c r="CZ4" s="59">
        <f>$CZ$3</f>
        <v>487.08233034004945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1.9</v>
      </c>
      <c r="DO4" s="12">
        <f>IF('Données projet'!$A$166&gt;35,DO3+DN4-DW3,IF(A4&lt;'Données projet'!$A$166,$DL$205^A4,IF(A4='Données projet'!$A$166,'Données projet'!$B$166,DO3+DN4-DW3)))</f>
        <v>1.3423796509621049</v>
      </c>
      <c r="DP4" s="17">
        <f>DO4*VLOOKUP('Données projet'!$B$14,Paramètres!$A$1:$I$89,3,0)*VLOOKUP('Données projet'!$B$14,Paramètres!$A$1:$I$89,5,0)</f>
        <v>1.2983495984105478</v>
      </c>
      <c r="DQ4" s="13">
        <f>EXP(-1.0587+0.8836*LN(DP4)+0.284)</f>
        <v>0.58042341620228499</v>
      </c>
      <c r="DR4" s="20">
        <f t="shared" ref="DR4:DR67" si="16">(DP4+DQ4)*0.475*44/12</f>
        <v>3.272196333784017</v>
      </c>
      <c r="DS4" s="59">
        <f t="shared" ref="DS4:DS67" si="17">DR4+(DJ4+DK4)*44/12</f>
        <v>171.08463028670786</v>
      </c>
      <c r="DT4" s="59">
        <f ca="1">AVERAGE(OFFSET($DS$3,0,0,'Données projet'!$E$14+1,1))-AVERAGE(OFFSET($H$3,0,0,'Données projet'!$E$14+1,1))</f>
        <v>508.3185483454435</v>
      </c>
      <c r="DU4" s="59">
        <f>$DU$3</f>
        <v>487.08233034004945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</v>
      </c>
      <c r="N5" s="13">
        <f>IF('Données projet'!$A$36&gt;35,N4+M5-V4,IF(A5&lt;'Données projet'!$A$36,$K$205^A5,IF(A5='Données projet'!$A$36,'Données projet'!$B$36,N4+M5-V4)))</f>
        <v>8</v>
      </c>
      <c r="O5" s="13">
        <f>N5*VLOOKUP('Données projet'!$B$9,Paramètres!$A$1:$I$89,3,0)*VLOOKUP('Données projet'!$B$9,Paramètres!$A$1:$I$89,5,0)</f>
        <v>7.2383999999999995</v>
      </c>
      <c r="P5" s="13">
        <f t="shared" ref="P5:P68" si="33">EXP(-1.0587+0.8836*LN(O5)+0.284)</f>
        <v>2.6493067597344675</v>
      </c>
      <c r="Q5" s="20">
        <f t="shared" si="2"/>
        <v>17.221089273204196</v>
      </c>
      <c r="R5" s="59">
        <f t="shared" si="0"/>
        <v>187.81837056070503</v>
      </c>
      <c r="S5" s="59">
        <f ca="1">AVERAGE(OFFSET($R$3,0,0,'Données projet'!$E$9+1,1))-AVERAGE(OFFSET($H$3,0,0,'Données projet'!$E$9+1,1))</f>
        <v>569.49435820174267</v>
      </c>
      <c r="T5" s="59">
        <f t="shared" ref="T5:T68" si="34">$T$3</f>
        <v>295.37730858134739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</v>
      </c>
      <c r="AI5" s="13">
        <f>IF('Données projet'!$A$62&gt;35,AI4+AH5-AQ4,IF(A5&lt;'Données projet'!$A$62,$AF$205^A5,IF(A5='Données projet'!$A$62,'Données projet'!$B$62,AI4+AH5-AQ4)))</f>
        <v>8</v>
      </c>
      <c r="AJ5" s="13">
        <f>AI5*VLOOKUP('Données projet'!$B$10,Paramètres!$A$1:$I$89,3,0)*VLOOKUP('Données projet'!$B$10,Paramètres!$A$1:$I$89,5,0)</f>
        <v>8.1120000000000001</v>
      </c>
      <c r="AK5" s="13">
        <f t="shared" ref="AK5:AK68" si="35">EXP(-1.0587+0.8836*LN(AJ5)+0.284)</f>
        <v>2.9299318202987461</v>
      </c>
      <c r="AL5" s="20">
        <f t="shared" si="4"/>
        <v>19.231364587020316</v>
      </c>
      <c r="AM5" s="59">
        <f t="shared" si="5"/>
        <v>189.82864587452116</v>
      </c>
      <c r="AN5" s="59">
        <f ca="1">AVERAGE(OFFSET($AM$3,0,0,'Données projet'!$E$10+1,1))-AVERAGE(OFFSET($H$3,0,0,'Données projet'!$E$10+1,1))</f>
        <v>627.83896530587367</v>
      </c>
      <c r="AO5" s="59">
        <f t="shared" ref="AO5:AO68" si="36">$AO$3</f>
        <v>323.54927030899489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1.7428780807411401</v>
      </c>
      <c r="BF5" s="13">
        <f t="shared" ref="BF5:BF68" si="37">EXP(-1.0587+0.8836*LN(BE5)+0.284)</f>
        <v>0.75289704598588003</v>
      </c>
      <c r="BG5" s="20">
        <f t="shared" si="7"/>
        <v>4.3468083457162265</v>
      </c>
      <c r="BH5" s="59">
        <f t="shared" si="8"/>
        <v>174.94408963321706</v>
      </c>
      <c r="BI5" s="59">
        <f ca="1">AVERAGE(OFFSET($BH$3,0,0,'Données projet'!$E$11+1,1))-AVERAGE(OFFSET($H$3,0,0,'Données projet'!$E$11+1,1))</f>
        <v>508.3185483454435</v>
      </c>
      <c r="BJ5" s="59">
        <f t="shared" ref="BJ5:BJ68" si="38">$BJ$3</f>
        <v>487.08233034004945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1.4617687128796659</v>
      </c>
      <c r="CA5" s="13">
        <f t="shared" ref="CA5:CA68" si="39">EXP(-1.0587+0.8836*LN(BZ5)+0.284)</f>
        <v>0.64452363944787983</v>
      </c>
      <c r="CB5" s="20">
        <f t="shared" si="10"/>
        <v>3.6684591803038082</v>
      </c>
      <c r="CC5" s="59">
        <f t="shared" si="11"/>
        <v>174.26574046780465</v>
      </c>
      <c r="CD5" s="59">
        <f ca="1">AVERAGE(OFFSET($CC$3,0,0,'Données projet'!$E$12+1,1))-AVERAGE(OFFSET($H$3,0,0,'Données projet'!$E$12+1,1))</f>
        <v>436.50252985867149</v>
      </c>
      <c r="CE5" s="59">
        <f t="shared" ref="CE5:CE68" si="40">$CE$3</f>
        <v>419.00806288456329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</v>
      </c>
      <c r="CT5" s="12">
        <f>IF('Données projet'!$A$140&gt;35,CT4+CS5-DB4,IF(A5&lt;'Données projet'!$A$140,$CQ$205^A5,IF(A5='Données projet'!$A$140,'Données projet'!$B$140,CT4+CS5-DB4)))</f>
        <v>1.8019831273171425</v>
      </c>
      <c r="CU5" s="17">
        <f>CT5*VLOOKUP('Données projet'!$B$13,Paramètres!$A$1:$I$89,3,0)*VLOOKUP('Données projet'!$B$13,Paramètres!$A$1:$I$89,5,0)</f>
        <v>1.7428780807411401</v>
      </c>
      <c r="CV5" s="13">
        <f t="shared" ref="CV5:CV68" si="41">EXP(-1.0587+0.8836*LN(CU5)+0.284)</f>
        <v>0.75289704598588003</v>
      </c>
      <c r="CW5" s="20">
        <f t="shared" si="13"/>
        <v>4.3468083457162265</v>
      </c>
      <c r="CX5" s="59">
        <f t="shared" si="14"/>
        <v>174.94408963321706</v>
      </c>
      <c r="CY5" s="59">
        <f ca="1">AVERAGE(OFFSET($CX$3,0,0,'Données projet'!$E$13+1,1))-AVERAGE(OFFSET($H$3,0,0,'Données projet'!$E$13+1,1))</f>
        <v>508.3185483454435</v>
      </c>
      <c r="CZ5" s="59">
        <f t="shared" ref="CZ5:CZ68" si="42">$CZ$3</f>
        <v>487.08233034004945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1.9</v>
      </c>
      <c r="DO5" s="12">
        <f>IF('Données projet'!$A$166&gt;35,DO4+DN5-DW4,IF(A5&lt;'Données projet'!$A$166,$DL$205^A5,IF(A5='Données projet'!$A$166,'Données projet'!$B$166,DO4+DN5-DW4)))</f>
        <v>1.8019831273171425</v>
      </c>
      <c r="DP5" s="17">
        <f>DO5*VLOOKUP('Données projet'!$B$14,Paramètres!$A$1:$I$89,3,0)*VLOOKUP('Données projet'!$B$14,Paramètres!$A$1:$I$89,5,0)</f>
        <v>1.7428780807411401</v>
      </c>
      <c r="DQ5" s="13">
        <f t="shared" ref="DQ5:DQ68" si="43">EXP(-1.0587+0.8836*LN(DP5)+0.284)</f>
        <v>0.75289704598588003</v>
      </c>
      <c r="DR5" s="20">
        <f t="shared" si="16"/>
        <v>4.3468083457162265</v>
      </c>
      <c r="DS5" s="59">
        <f t="shared" si="17"/>
        <v>174.94408963321706</v>
      </c>
      <c r="DT5" s="59">
        <f ca="1">AVERAGE(OFFSET($DS$3,0,0,'Données projet'!$E$14+1,1))-AVERAGE(OFFSET($H$3,0,0,'Données projet'!$E$14+1,1))</f>
        <v>508.3185483454435</v>
      </c>
      <c r="DU5" s="59">
        <f t="shared" ref="DU5:DU68" si="44">$DU$3</f>
        <v>487.08233034004945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</v>
      </c>
      <c r="N6" s="13">
        <f>IF('Données projet'!$A$36&gt;35,N5+M6-V5,IF(A6&lt;'Données projet'!$A$36,$K$205^A6,IF(A6='Données projet'!$A$36,'Données projet'!$B$36,N5+M6-V5)))</f>
        <v>12</v>
      </c>
      <c r="O6" s="13">
        <f>N6*VLOOKUP('Données projet'!$B$9,Paramètres!$A$1:$I$89,3,0)*VLOOKUP('Données projet'!$B$9,Paramètres!$A$1:$I$89,5,0)</f>
        <v>10.8576</v>
      </c>
      <c r="P6" s="13">
        <f t="shared" si="33"/>
        <v>3.7907617001683773</v>
      </c>
      <c r="Q6" s="20">
        <f t="shared" si="2"/>
        <v>25.512563294459923</v>
      </c>
      <c r="R6" s="59">
        <f t="shared" si="0"/>
        <v>198.86758386434479</v>
      </c>
      <c r="S6" s="59">
        <f ca="1">AVERAGE(OFFSET($R$3,0,0,'Données projet'!$E$9+1,1))-AVERAGE(OFFSET($H$3,0,0,'Données projet'!$E$9+1,1))</f>
        <v>569.49435820174267</v>
      </c>
      <c r="T6" s="59">
        <f t="shared" si="34"/>
        <v>295.37730858134739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</v>
      </c>
      <c r="AI6" s="13">
        <f>IF('Données projet'!$A$62&gt;35,AI5+AH6-AQ5,IF(A6&lt;'Données projet'!$A$62,$AF$205^A6,IF(A6='Données projet'!$A$62,'Données projet'!$B$62,AI5+AH6-AQ5)))</f>
        <v>12</v>
      </c>
      <c r="AJ6" s="13">
        <f>AI6*VLOOKUP('Données projet'!$B$10,Paramètres!$A$1:$I$89,3,0)*VLOOKUP('Données projet'!$B$10,Paramètres!$A$1:$I$89,5,0)</f>
        <v>12.168000000000001</v>
      </c>
      <c r="AK6" s="13">
        <f t="shared" si="35"/>
        <v>4.192294187029626</v>
      </c>
      <c r="AL6" s="20">
        <f t="shared" si="4"/>
        <v>28.494179042409929</v>
      </c>
      <c r="AM6" s="59">
        <f t="shared" si="5"/>
        <v>201.84919961229483</v>
      </c>
      <c r="AN6" s="59">
        <f ca="1">AVERAGE(OFFSET($AM$3,0,0,'Données projet'!$E$10+1,1))-AVERAGE(OFFSET($H$3,0,0,'Données projet'!$E$10+1,1))</f>
        <v>627.83896530587367</v>
      </c>
      <c r="AO6" s="59">
        <f t="shared" si="36"/>
        <v>323.54927030899489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2.3396040696947948</v>
      </c>
      <c r="BF6" s="13">
        <f t="shared" si="37"/>
        <v>0.97662145604530259</v>
      </c>
      <c r="BG6" s="20">
        <f t="shared" si="7"/>
        <v>5.7757594573306692</v>
      </c>
      <c r="BH6" s="59">
        <f t="shared" si="8"/>
        <v>179.13078002721556</v>
      </c>
      <c r="BI6" s="59">
        <f ca="1">AVERAGE(OFFSET($BH$3,0,0,'Données projet'!$E$11+1,1))-AVERAGE(OFFSET($H$3,0,0,'Données projet'!$E$11+1,1))</f>
        <v>508.3185483454435</v>
      </c>
      <c r="BJ6" s="59">
        <f t="shared" si="38"/>
        <v>487.08233034004945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1.9622485745827314</v>
      </c>
      <c r="CA6" s="13">
        <f t="shared" si="39"/>
        <v>0.83604474020610109</v>
      </c>
      <c r="CB6" s="20">
        <f t="shared" si="10"/>
        <v>4.8736941899238824</v>
      </c>
      <c r="CC6" s="59">
        <f t="shared" si="11"/>
        <v>178.22871475980878</v>
      </c>
      <c r="CD6" s="59">
        <f ca="1">AVERAGE(OFFSET($CC$3,0,0,'Données projet'!$E$12+1,1))-AVERAGE(OFFSET($H$3,0,0,'Données projet'!$E$12+1,1))</f>
        <v>436.50252985867149</v>
      </c>
      <c r="CE6" s="59">
        <f t="shared" si="40"/>
        <v>419.00806288456329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</v>
      </c>
      <c r="CT6" s="12">
        <f>IF('Données projet'!$A$140&gt;35,CT5+CS6-DB5,IF(A6&lt;'Données projet'!$A$140,$CQ$205^A6,IF(A6='Données projet'!$A$140,'Données projet'!$B$140,CT5+CS6-DB5)))</f>
        <v>2.4189454814875879</v>
      </c>
      <c r="CU6" s="17">
        <f>CT6*VLOOKUP('Données projet'!$B$13,Paramètres!$A$1:$I$89,3,0)*VLOOKUP('Données projet'!$B$13,Paramètres!$A$1:$I$89,5,0)</f>
        <v>2.3396040696947948</v>
      </c>
      <c r="CV6" s="13">
        <f t="shared" si="41"/>
        <v>0.97662145604530259</v>
      </c>
      <c r="CW6" s="20">
        <f t="shared" si="13"/>
        <v>5.7757594573306692</v>
      </c>
      <c r="CX6" s="59">
        <f t="shared" si="14"/>
        <v>179.13078002721556</v>
      </c>
      <c r="CY6" s="59">
        <f ca="1">AVERAGE(OFFSET($CX$3,0,0,'Données projet'!$E$13+1,1))-AVERAGE(OFFSET($H$3,0,0,'Données projet'!$E$13+1,1))</f>
        <v>508.3185483454435</v>
      </c>
      <c r="CZ6" s="59">
        <f t="shared" si="42"/>
        <v>487.08233034004945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1.9</v>
      </c>
      <c r="DO6" s="12">
        <f>IF('Données projet'!$A$166&gt;35,DO5+DN6-DW5,IF(A6&lt;'Données projet'!$A$166,$DL$205^A6,IF(A6='Données projet'!$A$166,'Données projet'!$B$166,DO5+DN6-DW5)))</f>
        <v>2.4189454814875879</v>
      </c>
      <c r="DP6" s="17">
        <f>DO6*VLOOKUP('Données projet'!$B$14,Paramètres!$A$1:$I$89,3,0)*VLOOKUP('Données projet'!$B$14,Paramètres!$A$1:$I$89,5,0)</f>
        <v>2.3396040696947948</v>
      </c>
      <c r="DQ6" s="13">
        <f t="shared" si="43"/>
        <v>0.97662145604530259</v>
      </c>
      <c r="DR6" s="20">
        <f t="shared" si="16"/>
        <v>5.7757594573306692</v>
      </c>
      <c r="DS6" s="59">
        <f t="shared" si="17"/>
        <v>179.13078002721556</v>
      </c>
      <c r="DT6" s="59">
        <f ca="1">AVERAGE(OFFSET($DS$3,0,0,'Données projet'!$E$14+1,1))-AVERAGE(OFFSET($H$3,0,0,'Données projet'!$E$14+1,1))</f>
        <v>508.3185483454435</v>
      </c>
      <c r="DU6" s="59">
        <f t="shared" si="44"/>
        <v>487.08233034004945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</v>
      </c>
      <c r="N7" s="13">
        <f>IF('Données projet'!$A$36&gt;35,N6+M7-V6,IF(A7&lt;'Données projet'!$A$36,$K$205^A7,IF(A7='Données projet'!$A$36,'Données projet'!$B$36,N6+M7-V6)))</f>
        <v>16</v>
      </c>
      <c r="O7" s="13">
        <f>N7*VLOOKUP('Données projet'!$B$9,Paramètres!$A$1:$I$89,3,0)*VLOOKUP('Données projet'!$B$9,Paramètres!$A$1:$I$89,5,0)</f>
        <v>14.476799999999999</v>
      </c>
      <c r="P7" s="13">
        <f t="shared" si="33"/>
        <v>4.8879004449090973</v>
      </c>
      <c r="Q7" s="20">
        <f t="shared" si="2"/>
        <v>33.726853274883347</v>
      </c>
      <c r="R7" s="59">
        <f t="shared" si="0"/>
        <v>209.8129753390603</v>
      </c>
      <c r="S7" s="59">
        <f ca="1">AVERAGE(OFFSET($R$3,0,0,'Données projet'!$E$9+1,1))-AVERAGE(OFFSET($H$3,0,0,'Données projet'!$E$9+1,1))</f>
        <v>569.49435820174267</v>
      </c>
      <c r="T7" s="59">
        <f t="shared" si="34"/>
        <v>295.37730858134739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</v>
      </c>
      <c r="AI7" s="13">
        <f>IF('Données projet'!$A$62&gt;35,AI6+AH7-AQ6,IF(A7&lt;'Données projet'!$A$62,$AF$205^A7,IF(A7='Données projet'!$A$62,'Données projet'!$B$62,AI6+AH7-AQ6)))</f>
        <v>16</v>
      </c>
      <c r="AJ7" s="13">
        <f>AI7*VLOOKUP('Données projet'!$B$10,Paramètres!$A$1:$I$89,3,0)*VLOOKUP('Données projet'!$B$10,Paramètres!$A$1:$I$89,5,0)</f>
        <v>16.224</v>
      </c>
      <c r="AK7" s="13">
        <f t="shared" si="35"/>
        <v>5.4056462111722139</v>
      </c>
      <c r="AL7" s="20">
        <f t="shared" si="4"/>
        <v>37.671633817791609</v>
      </c>
      <c r="AM7" s="59">
        <f t="shared" si="5"/>
        <v>213.75775588196856</v>
      </c>
      <c r="AN7" s="59">
        <f ca="1">AVERAGE(OFFSET($AM$3,0,0,'Données projet'!$E$10+1,1))-AVERAGE(OFFSET($H$3,0,0,'Données projet'!$E$10+1,1))</f>
        <v>627.83896530587367</v>
      </c>
      <c r="AO7" s="59">
        <f t="shared" si="36"/>
        <v>323.54927030899489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3.1406368944664189</v>
      </c>
      <c r="BF7" s="13">
        <f t="shared" si="37"/>
        <v>1.266825887408163</v>
      </c>
      <c r="BG7" s="20">
        <f t="shared" si="7"/>
        <v>7.6763310117648969</v>
      </c>
      <c r="BH7" s="59">
        <f t="shared" si="8"/>
        <v>183.76245307594183</v>
      </c>
      <c r="BI7" s="59">
        <f ca="1">AVERAGE(OFFSET($BH$3,0,0,'Données projet'!$E$11+1,1))-AVERAGE(OFFSET($H$3,0,0,'Données projet'!$E$11+1,1))</f>
        <v>508.3185483454435</v>
      </c>
      <c r="BJ7" s="59">
        <f t="shared" si="38"/>
        <v>487.08233034004945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2.6340825566492549</v>
      </c>
      <c r="CA7" s="13">
        <f t="shared" si="39"/>
        <v>1.0844766038760791</v>
      </c>
      <c r="CB7" s="20">
        <f t="shared" si="10"/>
        <v>6.476490537914958</v>
      </c>
      <c r="CC7" s="59">
        <f t="shared" si="11"/>
        <v>182.56261260209192</v>
      </c>
      <c r="CD7" s="59">
        <f ca="1">AVERAGE(OFFSET($CC$3,0,0,'Données projet'!$E$12+1,1))-AVERAGE(OFFSET($H$3,0,0,'Données projet'!$E$12+1,1))</f>
        <v>436.50252985867149</v>
      </c>
      <c r="CE7" s="59">
        <f t="shared" si="40"/>
        <v>419.00806288456329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</v>
      </c>
      <c r="CT7" s="12">
        <f>IF('Données projet'!$A$140&gt;35,CT6+CS7-DB6,IF(A7&lt;'Données projet'!$A$140,$CQ$205^A7,IF(A7='Données projet'!$A$140,'Données projet'!$B$140,CT6+CS7-DB6)))</f>
        <v>3.247143191135669</v>
      </c>
      <c r="CU7" s="17">
        <f>CT7*VLOOKUP('Données projet'!$B$13,Paramètres!$A$1:$I$89,3,0)*VLOOKUP('Données projet'!$B$13,Paramètres!$A$1:$I$89,5,0)</f>
        <v>3.1406368944664189</v>
      </c>
      <c r="CV7" s="13">
        <f t="shared" si="41"/>
        <v>1.266825887408163</v>
      </c>
      <c r="CW7" s="20">
        <f t="shared" si="13"/>
        <v>7.6763310117648969</v>
      </c>
      <c r="CX7" s="59">
        <f t="shared" si="14"/>
        <v>183.76245307594183</v>
      </c>
      <c r="CY7" s="59">
        <f ca="1">AVERAGE(OFFSET($CX$3,0,0,'Données projet'!$E$13+1,1))-AVERAGE(OFFSET($H$3,0,0,'Données projet'!$E$13+1,1))</f>
        <v>508.3185483454435</v>
      </c>
      <c r="CZ7" s="59">
        <f t="shared" si="42"/>
        <v>487.08233034004945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1.9</v>
      </c>
      <c r="DO7" s="12">
        <f>IF('Données projet'!$A$166&gt;35,DO6+DN7-DW6,IF(A7&lt;'Données projet'!$A$166,$DL$205^A7,IF(A7='Données projet'!$A$166,'Données projet'!$B$166,DO6+DN7-DW6)))</f>
        <v>3.247143191135669</v>
      </c>
      <c r="DP7" s="17">
        <f>DO7*VLOOKUP('Données projet'!$B$14,Paramètres!$A$1:$I$89,3,0)*VLOOKUP('Données projet'!$B$14,Paramètres!$A$1:$I$89,5,0)</f>
        <v>3.1406368944664189</v>
      </c>
      <c r="DQ7" s="13">
        <f t="shared" si="43"/>
        <v>1.266825887408163</v>
      </c>
      <c r="DR7" s="20">
        <f t="shared" si="16"/>
        <v>7.6763310117648969</v>
      </c>
      <c r="DS7" s="59">
        <f t="shared" si="17"/>
        <v>183.76245307594183</v>
      </c>
      <c r="DT7" s="59">
        <f ca="1">AVERAGE(OFFSET($DS$3,0,0,'Données projet'!$E$14+1,1))-AVERAGE(OFFSET($H$3,0,0,'Données projet'!$E$14+1,1))</f>
        <v>508.3185483454435</v>
      </c>
      <c r="DU7" s="59">
        <f t="shared" si="44"/>
        <v>487.08233034004945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</v>
      </c>
      <c r="N8" s="13">
        <f>IF('Données projet'!$A$36&gt;35,N7+M8-V7,IF(A8&lt;'Données projet'!$A$36,$K$205^A8,IF(A8='Données projet'!$A$36,'Données projet'!$B$36,N7+M8-V7)))</f>
        <v>20</v>
      </c>
      <c r="O8" s="13">
        <f>N8*VLOOKUP('Données projet'!$B$9,Paramètres!$A$1:$I$89,3,0)*VLOOKUP('Données projet'!$B$9,Paramètres!$A$1:$I$89,5,0)</f>
        <v>18.096</v>
      </c>
      <c r="P8" s="13">
        <f t="shared" si="33"/>
        <v>5.9532214687411624</v>
      </c>
      <c r="Q8" s="20">
        <f t="shared" si="2"/>
        <v>41.885727391390851</v>
      </c>
      <c r="R8" s="59">
        <f t="shared" si="0"/>
        <v>220.6767752678382</v>
      </c>
      <c r="S8" s="59">
        <f ca="1">AVERAGE(OFFSET($R$3,0,0,'Données projet'!$E$9+1,1))-AVERAGE(OFFSET($H$3,0,0,'Données projet'!$E$9+1,1))</f>
        <v>569.49435820174267</v>
      </c>
      <c r="T8" s="59">
        <f t="shared" si="34"/>
        <v>295.37730858134739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</v>
      </c>
      <c r="AI8" s="13">
        <f>IF('Données projet'!$A$62&gt;35,AI7+AH8-AQ7,IF(A8&lt;'Données projet'!$A$62,$AF$205^A8,IF(A8='Données projet'!$A$62,'Données projet'!$B$62,AI7+AH8-AQ7)))</f>
        <v>20</v>
      </c>
      <c r="AJ8" s="13">
        <f>AI8*VLOOKUP('Données projet'!$B$10,Paramètres!$A$1:$I$89,3,0)*VLOOKUP('Données projet'!$B$10,Paramètres!$A$1:$I$89,5,0)</f>
        <v>20.28</v>
      </c>
      <c r="AK8" s="13">
        <f t="shared" si="35"/>
        <v>6.5838102554415308</v>
      </c>
      <c r="AL8" s="20">
        <f t="shared" si="4"/>
        <v>46.787802861560664</v>
      </c>
      <c r="AM8" s="59">
        <f t="shared" si="5"/>
        <v>225.57885073800801</v>
      </c>
      <c r="AN8" s="59">
        <f ca="1">AVERAGE(OFFSET($AM$3,0,0,'Données projet'!$E$10+1,1))-AVERAGE(OFFSET($H$3,0,0,'Données projet'!$E$10+1,1))</f>
        <v>627.83896530587367</v>
      </c>
      <c r="AO8" s="59">
        <f t="shared" si="36"/>
        <v>323.54927030899489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4.2159270581925412</v>
      </c>
      <c r="BF8" s="13">
        <f t="shared" si="37"/>
        <v>1.643264971369865</v>
      </c>
      <c r="BG8" s="20">
        <f t="shared" si="7"/>
        <v>10.204759451487858</v>
      </c>
      <c r="BH8" s="59">
        <f t="shared" si="8"/>
        <v>188.99580732793521</v>
      </c>
      <c r="BI8" s="59">
        <f ca="1">AVERAGE(OFFSET($BH$3,0,0,'Données projet'!$E$11+1,1))-AVERAGE(OFFSET($H$3,0,0,'Données projet'!$E$11+1,1))</f>
        <v>508.3185483454435</v>
      </c>
      <c r="BJ8" s="59">
        <f t="shared" si="38"/>
        <v>487.08233034004945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3.5359388230001954</v>
      </c>
      <c r="CA8" s="13">
        <f t="shared" si="39"/>
        <v>1.4067303432405609</v>
      </c>
      <c r="CB8" s="20">
        <f t="shared" si="10"/>
        <v>8.6084821312026509</v>
      </c>
      <c r="CC8" s="59">
        <f t="shared" si="11"/>
        <v>187.39953000765001</v>
      </c>
      <c r="CD8" s="59">
        <f ca="1">AVERAGE(OFFSET($CC$3,0,0,'Données projet'!$E$12+1,1))-AVERAGE(OFFSET($H$3,0,0,'Données projet'!$E$12+1,1))</f>
        <v>436.50252985867149</v>
      </c>
      <c r="CE8" s="59">
        <f t="shared" si="40"/>
        <v>419.00806288456329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</v>
      </c>
      <c r="CT8" s="12">
        <f>IF('Données projet'!$A$140&gt;35,CT7+CS8-DB7,IF(A8&lt;'Données projet'!$A$140,$CQ$205^A8,IF(A8='Données projet'!$A$140,'Données projet'!$B$140,CT7+CS8-DB7)))</f>
        <v>4.3588989435406749</v>
      </c>
      <c r="CU8" s="17">
        <f>CT8*VLOOKUP('Données projet'!$B$13,Paramètres!$A$1:$I$89,3,0)*VLOOKUP('Données projet'!$B$13,Paramètres!$A$1:$I$89,5,0)</f>
        <v>4.2159270581925412</v>
      </c>
      <c r="CV8" s="13">
        <f t="shared" si="41"/>
        <v>1.643264971369865</v>
      </c>
      <c r="CW8" s="20">
        <f t="shared" si="13"/>
        <v>10.204759451487858</v>
      </c>
      <c r="CX8" s="59">
        <f t="shared" si="14"/>
        <v>188.99580732793521</v>
      </c>
      <c r="CY8" s="59">
        <f ca="1">AVERAGE(OFFSET($CX$3,0,0,'Données projet'!$E$13+1,1))-AVERAGE(OFFSET($H$3,0,0,'Données projet'!$E$13+1,1))</f>
        <v>508.3185483454435</v>
      </c>
      <c r="CZ8" s="59">
        <f t="shared" si="42"/>
        <v>487.08233034004945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1.9</v>
      </c>
      <c r="DO8" s="12">
        <f>IF('Données projet'!$A$166&gt;35,DO7+DN8-DW7,IF(A8&lt;'Données projet'!$A$166,$DL$205^A8,IF(A8='Données projet'!$A$166,'Données projet'!$B$166,DO7+DN8-DW7)))</f>
        <v>4.3588989435406749</v>
      </c>
      <c r="DP8" s="17">
        <f>DO8*VLOOKUP('Données projet'!$B$14,Paramètres!$A$1:$I$89,3,0)*VLOOKUP('Données projet'!$B$14,Paramètres!$A$1:$I$89,5,0)</f>
        <v>4.2159270581925412</v>
      </c>
      <c r="DQ8" s="13">
        <f t="shared" si="43"/>
        <v>1.643264971369865</v>
      </c>
      <c r="DR8" s="20">
        <f t="shared" si="16"/>
        <v>10.204759451487858</v>
      </c>
      <c r="DS8" s="59">
        <f t="shared" si="17"/>
        <v>188.99580732793521</v>
      </c>
      <c r="DT8" s="59">
        <f ca="1">AVERAGE(OFFSET($DS$3,0,0,'Données projet'!$E$14+1,1))-AVERAGE(OFFSET($H$3,0,0,'Données projet'!$E$14+1,1))</f>
        <v>508.3185483454435</v>
      </c>
      <c r="DU8" s="59">
        <f t="shared" si="44"/>
        <v>487.08233034004945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</v>
      </c>
      <c r="N9" s="13">
        <f>IF('Données projet'!$A$36&gt;35,N8+M9-V8,IF(A9&lt;'Données projet'!$A$36,$K$205^A9,IF(A9='Données projet'!$A$36,'Données projet'!$B$36,N8+M9-V8)))</f>
        <v>24</v>
      </c>
      <c r="O9" s="13">
        <f>N9*VLOOKUP('Données projet'!$B$9,Paramètres!$A$1:$I$89,3,0)*VLOOKUP('Données projet'!$B$9,Paramètres!$A$1:$I$89,5,0)</f>
        <v>21.715199999999999</v>
      </c>
      <c r="P9" s="13">
        <f t="shared" si="33"/>
        <v>6.9938544235075568</v>
      </c>
      <c r="Q9" s="20">
        <f t="shared" si="2"/>
        <v>50.00160312094232</v>
      </c>
      <c r="R9" s="59">
        <f t="shared" si="0"/>
        <v>231.47185521720129</v>
      </c>
      <c r="S9" s="59">
        <f ca="1">AVERAGE(OFFSET($R$3,0,0,'Données projet'!$E$9+1,1))-AVERAGE(OFFSET($H$3,0,0,'Données projet'!$E$9+1,1))</f>
        <v>569.49435820174267</v>
      </c>
      <c r="T9" s="59">
        <f t="shared" si="34"/>
        <v>295.37730858134739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</v>
      </c>
      <c r="AI9" s="13">
        <f>IF('Données projet'!$A$62&gt;35,AI8+AH9-AQ8,IF(A9&lt;'Données projet'!$A$62,$AF$205^A9,IF(A9='Données projet'!$A$62,'Données projet'!$B$62,AI8+AH9-AQ8)))</f>
        <v>24</v>
      </c>
      <c r="AJ9" s="13">
        <f>AI9*VLOOKUP('Données projet'!$B$10,Paramètres!$A$1:$I$89,3,0)*VLOOKUP('Données projet'!$B$10,Paramètres!$A$1:$I$89,5,0)</f>
        <v>24.336000000000002</v>
      </c>
      <c r="AK9" s="13">
        <f t="shared" si="35"/>
        <v>7.7346711726299766</v>
      </c>
      <c r="AL9" s="20">
        <f t="shared" si="4"/>
        <v>55.85641895899721</v>
      </c>
      <c r="AM9" s="59">
        <f t="shared" si="5"/>
        <v>237.32667105525618</v>
      </c>
      <c r="AN9" s="59">
        <f ca="1">AVERAGE(OFFSET($AM$3,0,0,'Données projet'!$E$10+1,1))-AVERAGE(OFFSET($H$3,0,0,'Données projet'!$E$10+1,1))</f>
        <v>627.83896530587367</v>
      </c>
      <c r="AO9" s="59">
        <f t="shared" si="36"/>
        <v>323.54927030899489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5.6593746928581963</v>
      </c>
      <c r="BF9" s="13">
        <f t="shared" si="37"/>
        <v>2.1315634555399465</v>
      </c>
      <c r="BG9" s="20">
        <f t="shared" si="7"/>
        <v>13.569217275126766</v>
      </c>
      <c r="BH9" s="59">
        <f t="shared" si="8"/>
        <v>195.03946937138574</v>
      </c>
      <c r="BI9" s="59">
        <f ca="1">AVERAGE(OFFSET($BH$3,0,0,'Données projet'!$E$11+1,1))-AVERAGE(OFFSET($H$3,0,0,'Données projet'!$E$11+1,1))</f>
        <v>508.3185483454435</v>
      </c>
      <c r="BJ9" s="59">
        <f t="shared" si="38"/>
        <v>487.08233034004945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4.7465723230423587</v>
      </c>
      <c r="CA9" s="13">
        <f t="shared" si="39"/>
        <v>1.8247422318940409</v>
      </c>
      <c r="CB9" s="20">
        <f t="shared" si="10"/>
        <v>11.445039516514228</v>
      </c>
      <c r="CC9" s="59">
        <f t="shared" si="11"/>
        <v>192.91529161277322</v>
      </c>
      <c r="CD9" s="59">
        <f ca="1">AVERAGE(OFFSET($CC$3,0,0,'Données projet'!$E$12+1,1))-AVERAGE(OFFSET($H$3,0,0,'Données projet'!$E$12+1,1))</f>
        <v>436.50252985867149</v>
      </c>
      <c r="CE9" s="59">
        <f t="shared" si="40"/>
        <v>419.00806288456329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</v>
      </c>
      <c r="CT9" s="12">
        <f>IF('Données projet'!$A$140&gt;35,CT8+CS9-DB8,IF(A9&lt;'Données projet'!$A$140,$CQ$205^A9,IF(A9='Données projet'!$A$140,'Données projet'!$B$140,CT8+CS9-DB8)))</f>
        <v>5.8512972424092187</v>
      </c>
      <c r="CU9" s="17">
        <f>CT9*VLOOKUP('Données projet'!$B$13,Paramètres!$A$1:$I$89,3,0)*VLOOKUP('Données projet'!$B$13,Paramètres!$A$1:$I$89,5,0)</f>
        <v>5.6593746928581963</v>
      </c>
      <c r="CV9" s="13">
        <f t="shared" si="41"/>
        <v>2.1315634555399465</v>
      </c>
      <c r="CW9" s="20">
        <f t="shared" si="13"/>
        <v>13.569217275126766</v>
      </c>
      <c r="CX9" s="59">
        <f t="shared" si="14"/>
        <v>195.03946937138574</v>
      </c>
      <c r="CY9" s="59">
        <f ca="1">AVERAGE(OFFSET($CX$3,0,0,'Données projet'!$E$13+1,1))-AVERAGE(OFFSET($H$3,0,0,'Données projet'!$E$13+1,1))</f>
        <v>508.3185483454435</v>
      </c>
      <c r="CZ9" s="59">
        <f t="shared" si="42"/>
        <v>487.08233034004945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1.9</v>
      </c>
      <c r="DO9" s="12">
        <f>IF('Données projet'!$A$166&gt;35,DO8+DN9-DW8,IF(A9&lt;'Données projet'!$A$166,$DL$205^A9,IF(A9='Données projet'!$A$166,'Données projet'!$B$166,DO8+DN9-DW8)))</f>
        <v>5.8512972424092187</v>
      </c>
      <c r="DP9" s="17">
        <f>DO9*VLOOKUP('Données projet'!$B$14,Paramètres!$A$1:$I$89,3,0)*VLOOKUP('Données projet'!$B$14,Paramètres!$A$1:$I$89,5,0)</f>
        <v>5.6593746928581963</v>
      </c>
      <c r="DQ9" s="13">
        <f t="shared" si="43"/>
        <v>2.1315634555399465</v>
      </c>
      <c r="DR9" s="20">
        <f t="shared" si="16"/>
        <v>13.569217275126766</v>
      </c>
      <c r="DS9" s="59">
        <f t="shared" si="17"/>
        <v>195.03946937138574</v>
      </c>
      <c r="DT9" s="59">
        <f ca="1">AVERAGE(OFFSET($DS$3,0,0,'Données projet'!$E$14+1,1))-AVERAGE(OFFSET($H$3,0,0,'Données projet'!$E$14+1,1))</f>
        <v>508.3185483454435</v>
      </c>
      <c r="DU9" s="59">
        <f t="shared" si="44"/>
        <v>487.08233034004945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</v>
      </c>
      <c r="N10" s="13">
        <f>IF('Données projet'!$A$36&gt;35,N9+M10-V9,IF(A10&lt;'Données projet'!$A$36,$K$205^A10,IF(A10='Données projet'!$A$36,'Données projet'!$B$36,N9+M10-V9)))</f>
        <v>28</v>
      </c>
      <c r="O10" s="13">
        <f>N10*VLOOKUP('Données projet'!$B$9,Paramètres!$A$1:$I$89,3,0)*VLOOKUP('Données projet'!$B$9,Paramètres!$A$1:$I$89,5,0)</f>
        <v>25.334399999999999</v>
      </c>
      <c r="P10" s="13">
        <f t="shared" si="33"/>
        <v>8.0143955200794572</v>
      </c>
      <c r="Q10" s="20">
        <f t="shared" si="2"/>
        <v>58.082485530805052</v>
      </c>
      <c r="R10" s="59">
        <f t="shared" si="0"/>
        <v>242.20666646654129</v>
      </c>
      <c r="S10" s="59">
        <f ca="1">AVERAGE(OFFSET($R$3,0,0,'Données projet'!$E$9+1,1))-AVERAGE(OFFSET($H$3,0,0,'Données projet'!$E$9+1,1))</f>
        <v>569.49435820174267</v>
      </c>
      <c r="T10" s="59">
        <f t="shared" si="34"/>
        <v>295.37730858134739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</v>
      </c>
      <c r="AI10" s="13">
        <f>IF('Données projet'!$A$62&gt;35,AI9+AH10-AQ9,IF(A10&lt;'Données projet'!$A$62,$AF$205^A10,IF(A10='Données projet'!$A$62,'Données projet'!$B$62,AI9+AH10-AQ9)))</f>
        <v>28</v>
      </c>
      <c r="AJ10" s="13">
        <f>AI10*VLOOKUP('Données projet'!$B$10,Paramètres!$A$1:$I$89,3,0)*VLOOKUP('Données projet'!$B$10,Paramètres!$A$1:$I$89,5,0)</f>
        <v>28.391999999999999</v>
      </c>
      <c r="AK10" s="13">
        <f t="shared" si="35"/>
        <v>8.8633120224605495</v>
      </c>
      <c r="AL10" s="20">
        <f t="shared" si="4"/>
        <v>64.886335105785449</v>
      </c>
      <c r="AM10" s="59">
        <f t="shared" si="5"/>
        <v>249.01051604152167</v>
      </c>
      <c r="AN10" s="59">
        <f ca="1">AVERAGE(OFFSET($AM$3,0,0,'Données projet'!$E$10+1,1))-AVERAGE(OFFSET($H$3,0,0,'Données projet'!$E$10+1,1))</f>
        <v>627.83896530587367</v>
      </c>
      <c r="AO10" s="59">
        <f t="shared" si="36"/>
        <v>323.54927030899489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7.5970294248627548</v>
      </c>
      <c r="BF10" s="13">
        <f t="shared" si="37"/>
        <v>2.7649605171135443</v>
      </c>
      <c r="BG10" s="20">
        <f t="shared" si="7"/>
        <v>18.047132482275387</v>
      </c>
      <c r="BH10" s="59">
        <f t="shared" si="8"/>
        <v>202.17131341801161</v>
      </c>
      <c r="BI10" s="59">
        <f ca="1">AVERAGE(OFFSET($BH$3,0,0,'Données projet'!$E$11+1,1))-AVERAGE(OFFSET($H$3,0,0,'Données projet'!$E$11+1,1))</f>
        <v>508.3185483454435</v>
      </c>
      <c r="BJ10" s="59">
        <f t="shared" si="38"/>
        <v>487.08233034004945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6.3717020982719887</v>
      </c>
      <c r="CA10" s="13">
        <f t="shared" si="39"/>
        <v>2.3669669378051128</v>
      </c>
      <c r="CB10" s="20">
        <f t="shared" si="10"/>
        <v>15.219848571167617</v>
      </c>
      <c r="CC10" s="59">
        <f t="shared" si="11"/>
        <v>199.34402950690384</v>
      </c>
      <c r="CD10" s="59">
        <f ca="1">AVERAGE(OFFSET($CC$3,0,0,'Données projet'!$E$12+1,1))-AVERAGE(OFFSET($H$3,0,0,'Données projet'!$E$12+1,1))</f>
        <v>436.50252985867149</v>
      </c>
      <c r="CE10" s="59">
        <f t="shared" si="40"/>
        <v>419.00806288456329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</v>
      </c>
      <c r="CT10" s="12">
        <f>IF('Données projet'!$A$140&gt;35,CT9+CS10-DB9,IF(A10&lt;'Données projet'!$A$140,$CQ$205^A10,IF(A10='Données projet'!$A$140,'Données projet'!$B$140,CT9+CS10-DB9)))</f>
        <v>7.8546623499408135</v>
      </c>
      <c r="CU10" s="17">
        <f>CT10*VLOOKUP('Données projet'!$B$13,Paramètres!$A$1:$I$89,3,0)*VLOOKUP('Données projet'!$B$13,Paramètres!$A$1:$I$89,5,0)</f>
        <v>7.5970294248627548</v>
      </c>
      <c r="CV10" s="13">
        <f t="shared" si="41"/>
        <v>2.7649605171135443</v>
      </c>
      <c r="CW10" s="20">
        <f t="shared" si="13"/>
        <v>18.047132482275387</v>
      </c>
      <c r="CX10" s="59">
        <f t="shared" si="14"/>
        <v>202.17131341801161</v>
      </c>
      <c r="CY10" s="59">
        <f ca="1">AVERAGE(OFFSET($CX$3,0,0,'Données projet'!$E$13+1,1))-AVERAGE(OFFSET($H$3,0,0,'Données projet'!$E$13+1,1))</f>
        <v>508.3185483454435</v>
      </c>
      <c r="CZ10" s="59">
        <f t="shared" si="42"/>
        <v>487.08233034004945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1.9</v>
      </c>
      <c r="DO10" s="12">
        <f>IF('Données projet'!$A$166&gt;35,DO9+DN10-DW9,IF(A10&lt;'Données projet'!$A$166,$DL$205^A10,IF(A10='Données projet'!$A$166,'Données projet'!$B$166,DO9+DN10-DW9)))</f>
        <v>7.8546623499408135</v>
      </c>
      <c r="DP10" s="17">
        <f>DO10*VLOOKUP('Données projet'!$B$14,Paramètres!$A$1:$I$89,3,0)*VLOOKUP('Données projet'!$B$14,Paramètres!$A$1:$I$89,5,0)</f>
        <v>7.5970294248627548</v>
      </c>
      <c r="DQ10" s="13">
        <f t="shared" si="43"/>
        <v>2.7649605171135443</v>
      </c>
      <c r="DR10" s="20">
        <f t="shared" si="16"/>
        <v>18.047132482275387</v>
      </c>
      <c r="DS10" s="59">
        <f t="shared" si="17"/>
        <v>202.17131341801161</v>
      </c>
      <c r="DT10" s="59">
        <f ca="1">AVERAGE(OFFSET($DS$3,0,0,'Données projet'!$E$14+1,1))-AVERAGE(OFFSET($H$3,0,0,'Données projet'!$E$14+1,1))</f>
        <v>508.3185483454435</v>
      </c>
      <c r="DU10" s="59">
        <f t="shared" si="44"/>
        <v>487.08233034004945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</v>
      </c>
      <c r="N11" s="13">
        <f>IF('Données projet'!$A$36&gt;35,N10+M11-V10,IF(A11&lt;'Données projet'!$A$36,$K$205^A11,IF(A11='Données projet'!$A$36,'Données projet'!$B$36,N10+M11-V10)))</f>
        <v>32</v>
      </c>
      <c r="O11" s="13">
        <f>N11*VLOOKUP('Données projet'!$B$9,Paramètres!$A$1:$I$89,3,0)*VLOOKUP('Données projet'!$B$9,Paramètres!$A$1:$I$89,5,0)</f>
        <v>28.953599999999998</v>
      </c>
      <c r="P11" s="13">
        <f t="shared" si="33"/>
        <v>9.0180462007869302</v>
      </c>
      <c r="Q11" s="20">
        <f t="shared" si="2"/>
        <v>66.133950466370564</v>
      </c>
      <c r="R11" s="59">
        <f t="shared" si="0"/>
        <v>252.88722333259113</v>
      </c>
      <c r="S11" s="59">
        <f ca="1">AVERAGE(OFFSET($R$3,0,0,'Données projet'!$E$9+1,1))-AVERAGE(OFFSET($H$3,0,0,'Données projet'!$E$9+1,1))</f>
        <v>569.49435820174267</v>
      </c>
      <c r="T11" s="59">
        <f t="shared" si="34"/>
        <v>295.37730858134739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</v>
      </c>
      <c r="AI11" s="13">
        <f>IF('Données projet'!$A$62&gt;35,AI10+AH11-AQ10,IF(A11&lt;'Données projet'!$A$62,$AF$205^A11,IF(A11='Données projet'!$A$62,'Données projet'!$B$62,AI10+AH11-AQ10)))</f>
        <v>32</v>
      </c>
      <c r="AJ11" s="13">
        <f>AI11*VLOOKUP('Données projet'!$B$10,Paramètres!$A$1:$I$89,3,0)*VLOOKUP('Données projet'!$B$10,Paramètres!$A$1:$I$89,5,0)</f>
        <v>32.448</v>
      </c>
      <c r="AK11" s="13">
        <f t="shared" si="35"/>
        <v>9.9732733567093899</v>
      </c>
      <c r="AL11" s="20">
        <f t="shared" si="4"/>
        <v>73.883717762935518</v>
      </c>
      <c r="AM11" s="59">
        <f t="shared" si="5"/>
        <v>260.63699062915606</v>
      </c>
      <c r="AN11" s="59">
        <f ca="1">AVERAGE(OFFSET($AM$3,0,0,'Données projet'!$E$10+1,1))-AVERAGE(OFFSET($H$3,0,0,'Données projet'!$E$10+1,1))</f>
        <v>627.83896530587367</v>
      </c>
      <c r="AO11" s="59">
        <f t="shared" si="36"/>
        <v>323.54927030899489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10.198097707696105</v>
      </c>
      <c r="BF11" s="13">
        <f t="shared" si="37"/>
        <v>3.5865724012707099</v>
      </c>
      <c r="BG11" s="20">
        <f t="shared" si="7"/>
        <v>24.008300439783866</v>
      </c>
      <c r="BH11" s="59">
        <f t="shared" si="8"/>
        <v>210.76157330600444</v>
      </c>
      <c r="BI11" s="59">
        <f ca="1">AVERAGE(OFFSET($BH$3,0,0,'Données projet'!$E$11+1,1))-AVERAGE(OFFSET($H$3,0,0,'Données projet'!$E$11+1,1))</f>
        <v>508.3185483454435</v>
      </c>
      <c r="BJ11" s="59">
        <f t="shared" si="38"/>
        <v>487.08233034004945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8.553243238712863</v>
      </c>
      <c r="CA11" s="13">
        <f t="shared" si="39"/>
        <v>3.0703144733199998</v>
      </c>
      <c r="CB11" s="20">
        <f t="shared" si="10"/>
        <v>20.244363015123902</v>
      </c>
      <c r="CC11" s="59">
        <f t="shared" si="11"/>
        <v>206.99763588134445</v>
      </c>
      <c r="CD11" s="59">
        <f ca="1">AVERAGE(OFFSET($CC$3,0,0,'Données projet'!$E$12+1,1))-AVERAGE(OFFSET($H$3,0,0,'Données projet'!$E$12+1,1))</f>
        <v>436.50252985867149</v>
      </c>
      <c r="CE11" s="59">
        <f t="shared" si="40"/>
        <v>419.00806288456329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</v>
      </c>
      <c r="CT11" s="12">
        <f>IF('Données projet'!$A$140&gt;35,CT10+CS11-DB10,IF(A11&lt;'Données projet'!$A$140,$CQ$205^A11,IF(A11='Données projet'!$A$140,'Données projet'!$B$140,CT10+CS11-DB10)))</f>
        <v>10.543938903738736</v>
      </c>
      <c r="CU11" s="17">
        <f>CT11*VLOOKUP('Données projet'!$B$13,Paramètres!$A$1:$I$89,3,0)*VLOOKUP('Données projet'!$B$13,Paramètres!$A$1:$I$89,5,0)</f>
        <v>10.198097707696105</v>
      </c>
      <c r="CV11" s="13">
        <f t="shared" si="41"/>
        <v>3.5865724012707099</v>
      </c>
      <c r="CW11" s="20">
        <f t="shared" si="13"/>
        <v>24.008300439783866</v>
      </c>
      <c r="CX11" s="59">
        <f t="shared" si="14"/>
        <v>210.76157330600444</v>
      </c>
      <c r="CY11" s="59">
        <f ca="1">AVERAGE(OFFSET($CX$3,0,0,'Données projet'!$E$13+1,1))-AVERAGE(OFFSET($H$3,0,0,'Données projet'!$E$13+1,1))</f>
        <v>508.3185483454435</v>
      </c>
      <c r="CZ11" s="59">
        <f t="shared" si="42"/>
        <v>487.08233034004945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1.9</v>
      </c>
      <c r="DO11" s="12">
        <f>IF('Données projet'!$A$166&gt;35,DO10+DN11-DW10,IF(A11&lt;'Données projet'!$A$166,$DL$205^A11,IF(A11='Données projet'!$A$166,'Données projet'!$B$166,DO10+DN11-DW10)))</f>
        <v>10.543938903738736</v>
      </c>
      <c r="DP11" s="17">
        <f>DO11*VLOOKUP('Données projet'!$B$14,Paramètres!$A$1:$I$89,3,0)*VLOOKUP('Données projet'!$B$14,Paramètres!$A$1:$I$89,5,0)</f>
        <v>10.198097707696105</v>
      </c>
      <c r="DQ11" s="13">
        <f t="shared" si="43"/>
        <v>3.5865724012707099</v>
      </c>
      <c r="DR11" s="20">
        <f t="shared" si="16"/>
        <v>24.008300439783866</v>
      </c>
      <c r="DS11" s="59">
        <f t="shared" si="17"/>
        <v>210.76157330600444</v>
      </c>
      <c r="DT11" s="59">
        <f ca="1">AVERAGE(OFFSET($DS$3,0,0,'Données projet'!$E$14+1,1))-AVERAGE(OFFSET($H$3,0,0,'Données projet'!$E$14+1,1))</f>
        <v>508.3185483454435</v>
      </c>
      <c r="DU11" s="59">
        <f t="shared" si="44"/>
        <v>487.08233034004945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</v>
      </c>
      <c r="N12" s="13">
        <f>IF('Données projet'!$A$36&gt;35,N11+M12-V11,IF(A12&lt;'Données projet'!$A$36,$K$205^A12,IF(A12='Données projet'!$A$36,'Données projet'!$B$36,N11+M12-V11)))</f>
        <v>36</v>
      </c>
      <c r="O12" s="13">
        <f>N12*VLOOKUP('Données projet'!$B$9,Paramètres!$A$1:$I$89,3,0)*VLOOKUP('Données projet'!$B$9,Paramètres!$A$1:$I$89,5,0)</f>
        <v>32.572800000000001</v>
      </c>
      <c r="P12" s="13">
        <f t="shared" si="33"/>
        <v>10.007159566468195</v>
      </c>
      <c r="Q12" s="20">
        <f t="shared" si="2"/>
        <v>74.160096244932106</v>
      </c>
      <c r="R12" s="59">
        <f t="shared" si="0"/>
        <v>263.51805499748821</v>
      </c>
      <c r="S12" s="59">
        <f ca="1">AVERAGE(OFFSET($R$3,0,0,'Données projet'!$E$9+1,1))-AVERAGE(OFFSET($H$3,0,0,'Données projet'!$E$9+1,1))</f>
        <v>569.49435820174267</v>
      </c>
      <c r="T12" s="59">
        <f t="shared" si="34"/>
        <v>295.37730858134739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</v>
      </c>
      <c r="AI12" s="13">
        <f>IF('Données projet'!$A$62&gt;35,AI11+AH12-AQ11,IF(A12&lt;'Données projet'!$A$62,$AF$205^A12,IF(A12='Données projet'!$A$62,'Données projet'!$B$62,AI11+AH12-AQ11)))</f>
        <v>36</v>
      </c>
      <c r="AJ12" s="13">
        <f>AI12*VLOOKUP('Données projet'!$B$10,Paramètres!$A$1:$I$89,3,0)*VLOOKUP('Données projet'!$B$10,Paramètres!$A$1:$I$89,5,0)</f>
        <v>36.504000000000005</v>
      </c>
      <c r="AK12" s="13">
        <f t="shared" si="35"/>
        <v>11.067157525971377</v>
      </c>
      <c r="AL12" s="20">
        <f t="shared" si="4"/>
        <v>82.853099357733484</v>
      </c>
      <c r="AM12" s="59">
        <f t="shared" si="5"/>
        <v>272.21105811028957</v>
      </c>
      <c r="AN12" s="59">
        <f ca="1">AVERAGE(OFFSET($AM$3,0,0,'Données projet'!$E$10+1,1))-AVERAGE(OFFSET($H$3,0,0,'Données projet'!$E$10+1,1))</f>
        <v>627.83896530587367</v>
      </c>
      <c r="AO12" s="59">
        <f t="shared" si="36"/>
        <v>323.54927030899489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13.689718841334541</v>
      </c>
      <c r="BF12" s="13">
        <f t="shared" si="37"/>
        <v>4.6523274057401336</v>
      </c>
      <c r="BG12" s="20">
        <f t="shared" si="7"/>
        <v>31.94573054698839</v>
      </c>
      <c r="BH12" s="59">
        <f t="shared" si="8"/>
        <v>221.30368929954446</v>
      </c>
      <c r="BI12" s="59">
        <f ca="1">AVERAGE(OFFSET($BH$3,0,0,'Données projet'!$E$11+1,1))-AVERAGE(OFFSET($H$3,0,0,'Données projet'!$E$11+1,1))</f>
        <v>508.3185483454435</v>
      </c>
      <c r="BJ12" s="59">
        <f t="shared" si="38"/>
        <v>487.08233034004945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11.481699673377356</v>
      </c>
      <c r="CA12" s="13">
        <f t="shared" si="39"/>
        <v>3.9826627125682457</v>
      </c>
      <c r="CB12" s="20">
        <f t="shared" si="10"/>
        <v>26.933764488855257</v>
      </c>
      <c r="CC12" s="59">
        <f t="shared" si="11"/>
        <v>216.29172324141132</v>
      </c>
      <c r="CD12" s="59">
        <f ca="1">AVERAGE(OFFSET($CC$3,0,0,'Données projet'!$E$12+1,1))-AVERAGE(OFFSET($H$3,0,0,'Données projet'!$E$12+1,1))</f>
        <v>436.50252985867149</v>
      </c>
      <c r="CE12" s="59">
        <f t="shared" si="40"/>
        <v>419.00806288456329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</v>
      </c>
      <c r="CT12" s="12">
        <f>IF('Données projet'!$A$140&gt;35,CT11+CS12-DB11,IF(A12&lt;'Données projet'!$A$140,$CQ$205^A12,IF(A12='Données projet'!$A$140,'Données projet'!$B$140,CT11+CS12-DB11)))</f>
        <v>14.153969025366564</v>
      </c>
      <c r="CU12" s="17">
        <f>CT12*VLOOKUP('Données projet'!$B$13,Paramètres!$A$1:$I$89,3,0)*VLOOKUP('Données projet'!$B$13,Paramètres!$A$1:$I$89,5,0)</f>
        <v>13.689718841334541</v>
      </c>
      <c r="CV12" s="13">
        <f t="shared" si="41"/>
        <v>4.6523274057401336</v>
      </c>
      <c r="CW12" s="20">
        <f t="shared" si="13"/>
        <v>31.94573054698839</v>
      </c>
      <c r="CX12" s="59">
        <f t="shared" si="14"/>
        <v>221.30368929954446</v>
      </c>
      <c r="CY12" s="59">
        <f ca="1">AVERAGE(OFFSET($CX$3,0,0,'Données projet'!$E$13+1,1))-AVERAGE(OFFSET($H$3,0,0,'Données projet'!$E$13+1,1))</f>
        <v>508.3185483454435</v>
      </c>
      <c r="CZ12" s="59">
        <f t="shared" si="42"/>
        <v>487.08233034004945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1.9</v>
      </c>
      <c r="DO12" s="12">
        <f>IF('Données projet'!$A$166&gt;35,DO11+DN12-DW11,IF(A12&lt;'Données projet'!$A$166,$DL$205^A12,IF(A12='Données projet'!$A$166,'Données projet'!$B$166,DO11+DN12-DW11)))</f>
        <v>14.153969025366564</v>
      </c>
      <c r="DP12" s="17">
        <f>DO12*VLOOKUP('Données projet'!$B$14,Paramètres!$A$1:$I$89,3,0)*VLOOKUP('Données projet'!$B$14,Paramètres!$A$1:$I$89,5,0)</f>
        <v>13.689718841334541</v>
      </c>
      <c r="DQ12" s="13">
        <f t="shared" si="43"/>
        <v>4.6523274057401336</v>
      </c>
      <c r="DR12" s="20">
        <f t="shared" si="16"/>
        <v>31.94573054698839</v>
      </c>
      <c r="DS12" s="59">
        <f t="shared" si="17"/>
        <v>221.30368929954446</v>
      </c>
      <c r="DT12" s="59">
        <f ca="1">AVERAGE(OFFSET($DS$3,0,0,'Données projet'!$E$14+1,1))-AVERAGE(OFFSET($H$3,0,0,'Données projet'!$E$14+1,1))</f>
        <v>508.3185483454435</v>
      </c>
      <c r="DU12" s="59">
        <f t="shared" si="44"/>
        <v>487.08233034004945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</v>
      </c>
      <c r="N13" s="13">
        <f>IF('Données projet'!$A$36&gt;35,N12+M13-V12,IF(A13&lt;'Données projet'!$A$36,$K$205^A13,IF(A13='Données projet'!$A$36,'Données projet'!$B$36,N12+M13-V12)))</f>
        <v>40</v>
      </c>
      <c r="O13" s="13">
        <f>N13*VLOOKUP('Données projet'!$B$9,Paramètres!$A$1:$I$89,3,0)*VLOOKUP('Données projet'!$B$9,Paramètres!$A$1:$I$89,5,0)</f>
        <v>36.192</v>
      </c>
      <c r="P13" s="13">
        <f t="shared" si="33"/>
        <v>10.98353513000465</v>
      </c>
      <c r="Q13" s="20">
        <f t="shared" si="2"/>
        <v>82.164057018091427</v>
      </c>
      <c r="R13" s="59">
        <f t="shared" si="0"/>
        <v>274.10271900313631</v>
      </c>
      <c r="S13" s="59">
        <f ca="1">AVERAGE(OFFSET($R$3,0,0,'Données projet'!$E$9+1,1))-AVERAGE(OFFSET($H$3,0,0,'Données projet'!$E$9+1,1))</f>
        <v>569.49435820174267</v>
      </c>
      <c r="T13" s="59">
        <f t="shared" si="34"/>
        <v>295.37730858134739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</v>
      </c>
      <c r="AI13" s="13">
        <f>IF('Données projet'!$A$62&gt;35,AI12+AH13-AQ12,IF(A13&lt;'Données projet'!$A$62,$AF$205^A13,IF(A13='Données projet'!$A$62,'Données projet'!$B$62,AI12+AH13-AQ12)))</f>
        <v>40</v>
      </c>
      <c r="AJ13" s="13">
        <f>AI13*VLOOKUP('Données projet'!$B$10,Paramètres!$A$1:$I$89,3,0)*VLOOKUP('Données projet'!$B$10,Paramètres!$A$1:$I$89,5,0)</f>
        <v>40.56</v>
      </c>
      <c r="AK13" s="13">
        <f t="shared" si="35"/>
        <v>12.146954654656581</v>
      </c>
      <c r="AL13" s="20">
        <f t="shared" si="4"/>
        <v>91.797946023526876</v>
      </c>
      <c r="AM13" s="59">
        <f t="shared" si="5"/>
        <v>283.73660800857175</v>
      </c>
      <c r="AN13" s="59">
        <f ca="1">AVERAGE(OFFSET($AM$3,0,0,'Données projet'!$E$10+1,1))-AVERAGE(OFFSET($H$3,0,0,'Données projet'!$E$10+1,1))</f>
        <v>627.83896530587367</v>
      </c>
      <c r="AO13" s="59">
        <f t="shared" si="36"/>
        <v>323.54927030899489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18.376799999999999</v>
      </c>
      <c r="BF13" s="13">
        <f t="shared" si="37"/>
        <v>6.0347730001302251</v>
      </c>
      <c r="BG13" s="20">
        <f t="shared" si="7"/>
        <v>42.516822975226809</v>
      </c>
      <c r="BH13" s="59">
        <f t="shared" si="8"/>
        <v>234.45548496027169</v>
      </c>
      <c r="BI13" s="59">
        <f ca="1">AVERAGE(OFFSET($BH$3,0,0,'Données projet'!$E$11+1,1))-AVERAGE(OFFSET($H$3,0,0,'Données projet'!$E$11+1,1))</f>
        <v>508.3185483454435</v>
      </c>
      <c r="BJ13" s="59">
        <f t="shared" si="38"/>
        <v>487.08233034004945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15.412800000000002</v>
      </c>
      <c r="CA13" s="13">
        <f t="shared" si="39"/>
        <v>5.1661165069289936</v>
      </c>
      <c r="CB13" s="20">
        <f t="shared" si="10"/>
        <v>35.841612916234673</v>
      </c>
      <c r="CC13" s="59">
        <f t="shared" si="11"/>
        <v>227.78027490127957</v>
      </c>
      <c r="CD13" s="59">
        <f ca="1">AVERAGE(OFFSET($CC$3,0,0,'Données projet'!$E$12+1,1))-AVERAGE(OFFSET($H$3,0,0,'Données projet'!$E$12+1,1))</f>
        <v>436.50252985867149</v>
      </c>
      <c r="CE13" s="59">
        <f t="shared" si="40"/>
        <v>419.00806288456329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19</v>
      </c>
      <c r="CR13" s="12">
        <f>VLOOKUP(A13,'Données projet'!$A$139:$I$159,9,0)</f>
        <v>1.9</v>
      </c>
      <c r="CS13" s="12">
        <f t="array" ref="CS13">INDEX(CR:CR,MIN(IF(ISNUMBER(CR13:CR209),ROW(CR13:CR209),"")))</f>
        <v>1.9</v>
      </c>
      <c r="CT13" s="12">
        <f>IF('Données projet'!$A$140&gt;35,CT12+CS13-DB12,IF(A13&lt;'Données projet'!$A$140,$CQ$205^A13,IF(A13='Données projet'!$A$140,'Données projet'!$B$140,CT12+CS13-DB12)))</f>
        <v>19</v>
      </c>
      <c r="CU13" s="17">
        <f>CT13*VLOOKUP('Données projet'!$B$13,Paramètres!$A$1:$I$89,3,0)*VLOOKUP('Données projet'!$B$13,Paramètres!$A$1:$I$89,5,0)</f>
        <v>18.376799999999999</v>
      </c>
      <c r="CV13" s="13">
        <f t="shared" si="41"/>
        <v>6.0347730001302251</v>
      </c>
      <c r="CW13" s="20">
        <f t="shared" si="13"/>
        <v>42.516822975226809</v>
      </c>
      <c r="CX13" s="59">
        <f t="shared" si="14"/>
        <v>234.45548496027169</v>
      </c>
      <c r="CY13" s="59">
        <f ca="1">AVERAGE(OFFSET($CX$3,0,0,'Données projet'!$E$13+1,1))-AVERAGE(OFFSET($H$3,0,0,'Données projet'!$E$13+1,1))</f>
        <v>508.3185483454435</v>
      </c>
      <c r="CZ13" s="59">
        <f t="shared" si="42"/>
        <v>487.08233034004945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7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19</v>
      </c>
      <c r="DM13" s="12">
        <f>VLOOKUP(A13,'Données projet'!$A$165:$I$185,9,0)</f>
        <v>1.9</v>
      </c>
      <c r="DN13" s="12">
        <f t="array" ref="DN13">INDEX(DM:DM,MIN(IF(ISNUMBER(DM13:DM209),ROW(DM13:DM209),"")))</f>
        <v>1.9</v>
      </c>
      <c r="DO13" s="12">
        <f>IF('Données projet'!$A$166&gt;35,DO12+DN13-DW12,IF(A13&lt;'Données projet'!$A$166,$DL$205^A13,IF(A13='Données projet'!$A$166,'Données projet'!$B$166,DO12+DN13-DW12)))</f>
        <v>19</v>
      </c>
      <c r="DP13" s="17">
        <f>DO13*VLOOKUP('Données projet'!$B$14,Paramètres!$A$1:$I$89,3,0)*VLOOKUP('Données projet'!$B$14,Paramètres!$A$1:$I$89,5,0)</f>
        <v>18.376799999999999</v>
      </c>
      <c r="DQ13" s="13">
        <f t="shared" si="43"/>
        <v>6.0347730001302251</v>
      </c>
      <c r="DR13" s="20">
        <f t="shared" si="16"/>
        <v>42.516822975226809</v>
      </c>
      <c r="DS13" s="59">
        <f t="shared" si="17"/>
        <v>234.45548496027169</v>
      </c>
      <c r="DT13" s="59">
        <f ca="1">AVERAGE(OFFSET($DS$3,0,0,'Données projet'!$E$14+1,1))-AVERAGE(OFFSET($H$3,0,0,'Données projet'!$E$14+1,1))</f>
        <v>508.3185483454435</v>
      </c>
      <c r="DU13" s="59">
        <f t="shared" si="44"/>
        <v>487.08233034004945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7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</v>
      </c>
      <c r="N14" s="13">
        <f>IF('Données projet'!$A$36&gt;35,N13+M14-V13,IF(A14&lt;'Données projet'!$A$36,$K$205^A14,IF(A14='Données projet'!$A$36,'Données projet'!$B$36,N13+M14-V13)))</f>
        <v>44</v>
      </c>
      <c r="O14" s="13">
        <f>N14*VLOOKUP('Données projet'!$B$9,Paramètres!$A$1:$I$89,3,0)*VLOOKUP('Données projet'!$B$9,Paramètres!$A$1:$I$89,5,0)</f>
        <v>39.811199999999999</v>
      </c>
      <c r="P14" s="13">
        <f t="shared" si="33"/>
        <v>11.948591675101238</v>
      </c>
      <c r="Q14" s="20">
        <f t="shared" si="2"/>
        <v>90.148303834134651</v>
      </c>
      <c r="R14" s="59">
        <f t="shared" si="0"/>
        <v>284.64410244324881</v>
      </c>
      <c r="S14" s="59">
        <f ca="1">AVERAGE(OFFSET($R$3,0,0,'Données projet'!$E$9+1,1))-AVERAGE(OFFSET($H$3,0,0,'Données projet'!$E$9+1,1))</f>
        <v>569.49435820174267</v>
      </c>
      <c r="T14" s="59">
        <f t="shared" si="34"/>
        <v>295.37730858134739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</v>
      </c>
      <c r="AI14" s="13">
        <f>IF('Données projet'!$A$62&gt;35,AI13+AH14-AQ13,IF(A14&lt;'Données projet'!$A$62,$AF$205^A14,IF(A14='Données projet'!$A$62,'Données projet'!$B$62,AI13+AH14-AQ13)))</f>
        <v>44</v>
      </c>
      <c r="AJ14" s="13">
        <f>AI14*VLOOKUP('Données projet'!$B$10,Paramètres!$A$1:$I$89,3,0)*VLOOKUP('Données projet'!$B$10,Paramètres!$A$1:$I$89,5,0)</f>
        <v>44.616000000000007</v>
      </c>
      <c r="AK14" s="13">
        <f t="shared" si="35"/>
        <v>13.214233809656909</v>
      </c>
      <c r="AL14" s="20">
        <f t="shared" si="4"/>
        <v>100.72099055181911</v>
      </c>
      <c r="AM14" s="59">
        <f t="shared" si="5"/>
        <v>295.21678916093322</v>
      </c>
      <c r="AN14" s="59">
        <f ca="1">AVERAGE(OFFSET($AM$3,0,0,'Données projet'!$E$10+1,1))-AVERAGE(OFFSET($H$3,0,0,'Données projet'!$E$10+1,1))</f>
        <v>627.83896530587367</v>
      </c>
      <c r="AO14" s="59">
        <f t="shared" si="36"/>
        <v>323.54927030899489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14.6</v>
      </c>
      <c r="BD14" s="12">
        <f>IF('Données projet'!$A$88&gt;35,BD13+BC14-BL13,IF(A14&lt;'Données projet'!$A$88,$BA$205^A14,IF(A14='Données projet'!$A$88,'Données projet'!$B$88,BD13+BC14-BL13)))</f>
        <v>26.6</v>
      </c>
      <c r="BE14" s="13">
        <f>BD14*VLOOKUP('Données projet'!$B$11,Paramètres!$A$1:$I$89,3,0)*VLOOKUP('Données projet'!$B$11,Paramètres!$A$1:$I$89,5,0)</f>
        <v>25.727520000000002</v>
      </c>
      <c r="BF14" s="13">
        <f t="shared" si="37"/>
        <v>8.1241825036902533</v>
      </c>
      <c r="BG14" s="20">
        <f t="shared" si="7"/>
        <v>58.958381860593853</v>
      </c>
      <c r="BH14" s="59">
        <f t="shared" si="8"/>
        <v>253.45418046970798</v>
      </c>
      <c r="BI14" s="59">
        <f ca="1">AVERAGE(OFFSET($BH$3,0,0,'Données projet'!$E$11+1,1))-AVERAGE(OFFSET($H$3,0,0,'Données projet'!$E$11+1,1))</f>
        <v>508.3185483454435</v>
      </c>
      <c r="BJ14" s="59">
        <f t="shared" si="38"/>
        <v>487.08233034004945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14.6</v>
      </c>
      <c r="BY14" s="12">
        <f>IF('Données projet'!$A$114&gt;35,BY13+BX14-CG13,IF(A14&lt;'Données projet'!$A$114,$BV$205^A14,IF(A14='Données projet'!$A$114,'Données projet'!$B$114,BY13+BX14-CG13)))</f>
        <v>26.6</v>
      </c>
      <c r="BZ14" s="13">
        <f>BY14*VLOOKUP('Données projet'!$B$12,Paramètres!$A$1:$I$89,3,0)*VLOOKUP('Données projet'!$B$12,Paramètres!$A$1:$I$89,5,0)</f>
        <v>21.577920000000002</v>
      </c>
      <c r="CA14" s="13">
        <f t="shared" si="39"/>
        <v>6.9547725053970177</v>
      </c>
      <c r="CB14" s="20">
        <f t="shared" si="10"/>
        <v>49.6944394468998</v>
      </c>
      <c r="CC14" s="59">
        <f t="shared" si="11"/>
        <v>244.19023805601392</v>
      </c>
      <c r="CD14" s="59">
        <f ca="1">AVERAGE(OFFSET($CC$3,0,0,'Données projet'!$E$12+1,1))-AVERAGE(OFFSET($H$3,0,0,'Données projet'!$E$12+1,1))</f>
        <v>436.50252985867149</v>
      </c>
      <c r="CE14" s="59">
        <f t="shared" si="40"/>
        <v>419.00806288456329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14.6</v>
      </c>
      <c r="CT14" s="12">
        <f>IF('Données projet'!$A$140&gt;35,CT13+CS14-DB13,IF(A14&lt;'Données projet'!$A$140,$CQ$205^A14,IF(A14='Données projet'!$A$140,'Données projet'!$B$140,CT13+CS14-DB13)))</f>
        <v>26.6</v>
      </c>
      <c r="CU14" s="17">
        <f>CT14*VLOOKUP('Données projet'!$B$13,Paramètres!$A$1:$I$89,3,0)*VLOOKUP('Données projet'!$B$13,Paramètres!$A$1:$I$89,5,0)</f>
        <v>25.727520000000002</v>
      </c>
      <c r="CV14" s="13">
        <f t="shared" si="41"/>
        <v>8.1241825036902533</v>
      </c>
      <c r="CW14" s="20">
        <f t="shared" si="13"/>
        <v>58.958381860593853</v>
      </c>
      <c r="CX14" s="59">
        <f t="shared" si="14"/>
        <v>253.45418046970798</v>
      </c>
      <c r="CY14" s="59">
        <f ca="1">AVERAGE(OFFSET($CX$3,0,0,'Données projet'!$E$13+1,1))-AVERAGE(OFFSET($H$3,0,0,'Données projet'!$E$13+1,1))</f>
        <v>508.3185483454435</v>
      </c>
      <c r="CZ14" s="59">
        <f t="shared" si="42"/>
        <v>487.08233034004945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14.6</v>
      </c>
      <c r="DO14" s="12">
        <f>IF('Données projet'!$A$166&gt;35,DO13+DN14-DW13,IF(A14&lt;'Données projet'!$A$166,$DL$205^A14,IF(A14='Données projet'!$A$166,'Données projet'!$B$166,DO13+DN14-DW13)))</f>
        <v>26.6</v>
      </c>
      <c r="DP14" s="17">
        <f>DO14*VLOOKUP('Données projet'!$B$14,Paramètres!$A$1:$I$89,3,0)*VLOOKUP('Données projet'!$B$14,Paramètres!$A$1:$I$89,5,0)</f>
        <v>25.727520000000002</v>
      </c>
      <c r="DQ14" s="13">
        <f t="shared" si="43"/>
        <v>8.1241825036902533</v>
      </c>
      <c r="DR14" s="20">
        <f t="shared" si="16"/>
        <v>58.958381860593853</v>
      </c>
      <c r="DS14" s="59">
        <f t="shared" si="17"/>
        <v>253.45418046970798</v>
      </c>
      <c r="DT14" s="59">
        <f ca="1">AVERAGE(OFFSET($DS$3,0,0,'Données projet'!$E$14+1,1))-AVERAGE(OFFSET($H$3,0,0,'Données projet'!$E$14+1,1))</f>
        <v>508.3185483454435</v>
      </c>
      <c r="DU14" s="59">
        <f t="shared" si="44"/>
        <v>487.08233034004945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</v>
      </c>
      <c r="N15" s="13">
        <f>IF('Données projet'!$A$36&gt;35,N14+M15-V14,IF(A15&lt;'Données projet'!$A$36,$K$205^A15,IF(A15='Données projet'!$A$36,'Données projet'!$B$36,N14+M15-V14)))</f>
        <v>48</v>
      </c>
      <c r="O15" s="13">
        <f>N15*VLOOKUP('Données projet'!$B$9,Paramètres!$A$1:$I$89,3,0)*VLOOKUP('Données projet'!$B$9,Paramètres!$A$1:$I$89,5,0)</f>
        <v>43.430399999999999</v>
      </c>
      <c r="P15" s="13">
        <f t="shared" si="33"/>
        <v>12.903475229013621</v>
      </c>
      <c r="Q15" s="20">
        <f t="shared" si="2"/>
        <v>98.114832690532054</v>
      </c>
      <c r="R15" s="59">
        <f t="shared" si="0"/>
        <v>295.14461014326491</v>
      </c>
      <c r="S15" s="59">
        <f ca="1">AVERAGE(OFFSET($R$3,0,0,'Données projet'!$E$9+1,1))-AVERAGE(OFFSET($H$3,0,0,'Données projet'!$E$9+1,1))</f>
        <v>569.49435820174267</v>
      </c>
      <c r="T15" s="59">
        <f t="shared" si="34"/>
        <v>295.37730858134739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</v>
      </c>
      <c r="AI15" s="13">
        <f>IF('Données projet'!$A$62&gt;35,AI14+AH15-AQ14,IF(A15&lt;'Données projet'!$A$62,$AF$205^A15,IF(A15='Données projet'!$A$62,'Données projet'!$B$62,AI14+AH15-AQ14)))</f>
        <v>48</v>
      </c>
      <c r="AJ15" s="13">
        <f>AI15*VLOOKUP('Données projet'!$B$10,Paramètres!$A$1:$I$89,3,0)*VLOOKUP('Données projet'!$B$10,Paramètres!$A$1:$I$89,5,0)</f>
        <v>48.672000000000004</v>
      </c>
      <c r="AK15" s="13">
        <f t="shared" si="35"/>
        <v>14.270262409972053</v>
      </c>
      <c r="AL15" s="20">
        <f t="shared" si="4"/>
        <v>109.62444036403467</v>
      </c>
      <c r="AM15" s="59">
        <f t="shared" si="5"/>
        <v>306.65421781676753</v>
      </c>
      <c r="AN15" s="59">
        <f ca="1">AVERAGE(OFFSET($AM$3,0,0,'Données projet'!$E$10+1,1))-AVERAGE(OFFSET($H$3,0,0,'Données projet'!$E$10+1,1))</f>
        <v>627.83896530587367</v>
      </c>
      <c r="AO15" s="59">
        <f t="shared" si="36"/>
        <v>323.54927030899489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14.6</v>
      </c>
      <c r="BD15" s="12">
        <f>IF('Données projet'!$A$88&gt;35,BD14+BC15-BL14,IF(A15&lt;'Données projet'!$A$88,$BA$205^A15,IF(A15='Données projet'!$A$88,'Données projet'!$B$88,BD14+BC15-BL14)))</f>
        <v>41.2</v>
      </c>
      <c r="BE15" s="13">
        <f>BD15*VLOOKUP('Données projet'!$B$11,Paramètres!$A$1:$I$89,3,0)*VLOOKUP('Données projet'!$B$11,Paramètres!$A$1:$I$89,5,0)</f>
        <v>39.848640000000003</v>
      </c>
      <c r="BF15" s="13">
        <f t="shared" si="37"/>
        <v>11.958520074419543</v>
      </c>
      <c r="BG15" s="20">
        <f t="shared" si="7"/>
        <v>90.230803796280711</v>
      </c>
      <c r="BH15" s="59">
        <f t="shared" si="8"/>
        <v>287.26058124901357</v>
      </c>
      <c r="BI15" s="59">
        <f ca="1">AVERAGE(OFFSET($BH$3,0,0,'Données projet'!$E$11+1,1))-AVERAGE(OFFSET($H$3,0,0,'Données projet'!$E$11+1,1))</f>
        <v>508.3185483454435</v>
      </c>
      <c r="BJ15" s="59">
        <f t="shared" si="38"/>
        <v>487.08233034004945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14.6</v>
      </c>
      <c r="BY15" s="12">
        <f>IF('Données projet'!$A$114&gt;35,BY14+BX15-CG14,IF(A15&lt;'Données projet'!$A$114,$BV$205^A15,IF(A15='Données projet'!$A$114,'Données projet'!$B$114,BY14+BX15-CG14)))</f>
        <v>41.2</v>
      </c>
      <c r="BZ15" s="13">
        <f>BY15*VLOOKUP('Données projet'!$B$12,Paramètres!$A$1:$I$89,3,0)*VLOOKUP('Données projet'!$B$12,Paramètres!$A$1:$I$89,5,0)</f>
        <v>33.421440000000004</v>
      </c>
      <c r="CA15" s="13">
        <f t="shared" si="39"/>
        <v>10.23718836707982</v>
      </c>
      <c r="CB15" s="20">
        <f t="shared" si="10"/>
        <v>76.038777739330698</v>
      </c>
      <c r="CC15" s="59">
        <f t="shared" si="11"/>
        <v>273.06855519206357</v>
      </c>
      <c r="CD15" s="59">
        <f ca="1">AVERAGE(OFFSET($CC$3,0,0,'Données projet'!$E$12+1,1))-AVERAGE(OFFSET($H$3,0,0,'Données projet'!$E$12+1,1))</f>
        <v>436.50252985867149</v>
      </c>
      <c r="CE15" s="59">
        <f t="shared" si="40"/>
        <v>419.00806288456329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14.6</v>
      </c>
      <c r="CT15" s="12">
        <f>IF('Données projet'!$A$140&gt;35,CT14+CS15-DB14,IF(A15&lt;'Données projet'!$A$140,$CQ$205^A15,IF(A15='Données projet'!$A$140,'Données projet'!$B$140,CT14+CS15-DB14)))</f>
        <v>41.2</v>
      </c>
      <c r="CU15" s="17">
        <f>CT15*VLOOKUP('Données projet'!$B$13,Paramètres!$A$1:$I$89,3,0)*VLOOKUP('Données projet'!$B$13,Paramètres!$A$1:$I$89,5,0)</f>
        <v>39.848640000000003</v>
      </c>
      <c r="CV15" s="13">
        <f t="shared" si="41"/>
        <v>11.958520074419543</v>
      </c>
      <c r="CW15" s="20">
        <f t="shared" si="13"/>
        <v>90.230803796280711</v>
      </c>
      <c r="CX15" s="59">
        <f t="shared" si="14"/>
        <v>287.26058124901357</v>
      </c>
      <c r="CY15" s="59">
        <f ca="1">AVERAGE(OFFSET($CX$3,0,0,'Données projet'!$E$13+1,1))-AVERAGE(OFFSET($H$3,0,0,'Données projet'!$E$13+1,1))</f>
        <v>508.3185483454435</v>
      </c>
      <c r="CZ15" s="59">
        <f t="shared" si="42"/>
        <v>487.08233034004945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14.6</v>
      </c>
      <c r="DO15" s="12">
        <f>IF('Données projet'!$A$166&gt;35,DO14+DN15-DW14,IF(A15&lt;'Données projet'!$A$166,$DL$205^A15,IF(A15='Données projet'!$A$166,'Données projet'!$B$166,DO14+DN15-DW14)))</f>
        <v>41.2</v>
      </c>
      <c r="DP15" s="17">
        <f>DO15*VLOOKUP('Données projet'!$B$14,Paramètres!$A$1:$I$89,3,0)*VLOOKUP('Données projet'!$B$14,Paramètres!$A$1:$I$89,5,0)</f>
        <v>39.848640000000003</v>
      </c>
      <c r="DQ15" s="13">
        <f t="shared" si="43"/>
        <v>11.958520074419543</v>
      </c>
      <c r="DR15" s="20">
        <f t="shared" si="16"/>
        <v>90.230803796280711</v>
      </c>
      <c r="DS15" s="59">
        <f t="shared" si="17"/>
        <v>287.26058124901357</v>
      </c>
      <c r="DT15" s="59">
        <f ca="1">AVERAGE(OFFSET($DS$3,0,0,'Données projet'!$E$14+1,1))-AVERAGE(OFFSET($H$3,0,0,'Données projet'!$E$14+1,1))</f>
        <v>508.3185483454435</v>
      </c>
      <c r="DU15" s="59">
        <f t="shared" si="44"/>
        <v>487.08233034004945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</v>
      </c>
      <c r="N16" s="13">
        <f>IF('Données projet'!$A$36&gt;35,N15+M16-V15,IF(A16&lt;'Données projet'!$A$36,$K$205^A16,IF(A16='Données projet'!$A$36,'Données projet'!$B$36,N15+M16-V15)))</f>
        <v>52</v>
      </c>
      <c r="O16" s="13">
        <f>N16*VLOOKUP('Données projet'!$B$9,Paramètres!$A$1:$I$89,3,0)*VLOOKUP('Données projet'!$B$9,Paramètres!$A$1:$I$89,5,0)</f>
        <v>47.049599999999998</v>
      </c>
      <c r="P16" s="13">
        <f t="shared" si="33"/>
        <v>13.849129922569936</v>
      </c>
      <c r="Q16" s="20">
        <f t="shared" si="2"/>
        <v>106.06528794847596</v>
      </c>
      <c r="R16" s="59">
        <f t="shared" si="0"/>
        <v>305.60628820009475</v>
      </c>
      <c r="S16" s="59">
        <f ca="1">AVERAGE(OFFSET($R$3,0,0,'Données projet'!$E$9+1,1))-AVERAGE(OFFSET($H$3,0,0,'Données projet'!$E$9+1,1))</f>
        <v>569.49435820174267</v>
      </c>
      <c r="T16" s="59">
        <f t="shared" si="34"/>
        <v>295.37730858134739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</v>
      </c>
      <c r="AI16" s="13">
        <f>IF('Données projet'!$A$62&gt;35,AI15+AH16-AQ15,IF(A16&lt;'Données projet'!$A$62,$AF$205^A16,IF(A16='Données projet'!$A$62,'Données projet'!$B$62,AI15+AH16-AQ15)))</f>
        <v>52</v>
      </c>
      <c r="AJ16" s="13">
        <f>AI16*VLOOKUP('Données projet'!$B$10,Paramètres!$A$1:$I$89,3,0)*VLOOKUP('Données projet'!$B$10,Paramètres!$A$1:$I$89,5,0)</f>
        <v>52.728000000000009</v>
      </c>
      <c r="AK16" s="13">
        <f t="shared" si="35"/>
        <v>15.316084592505286</v>
      </c>
      <c r="AL16" s="20">
        <f t="shared" si="4"/>
        <v>118.51011399861339</v>
      </c>
      <c r="AM16" s="59">
        <f t="shared" si="5"/>
        <v>318.05111425023222</v>
      </c>
      <c r="AN16" s="59">
        <f ca="1">AVERAGE(OFFSET($AM$3,0,0,'Données projet'!$E$10+1,1))-AVERAGE(OFFSET($H$3,0,0,'Données projet'!$E$10+1,1))</f>
        <v>627.83896530587367</v>
      </c>
      <c r="AO16" s="59">
        <f t="shared" si="36"/>
        <v>323.54927030899489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14.6</v>
      </c>
      <c r="BD16" s="12">
        <f>IF('Données projet'!$A$88&gt;35,BD15+BC16-BL15,IF(A16&lt;'Données projet'!$A$88,$BA$205^A16,IF(A16='Données projet'!$A$88,'Données projet'!$B$88,BD15+BC16-BL15)))</f>
        <v>55.800000000000004</v>
      </c>
      <c r="BE16" s="13">
        <f>BD16*VLOOKUP('Données projet'!$B$11,Paramètres!$A$1:$I$89,3,0)*VLOOKUP('Données projet'!$B$11,Paramètres!$A$1:$I$89,5,0)</f>
        <v>53.969760000000008</v>
      </c>
      <c r="BF16" s="13">
        <f t="shared" si="37"/>
        <v>15.634364575776658</v>
      </c>
      <c r="BG16" s="20">
        <f t="shared" si="7"/>
        <v>121.22718363614437</v>
      </c>
      <c r="BH16" s="59">
        <f t="shared" si="8"/>
        <v>320.7681838877632</v>
      </c>
      <c r="BI16" s="59">
        <f ca="1">AVERAGE(OFFSET($BH$3,0,0,'Données projet'!$E$11+1,1))-AVERAGE(OFFSET($H$3,0,0,'Données projet'!$E$11+1,1))</f>
        <v>508.3185483454435</v>
      </c>
      <c r="BJ16" s="59">
        <f t="shared" si="38"/>
        <v>487.08233034004945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14.6</v>
      </c>
      <c r="BY16" s="12">
        <f>IF('Données projet'!$A$114&gt;35,BY15+BX16-CG15,IF(A16&lt;'Données projet'!$A$114,$BV$205^A16,IF(A16='Données projet'!$A$114,'Données projet'!$B$114,BY15+BX16-CG15)))</f>
        <v>55.800000000000004</v>
      </c>
      <c r="BZ16" s="13">
        <f>BY16*VLOOKUP('Données projet'!$B$12,Paramètres!$A$1:$I$89,3,0)*VLOOKUP('Données projet'!$B$12,Paramètres!$A$1:$I$89,5,0)</f>
        <v>45.264960000000002</v>
      </c>
      <c r="CA16" s="13">
        <f t="shared" si="39"/>
        <v>13.383924947719283</v>
      </c>
      <c r="CB16" s="20">
        <f t="shared" si="10"/>
        <v>102.14680795061109</v>
      </c>
      <c r="CC16" s="59">
        <f t="shared" si="11"/>
        <v>301.68780820222992</v>
      </c>
      <c r="CD16" s="59">
        <f ca="1">AVERAGE(OFFSET($CC$3,0,0,'Données projet'!$E$12+1,1))-AVERAGE(OFFSET($H$3,0,0,'Données projet'!$E$12+1,1))</f>
        <v>436.50252985867149</v>
      </c>
      <c r="CE16" s="59">
        <f t="shared" si="40"/>
        <v>419.00806288456329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14.6</v>
      </c>
      <c r="CT16" s="12">
        <f>IF('Données projet'!$A$140&gt;35,CT15+CS16-DB15,IF(A16&lt;'Données projet'!$A$140,$CQ$205^A16,IF(A16='Données projet'!$A$140,'Données projet'!$B$140,CT15+CS16-DB15)))</f>
        <v>55.800000000000004</v>
      </c>
      <c r="CU16" s="17">
        <f>CT16*VLOOKUP('Données projet'!$B$13,Paramètres!$A$1:$I$89,3,0)*VLOOKUP('Données projet'!$B$13,Paramètres!$A$1:$I$89,5,0)</f>
        <v>53.969760000000008</v>
      </c>
      <c r="CV16" s="13">
        <f t="shared" si="41"/>
        <v>15.634364575776658</v>
      </c>
      <c r="CW16" s="20">
        <f t="shared" si="13"/>
        <v>121.22718363614437</v>
      </c>
      <c r="CX16" s="59">
        <f t="shared" si="14"/>
        <v>320.7681838877632</v>
      </c>
      <c r="CY16" s="59">
        <f ca="1">AVERAGE(OFFSET($CX$3,0,0,'Données projet'!$E$13+1,1))-AVERAGE(OFFSET($H$3,0,0,'Données projet'!$E$13+1,1))</f>
        <v>508.3185483454435</v>
      </c>
      <c r="CZ16" s="59">
        <f t="shared" si="42"/>
        <v>487.08233034004945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14.6</v>
      </c>
      <c r="DO16" s="12">
        <f>IF('Données projet'!$A$166&gt;35,DO15+DN16-DW15,IF(A16&lt;'Données projet'!$A$166,$DL$205^A16,IF(A16='Données projet'!$A$166,'Données projet'!$B$166,DO15+DN16-DW15)))</f>
        <v>55.800000000000004</v>
      </c>
      <c r="DP16" s="17">
        <f>DO16*VLOOKUP('Données projet'!$B$14,Paramètres!$A$1:$I$89,3,0)*VLOOKUP('Données projet'!$B$14,Paramètres!$A$1:$I$89,5,0)</f>
        <v>53.969760000000008</v>
      </c>
      <c r="DQ16" s="13">
        <f t="shared" si="43"/>
        <v>15.634364575776658</v>
      </c>
      <c r="DR16" s="20">
        <f t="shared" si="16"/>
        <v>121.22718363614437</v>
      </c>
      <c r="DS16" s="59">
        <f t="shared" si="17"/>
        <v>320.7681838877632</v>
      </c>
      <c r="DT16" s="59">
        <f ca="1">AVERAGE(OFFSET($DS$3,0,0,'Données projet'!$E$14+1,1))-AVERAGE(OFFSET($H$3,0,0,'Données projet'!$E$14+1,1))</f>
        <v>508.3185483454435</v>
      </c>
      <c r="DU16" s="59">
        <f t="shared" si="44"/>
        <v>487.08233034004945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</v>
      </c>
      <c r="N17" s="13">
        <f>IF('Données projet'!$A$36&gt;35,N16+M17-V16,IF(A17&lt;'Données projet'!$A$36,$K$205^A17,IF(A17='Données projet'!$A$36,'Données projet'!$B$36,N16+M17-V16)))</f>
        <v>56</v>
      </c>
      <c r="O17" s="13">
        <f>N17*VLOOKUP('Données projet'!$B$9,Paramètres!$A$1:$I$89,3,0)*VLOOKUP('Données projet'!$B$9,Paramètres!$A$1:$I$89,5,0)</f>
        <v>50.668799999999997</v>
      </c>
      <c r="P17" s="13">
        <f t="shared" si="33"/>
        <v>14.786346384516113</v>
      </c>
      <c r="Q17" s="20">
        <f t="shared" si="2"/>
        <v>114.0010466196989</v>
      </c>
      <c r="R17" s="59">
        <f t="shared" si="0"/>
        <v>316.0309083919721</v>
      </c>
      <c r="S17" s="59">
        <f ca="1">AVERAGE(OFFSET($R$3,0,0,'Données projet'!$E$9+1,1))-AVERAGE(OFFSET($H$3,0,0,'Données projet'!$E$9+1,1))</f>
        <v>569.49435820174267</v>
      </c>
      <c r="T17" s="59">
        <f t="shared" si="34"/>
        <v>295.37730858134739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</v>
      </c>
      <c r="AI17" s="13">
        <f>IF('Données projet'!$A$62&gt;35,AI16+AH17-AQ16,IF(A17&lt;'Données projet'!$A$62,$AF$205^A17,IF(A17='Données projet'!$A$62,'Données projet'!$B$62,AI16+AH17-AQ16)))</f>
        <v>56</v>
      </c>
      <c r="AJ17" s="13">
        <f>AI17*VLOOKUP('Données projet'!$B$10,Paramètres!$A$1:$I$89,3,0)*VLOOKUP('Données projet'!$B$10,Paramètres!$A$1:$I$89,5,0)</f>
        <v>56.783999999999999</v>
      </c>
      <c r="AK17" s="13">
        <f t="shared" si="35"/>
        <v>16.352574732529362</v>
      </c>
      <c r="AL17" s="20">
        <f t="shared" si="4"/>
        <v>127.37953432582198</v>
      </c>
      <c r="AM17" s="59">
        <f t="shared" si="5"/>
        <v>329.40939609809516</v>
      </c>
      <c r="AN17" s="59">
        <f ca="1">AVERAGE(OFFSET($AM$3,0,0,'Données projet'!$E$10+1,1))-AVERAGE(OFFSET($H$3,0,0,'Données projet'!$E$10+1,1))</f>
        <v>627.83896530587367</v>
      </c>
      <c r="AO17" s="59">
        <f t="shared" si="36"/>
        <v>323.54927030899489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14.6</v>
      </c>
      <c r="BD17" s="12">
        <f>IF('Données projet'!$A$88&gt;35,BD16+BC17-BL16,IF(A17&lt;'Données projet'!$A$88,$BA$205^A17,IF(A17='Données projet'!$A$88,'Données projet'!$B$88,BD16+BC17-BL16)))</f>
        <v>70.400000000000006</v>
      </c>
      <c r="BE17" s="13">
        <f>BD17*VLOOKUP('Données projet'!$B$11,Paramètres!$A$1:$I$89,3,0)*VLOOKUP('Données projet'!$B$11,Paramètres!$A$1:$I$89,5,0)</f>
        <v>68.090880000000013</v>
      </c>
      <c r="BF17" s="13">
        <f t="shared" si="37"/>
        <v>19.198595499398802</v>
      </c>
      <c r="BG17" s="20">
        <f t="shared" si="7"/>
        <v>152.02916982811959</v>
      </c>
      <c r="BH17" s="59">
        <f t="shared" si="8"/>
        <v>354.05903160039281</v>
      </c>
      <c r="BI17" s="59">
        <f ca="1">AVERAGE(OFFSET($BH$3,0,0,'Données projet'!$E$11+1,1))-AVERAGE(OFFSET($H$3,0,0,'Données projet'!$E$11+1,1))</f>
        <v>508.3185483454435</v>
      </c>
      <c r="BJ17" s="59">
        <f t="shared" si="38"/>
        <v>487.08233034004945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14.6</v>
      </c>
      <c r="BY17" s="12">
        <f>IF('Données projet'!$A$114&gt;35,BY16+BX17-CG16,IF(A17&lt;'Données projet'!$A$114,$BV$205^A17,IF(A17='Données projet'!$A$114,'Données projet'!$B$114,BY16+BX17-CG16)))</f>
        <v>70.400000000000006</v>
      </c>
      <c r="BZ17" s="13">
        <f>BY17*VLOOKUP('Données projet'!$B$12,Paramètres!$A$1:$I$89,3,0)*VLOOKUP('Données projet'!$B$12,Paramètres!$A$1:$I$89,5,0)</f>
        <v>57.108480000000007</v>
      </c>
      <c r="CA17" s="13">
        <f t="shared" si="39"/>
        <v>16.435113817397369</v>
      </c>
      <c r="CB17" s="20">
        <f t="shared" si="10"/>
        <v>128.08842589863374</v>
      </c>
      <c r="CC17" s="59">
        <f t="shared" si="11"/>
        <v>330.11828767090697</v>
      </c>
      <c r="CD17" s="59">
        <f ca="1">AVERAGE(OFFSET($CC$3,0,0,'Données projet'!$E$12+1,1))-AVERAGE(OFFSET($H$3,0,0,'Données projet'!$E$12+1,1))</f>
        <v>436.50252985867149</v>
      </c>
      <c r="CE17" s="59">
        <f t="shared" si="40"/>
        <v>419.00806288456329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14.6</v>
      </c>
      <c r="CT17" s="12">
        <f>IF('Données projet'!$A$140&gt;35,CT16+CS17-DB16,IF(A17&lt;'Données projet'!$A$140,$CQ$205^A17,IF(A17='Données projet'!$A$140,'Données projet'!$B$140,CT16+CS17-DB16)))</f>
        <v>70.400000000000006</v>
      </c>
      <c r="CU17" s="17">
        <f>CT17*VLOOKUP('Données projet'!$B$13,Paramètres!$A$1:$I$89,3,0)*VLOOKUP('Données projet'!$B$13,Paramètres!$A$1:$I$89,5,0)</f>
        <v>68.090880000000013</v>
      </c>
      <c r="CV17" s="13">
        <f t="shared" si="41"/>
        <v>19.198595499398802</v>
      </c>
      <c r="CW17" s="20">
        <f t="shared" si="13"/>
        <v>152.02916982811959</v>
      </c>
      <c r="CX17" s="59">
        <f t="shared" si="14"/>
        <v>354.05903160039281</v>
      </c>
      <c r="CY17" s="59">
        <f ca="1">AVERAGE(OFFSET($CX$3,0,0,'Données projet'!$E$13+1,1))-AVERAGE(OFFSET($H$3,0,0,'Données projet'!$E$13+1,1))</f>
        <v>508.3185483454435</v>
      </c>
      <c r="CZ17" s="59">
        <f t="shared" si="42"/>
        <v>487.08233034004945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14.6</v>
      </c>
      <c r="DO17" s="12">
        <f>IF('Données projet'!$A$166&gt;35,DO16+DN17-DW16,IF(A17&lt;'Données projet'!$A$166,$DL$205^A17,IF(A17='Données projet'!$A$166,'Données projet'!$B$166,DO16+DN17-DW16)))</f>
        <v>70.400000000000006</v>
      </c>
      <c r="DP17" s="17">
        <f>DO17*VLOOKUP('Données projet'!$B$14,Paramètres!$A$1:$I$89,3,0)*VLOOKUP('Données projet'!$B$14,Paramètres!$A$1:$I$89,5,0)</f>
        <v>68.090880000000013</v>
      </c>
      <c r="DQ17" s="13">
        <f t="shared" si="43"/>
        <v>19.198595499398802</v>
      </c>
      <c r="DR17" s="20">
        <f t="shared" si="16"/>
        <v>152.02916982811959</v>
      </c>
      <c r="DS17" s="59">
        <f t="shared" si="17"/>
        <v>354.05903160039281</v>
      </c>
      <c r="DT17" s="59">
        <f ca="1">AVERAGE(OFFSET($DS$3,0,0,'Données projet'!$E$14+1,1))-AVERAGE(OFFSET($H$3,0,0,'Données projet'!$E$14+1,1))</f>
        <v>508.3185483454435</v>
      </c>
      <c r="DU17" s="59">
        <f t="shared" si="44"/>
        <v>487.08233034004945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</v>
      </c>
      <c r="N18" s="13">
        <f>IF('Données projet'!$A$36&gt;35,N17+M18-V17,IF(A18&lt;'Données projet'!$A$36,$K$205^A18,IF(A18='Données projet'!$A$36,'Données projet'!$B$36,N17+M18-V17)))</f>
        <v>60</v>
      </c>
      <c r="O18" s="13">
        <f>N18*VLOOKUP('Données projet'!$B$9,Paramètres!$A$1:$I$89,3,0)*VLOOKUP('Données projet'!$B$9,Paramètres!$A$1:$I$89,5,0)</f>
        <v>54.287999999999997</v>
      </c>
      <c r="P18" s="13">
        <f t="shared" si="33"/>
        <v>15.715795896526746</v>
      </c>
      <c r="Q18" s="20">
        <f t="shared" si="2"/>
        <v>121.9232778531174</v>
      </c>
      <c r="R18" s="59">
        <f t="shared" si="0"/>
        <v>326.42002778599846</v>
      </c>
      <c r="S18" s="59">
        <f ca="1">AVERAGE(OFFSET($R$3,0,0,'Données projet'!$E$9+1,1))-AVERAGE(OFFSET($H$3,0,0,'Données projet'!$E$9+1,1))</f>
        <v>569.49435820174267</v>
      </c>
      <c r="T18" s="59">
        <f t="shared" si="34"/>
        <v>295.37730858134739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</v>
      </c>
      <c r="AI18" s="13">
        <f>IF('Données projet'!$A$62&gt;35,AI17+AH18-AQ17,IF(A18&lt;'Données projet'!$A$62,$AF$205^A18,IF(A18='Données projet'!$A$62,'Données projet'!$B$62,AI17+AH18-AQ17)))</f>
        <v>60</v>
      </c>
      <c r="AJ18" s="13">
        <f>AI18*VLOOKUP('Données projet'!$B$10,Paramètres!$A$1:$I$89,3,0)*VLOOKUP('Données projet'!$B$10,Paramètres!$A$1:$I$89,5,0)</f>
        <v>60.84</v>
      </c>
      <c r="AK18" s="13">
        <f t="shared" si="35"/>
        <v>17.380475216531455</v>
      </c>
      <c r="AL18" s="20">
        <f t="shared" si="4"/>
        <v>136.23399433545893</v>
      </c>
      <c r="AM18" s="59">
        <f t="shared" si="5"/>
        <v>340.73074426834</v>
      </c>
      <c r="AN18" s="59">
        <f ca="1">AVERAGE(OFFSET($AM$3,0,0,'Données projet'!$E$10+1,1))-AVERAGE(OFFSET($H$3,0,0,'Données projet'!$E$10+1,1))</f>
        <v>627.83896530587367</v>
      </c>
      <c r="AO18" s="59">
        <f t="shared" si="36"/>
        <v>323.54927030899489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85</v>
      </c>
      <c r="BB18" s="12">
        <f>VLOOKUP(A18,'Données projet'!$A$87:$I$107,9,0)</f>
        <v>14.6</v>
      </c>
      <c r="BC18" s="12">
        <f t="array" ref="BC18">INDEX(BB:BB,MIN(IF(ISNUMBER(BB18:BB214),ROW(BB18:BB214),"")))</f>
        <v>14.6</v>
      </c>
      <c r="BD18" s="12">
        <f>IF('Données projet'!$A$88&gt;35,BD17+BC18-BL17,IF(A18&lt;'Données projet'!$A$88,$BA$205^A18,IF(A18='Données projet'!$A$88,'Données projet'!$B$88,BD17+BC18-BL17)))</f>
        <v>85</v>
      </c>
      <c r="BE18" s="13">
        <f>BD18*VLOOKUP('Données projet'!$B$11,Paramètres!$A$1:$I$89,3,0)*VLOOKUP('Données projet'!$B$11,Paramètres!$A$1:$I$89,5,0)</f>
        <v>82.212000000000003</v>
      </c>
      <c r="BF18" s="13">
        <f t="shared" si="37"/>
        <v>22.677168109987953</v>
      </c>
      <c r="BG18" s="20">
        <f t="shared" si="7"/>
        <v>182.68196779156236</v>
      </c>
      <c r="BH18" s="59">
        <f t="shared" si="8"/>
        <v>387.1787177244434</v>
      </c>
      <c r="BI18" s="59">
        <f ca="1">AVERAGE(OFFSET($BH$3,0,0,'Données projet'!$E$11+1,1))-AVERAGE(OFFSET($H$3,0,0,'Données projet'!$E$11+1,1))</f>
        <v>508.3185483454435</v>
      </c>
      <c r="BJ18" s="59">
        <f t="shared" si="38"/>
        <v>487.08233034004945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85</v>
      </c>
      <c r="BW18" s="12">
        <f>VLOOKUP(A18,'Données projet'!$A$113:$I$133,9,0)</f>
        <v>14.6</v>
      </c>
      <c r="BX18" s="12">
        <f t="array" ref="BX18">INDEX(BW:BW,MIN(IF(ISNUMBER(BW18:BW214),ROW(BW18:BW214),"")))</f>
        <v>14.6</v>
      </c>
      <c r="BY18" s="12">
        <f>IF('Données projet'!$A$114&gt;35,BY17+BX18-CG17,IF(A18&lt;'Données projet'!$A$114,$BV$205^A18,IF(A18='Données projet'!$A$114,'Données projet'!$B$114,BY17+BX18-CG17)))</f>
        <v>85</v>
      </c>
      <c r="BZ18" s="13">
        <f>BY18*VLOOKUP('Données projet'!$B$12,Paramètres!$A$1:$I$89,3,0)*VLOOKUP('Données projet'!$B$12,Paramètres!$A$1:$I$89,5,0)</f>
        <v>68.952000000000012</v>
      </c>
      <c r="CA18" s="13">
        <f t="shared" si="39"/>
        <v>19.412974191553594</v>
      </c>
      <c r="CB18" s="20">
        <f t="shared" si="10"/>
        <v>153.90233005028921</v>
      </c>
      <c r="CC18" s="59">
        <f t="shared" si="11"/>
        <v>358.39907998317028</v>
      </c>
      <c r="CD18" s="59">
        <f ca="1">AVERAGE(OFFSET($CC$3,0,0,'Données projet'!$E$12+1,1))-AVERAGE(OFFSET($H$3,0,0,'Données projet'!$E$12+1,1))</f>
        <v>436.50252985867149</v>
      </c>
      <c r="CE18" s="59">
        <f t="shared" si="40"/>
        <v>419.00806288456329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85</v>
      </c>
      <c r="CR18" s="12">
        <f>VLOOKUP(A18,'Données projet'!$A$139:$I$159,9,0)</f>
        <v>14.6</v>
      </c>
      <c r="CS18" s="12">
        <f t="array" ref="CS18">INDEX(CR:CR,MIN(IF(ISNUMBER(CR18:CR214),ROW(CR18:CR214),"")))</f>
        <v>14.6</v>
      </c>
      <c r="CT18" s="12">
        <f>IF('Données projet'!$A$140&gt;35,CT17+CS18-DB17,IF(A18&lt;'Données projet'!$A$140,$CQ$205^A18,IF(A18='Données projet'!$A$140,'Données projet'!$B$140,CT17+CS18-DB17)))</f>
        <v>85</v>
      </c>
      <c r="CU18" s="17">
        <f>CT18*VLOOKUP('Données projet'!$B$13,Paramètres!$A$1:$I$89,3,0)*VLOOKUP('Données projet'!$B$13,Paramètres!$A$1:$I$89,5,0)</f>
        <v>82.212000000000003</v>
      </c>
      <c r="CV18" s="13">
        <f t="shared" si="41"/>
        <v>22.677168109987953</v>
      </c>
      <c r="CW18" s="20">
        <f t="shared" si="13"/>
        <v>182.68196779156236</v>
      </c>
      <c r="CX18" s="59">
        <f t="shared" si="14"/>
        <v>387.1787177244434</v>
      </c>
      <c r="CY18" s="59">
        <f ca="1">AVERAGE(OFFSET($CX$3,0,0,'Données projet'!$E$13+1,1))-AVERAGE(OFFSET($H$3,0,0,'Données projet'!$E$13+1,1))</f>
        <v>508.3185483454435</v>
      </c>
      <c r="CZ18" s="59">
        <f t="shared" si="42"/>
        <v>487.08233034004945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85</v>
      </c>
      <c r="DM18" s="12">
        <f>VLOOKUP(A18,'Données projet'!$A$165:$I$185,9,0)</f>
        <v>14.6</v>
      </c>
      <c r="DN18" s="12">
        <f t="array" ref="DN18">INDEX(DM:DM,MIN(IF(ISNUMBER(DM18:DM214),ROW(DM18:DM214),"")))</f>
        <v>14.6</v>
      </c>
      <c r="DO18" s="12">
        <f>IF('Données projet'!$A$166&gt;35,DO17+DN18-DW17,IF(A18&lt;'Données projet'!$A$166,$DL$205^A18,IF(A18='Données projet'!$A$166,'Données projet'!$B$166,DO17+DN18-DW17)))</f>
        <v>85</v>
      </c>
      <c r="DP18" s="17">
        <f>DO18*VLOOKUP('Données projet'!$B$14,Paramètres!$A$1:$I$89,3,0)*VLOOKUP('Données projet'!$B$14,Paramètres!$A$1:$I$89,5,0)</f>
        <v>82.212000000000003</v>
      </c>
      <c r="DQ18" s="13">
        <f t="shared" si="43"/>
        <v>22.677168109987953</v>
      </c>
      <c r="DR18" s="20">
        <f t="shared" si="16"/>
        <v>182.68196779156236</v>
      </c>
      <c r="DS18" s="59">
        <f t="shared" si="17"/>
        <v>387.1787177244434</v>
      </c>
      <c r="DT18" s="59">
        <f ca="1">AVERAGE(OFFSET($DS$3,0,0,'Données projet'!$E$14+1,1))-AVERAGE(OFFSET($H$3,0,0,'Données projet'!$E$14+1,1))</f>
        <v>508.3185483454435</v>
      </c>
      <c r="DU18" s="59">
        <f t="shared" si="44"/>
        <v>487.08233034004945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42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</v>
      </c>
      <c r="N19" s="13">
        <f>IF('Données projet'!$A$36&gt;35,N18+M19-V18,IF(A19&lt;'Données projet'!$A$36,$K$205^A19,IF(A19='Données projet'!$A$36,'Données projet'!$B$36,N18+M19-V18)))</f>
        <v>64</v>
      </c>
      <c r="O19" s="13">
        <f>N19*VLOOKUP('Données projet'!$B$9,Paramètres!$A$1:$I$89,3,0)*VLOOKUP('Données projet'!$B$9,Paramètres!$A$1:$I$89,5,0)</f>
        <v>57.907199999999996</v>
      </c>
      <c r="P19" s="13">
        <f t="shared" si="33"/>
        <v>16.638055172386</v>
      </c>
      <c r="Q19" s="20">
        <f t="shared" si="2"/>
        <v>129.83298609190561</v>
      </c>
      <c r="R19" s="59">
        <f t="shared" si="0"/>
        <v>336.77503201401964</v>
      </c>
      <c r="S19" s="59">
        <f ca="1">AVERAGE(OFFSET($R$3,0,0,'Données projet'!$E$9+1,1))-AVERAGE(OFFSET($H$3,0,0,'Données projet'!$E$9+1,1))</f>
        <v>569.49435820174267</v>
      </c>
      <c r="T19" s="59">
        <f t="shared" si="34"/>
        <v>295.37730858134739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</v>
      </c>
      <c r="AI19" s="13">
        <f>IF('Données projet'!$A$62&gt;35,AI18+AH19-AQ18,IF(A19&lt;'Données projet'!$A$62,$AF$205^A19,IF(A19='Données projet'!$A$62,'Données projet'!$B$62,AI18+AH19-AQ18)))</f>
        <v>64</v>
      </c>
      <c r="AJ19" s="13">
        <f>AI19*VLOOKUP('Données projet'!$B$10,Paramètres!$A$1:$I$89,3,0)*VLOOKUP('Données projet'!$B$10,Paramètres!$A$1:$I$89,5,0)</f>
        <v>64.896000000000001</v>
      </c>
      <c r="AK19" s="13">
        <f t="shared" si="35"/>
        <v>18.400423846102964</v>
      </c>
      <c r="AL19" s="20">
        <f t="shared" si="4"/>
        <v>145.07460486529598</v>
      </c>
      <c r="AM19" s="59">
        <f t="shared" si="5"/>
        <v>352.01665078741007</v>
      </c>
      <c r="AN19" s="59">
        <f ca="1">AVERAGE(OFFSET($AM$3,0,0,'Données projet'!$E$10+1,1))-AVERAGE(OFFSET($H$3,0,0,'Données projet'!$E$10+1,1))</f>
        <v>627.83896530587367</v>
      </c>
      <c r="AO19" s="59">
        <f t="shared" si="36"/>
        <v>323.54927030899489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</v>
      </c>
      <c r="BD19" s="12">
        <f>IF('Données projet'!$A$88&gt;35,BD18+BC19-BL18,IF(A19&lt;'Données projet'!$A$88,$BA$205^A19,IF(A19='Données projet'!$A$88,'Données projet'!$B$88,BD18+BC19-BL18)))</f>
        <v>59</v>
      </c>
      <c r="BE19" s="13">
        <f>BD19*VLOOKUP('Données projet'!$B$11,Paramètres!$A$1:$I$89,3,0)*VLOOKUP('Données projet'!$B$11,Paramètres!$A$1:$I$89,5,0)</f>
        <v>57.064799999999998</v>
      </c>
      <c r="BF19" s="13">
        <f t="shared" si="37"/>
        <v>16.424005972947381</v>
      </c>
      <c r="BG19" s="20">
        <f t="shared" si="7"/>
        <v>127.99300373621668</v>
      </c>
      <c r="BH19" s="59">
        <f t="shared" si="8"/>
        <v>334.93504965833074</v>
      </c>
      <c r="BI19" s="59">
        <f ca="1">AVERAGE(OFFSET($BH$3,0,0,'Données projet'!$E$11+1,1))-AVERAGE(OFFSET($H$3,0,0,'Données projet'!$E$11+1,1))</f>
        <v>508.3185483454435</v>
      </c>
      <c r="BJ19" s="59">
        <f t="shared" si="38"/>
        <v>487.08233034004945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</v>
      </c>
      <c r="BY19" s="12">
        <f>IF('Données projet'!$A$114&gt;35,BY18+BX19-CG18,IF(A19&lt;'Données projet'!$A$114,$BV$205^A19,IF(A19='Données projet'!$A$114,'Données projet'!$B$114,BY18+BX19-CG18)))</f>
        <v>59</v>
      </c>
      <c r="BZ19" s="13">
        <f>BY19*VLOOKUP('Données projet'!$B$12,Paramètres!$A$1:$I$89,3,0)*VLOOKUP('Données projet'!$B$12,Paramètres!$A$1:$I$89,5,0)</f>
        <v>47.860800000000005</v>
      </c>
      <c r="CA19" s="13">
        <f t="shared" si="39"/>
        <v>14.059903887836867</v>
      </c>
      <c r="CB19" s="20">
        <f t="shared" si="10"/>
        <v>107.84522593798255</v>
      </c>
      <c r="CC19" s="59">
        <f t="shared" si="11"/>
        <v>314.78727186009661</v>
      </c>
      <c r="CD19" s="59">
        <f ca="1">AVERAGE(OFFSET($CC$3,0,0,'Données projet'!$E$12+1,1))-AVERAGE(OFFSET($H$3,0,0,'Données projet'!$E$12+1,1))</f>
        <v>436.50252985867149</v>
      </c>
      <c r="CE19" s="59">
        <f t="shared" si="40"/>
        <v>419.00806288456329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16</v>
      </c>
      <c r="CT19" s="12">
        <f>IF('Données projet'!$A$140&gt;35,CT18+CS19-DB18,IF(A19&lt;'Données projet'!$A$140,$CQ$205^A19,IF(A19='Données projet'!$A$140,'Données projet'!$B$140,CT18+CS19-DB18)))</f>
        <v>59</v>
      </c>
      <c r="CU19" s="17">
        <f>CT19*VLOOKUP('Données projet'!$B$13,Paramètres!$A$1:$I$89,3,0)*VLOOKUP('Données projet'!$B$13,Paramètres!$A$1:$I$89,5,0)</f>
        <v>57.064799999999998</v>
      </c>
      <c r="CV19" s="13">
        <f t="shared" si="41"/>
        <v>16.424005972947381</v>
      </c>
      <c r="CW19" s="20">
        <f t="shared" si="13"/>
        <v>127.99300373621668</v>
      </c>
      <c r="CX19" s="59">
        <f t="shared" si="14"/>
        <v>334.93504965833074</v>
      </c>
      <c r="CY19" s="59">
        <f ca="1">AVERAGE(OFFSET($CX$3,0,0,'Données projet'!$E$13+1,1))-AVERAGE(OFFSET($H$3,0,0,'Données projet'!$E$13+1,1))</f>
        <v>508.3185483454435</v>
      </c>
      <c r="CZ19" s="59">
        <f t="shared" si="42"/>
        <v>487.08233034004945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16</v>
      </c>
      <c r="DO19" s="12">
        <f>IF('Données projet'!$A$166&gt;35,DO18+DN19-DW18,IF(A19&lt;'Données projet'!$A$166,$DL$205^A19,IF(A19='Données projet'!$A$166,'Données projet'!$B$166,DO18+DN19-DW18)))</f>
        <v>59</v>
      </c>
      <c r="DP19" s="17">
        <f>DO19*VLOOKUP('Données projet'!$B$14,Paramètres!$A$1:$I$89,3,0)*VLOOKUP('Données projet'!$B$14,Paramètres!$A$1:$I$89,5,0)</f>
        <v>57.064799999999998</v>
      </c>
      <c r="DQ19" s="13">
        <f t="shared" si="43"/>
        <v>16.424005972947381</v>
      </c>
      <c r="DR19" s="20">
        <f t="shared" si="16"/>
        <v>127.99300373621668</v>
      </c>
      <c r="DS19" s="59">
        <f t="shared" si="17"/>
        <v>334.93504965833074</v>
      </c>
      <c r="DT19" s="59">
        <f ca="1">AVERAGE(OFFSET($DS$3,0,0,'Données projet'!$E$14+1,1))-AVERAGE(OFFSET($H$3,0,0,'Données projet'!$E$14+1,1))</f>
        <v>508.3185483454435</v>
      </c>
      <c r="DU19" s="59">
        <f t="shared" si="44"/>
        <v>487.08233034004945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</v>
      </c>
      <c r="N20" s="13">
        <f>IF('Données projet'!$A$36&gt;35,N19+M20-V19,IF(A20&lt;'Données projet'!$A$36,$K$205^A20,IF(A20='Données projet'!$A$36,'Données projet'!$B$36,N19+M20-V19)))</f>
        <v>68</v>
      </c>
      <c r="O20" s="13">
        <f>N20*VLOOKUP('Données projet'!$B$9,Paramètres!$A$1:$I$89,3,0)*VLOOKUP('Données projet'!$B$9,Paramètres!$A$1:$I$89,5,0)</f>
        <v>61.526399999999995</v>
      </c>
      <c r="P20" s="13">
        <f t="shared" si="33"/>
        <v>17.553624762159014</v>
      </c>
      <c r="Q20" s="20">
        <f t="shared" si="2"/>
        <v>137.73104312742694</v>
      </c>
      <c r="R20" s="59">
        <f t="shared" si="0"/>
        <v>347.09716744329967</v>
      </c>
      <c r="S20" s="59">
        <f ca="1">AVERAGE(OFFSET($R$3,0,0,'Données projet'!$E$9+1,1))-AVERAGE(OFFSET($H$3,0,0,'Données projet'!$E$9+1,1))</f>
        <v>569.49435820174267</v>
      </c>
      <c r="T20" s="59">
        <f t="shared" si="34"/>
        <v>295.37730858134739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</v>
      </c>
      <c r="AI20" s="13">
        <f>IF('Données projet'!$A$62&gt;35,AI19+AH20-AQ19,IF(A20&lt;'Données projet'!$A$62,$AF$205^A20,IF(A20='Données projet'!$A$62,'Données projet'!$B$62,AI19+AH20-AQ19)))</f>
        <v>68</v>
      </c>
      <c r="AJ20" s="13">
        <f>AI20*VLOOKUP('Données projet'!$B$10,Paramètres!$A$1:$I$89,3,0)*VLOOKUP('Données projet'!$B$10,Paramètres!$A$1:$I$89,5,0)</f>
        <v>68.952000000000012</v>
      </c>
      <c r="AK20" s="13">
        <f t="shared" si="35"/>
        <v>19.412974191553594</v>
      </c>
      <c r="AL20" s="20">
        <f t="shared" si="4"/>
        <v>153.90233005028921</v>
      </c>
      <c r="AM20" s="59">
        <f t="shared" si="5"/>
        <v>363.2684543661619</v>
      </c>
      <c r="AN20" s="59">
        <f ca="1">AVERAGE(OFFSET($AM$3,0,0,'Données projet'!$E$10+1,1))-AVERAGE(OFFSET($H$3,0,0,'Données projet'!$E$10+1,1))</f>
        <v>627.83896530587367</v>
      </c>
      <c r="AO20" s="59">
        <f t="shared" si="36"/>
        <v>323.54927030899489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</v>
      </c>
      <c r="BD20" s="12">
        <f>IF('Données projet'!$A$88&gt;35,BD19+BC20-BL19,IF(A20&lt;'Données projet'!$A$88,$BA$205^A20,IF(A20='Données projet'!$A$88,'Données projet'!$B$88,BD19+BC20-BL19)))</f>
        <v>75</v>
      </c>
      <c r="BE20" s="13">
        <f>BD20*VLOOKUP('Données projet'!$B$11,Paramètres!$A$1:$I$89,3,0)*VLOOKUP('Données projet'!$B$11,Paramètres!$A$1:$I$89,5,0)</f>
        <v>72.540000000000006</v>
      </c>
      <c r="BF20" s="13">
        <f t="shared" si="37"/>
        <v>20.302914660456786</v>
      </c>
      <c r="BG20" s="20">
        <f t="shared" si="7"/>
        <v>161.70140970029556</v>
      </c>
      <c r="BH20" s="59">
        <f t="shared" si="8"/>
        <v>371.06753401616828</v>
      </c>
      <c r="BI20" s="59">
        <f ca="1">AVERAGE(OFFSET($BH$3,0,0,'Données projet'!$E$11+1,1))-AVERAGE(OFFSET($H$3,0,0,'Données projet'!$E$11+1,1))</f>
        <v>508.3185483454435</v>
      </c>
      <c r="BJ20" s="59">
        <f t="shared" si="38"/>
        <v>487.08233034004945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60.84</v>
      </c>
      <c r="CA20" s="13">
        <f t="shared" si="39"/>
        <v>17.380475216531455</v>
      </c>
      <c r="CB20" s="20">
        <f t="shared" si="10"/>
        <v>136.23399433545893</v>
      </c>
      <c r="CC20" s="59">
        <f t="shared" si="11"/>
        <v>345.60011865133163</v>
      </c>
      <c r="CD20" s="59">
        <f ca="1">AVERAGE(OFFSET($CC$3,0,0,'Données projet'!$E$12+1,1))-AVERAGE(OFFSET($H$3,0,0,'Données projet'!$E$12+1,1))</f>
        <v>436.50252985867149</v>
      </c>
      <c r="CE20" s="59">
        <f t="shared" si="40"/>
        <v>419.00806288456329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16</v>
      </c>
      <c r="CT20" s="12">
        <f>IF('Données projet'!$A$140&gt;35,CT19+CS20-DB19,IF(A20&lt;'Données projet'!$A$140,$CQ$205^A20,IF(A20='Données projet'!$A$140,'Données projet'!$B$140,CT19+CS20-DB19)))</f>
        <v>75</v>
      </c>
      <c r="CU20" s="17">
        <f>CT20*VLOOKUP('Données projet'!$B$13,Paramètres!$A$1:$I$89,3,0)*VLOOKUP('Données projet'!$B$13,Paramètres!$A$1:$I$89,5,0)</f>
        <v>72.540000000000006</v>
      </c>
      <c r="CV20" s="13">
        <f t="shared" si="41"/>
        <v>20.302914660456786</v>
      </c>
      <c r="CW20" s="20">
        <f t="shared" si="13"/>
        <v>161.70140970029556</v>
      </c>
      <c r="CX20" s="59">
        <f t="shared" si="14"/>
        <v>371.06753401616828</v>
      </c>
      <c r="CY20" s="59">
        <f ca="1">AVERAGE(OFFSET($CX$3,0,0,'Données projet'!$E$13+1,1))-AVERAGE(OFFSET($H$3,0,0,'Données projet'!$E$13+1,1))</f>
        <v>508.3185483454435</v>
      </c>
      <c r="CZ20" s="59">
        <f t="shared" si="42"/>
        <v>487.08233034004945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16</v>
      </c>
      <c r="DO20" s="12">
        <f>IF('Données projet'!$A$166&gt;35,DO19+DN20-DW19,IF(A20&lt;'Données projet'!$A$166,$DL$205^A20,IF(A20='Données projet'!$A$166,'Données projet'!$B$166,DO19+DN20-DW19)))</f>
        <v>75</v>
      </c>
      <c r="DP20" s="17">
        <f>DO20*VLOOKUP('Données projet'!$B$14,Paramètres!$A$1:$I$89,3,0)*VLOOKUP('Données projet'!$B$14,Paramètres!$A$1:$I$89,5,0)</f>
        <v>72.540000000000006</v>
      </c>
      <c r="DQ20" s="13">
        <f t="shared" si="43"/>
        <v>20.302914660456786</v>
      </c>
      <c r="DR20" s="20">
        <f t="shared" si="16"/>
        <v>161.70140970029556</v>
      </c>
      <c r="DS20" s="59">
        <f t="shared" si="17"/>
        <v>371.06753401616828</v>
      </c>
      <c r="DT20" s="59">
        <f ca="1">AVERAGE(OFFSET($DS$3,0,0,'Données projet'!$E$14+1,1))-AVERAGE(OFFSET($H$3,0,0,'Données projet'!$E$14+1,1))</f>
        <v>508.3185483454435</v>
      </c>
      <c r="DU20" s="59">
        <f t="shared" si="44"/>
        <v>487.08233034004945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</v>
      </c>
      <c r="N21" s="13">
        <f>IF('Données projet'!$A$36&gt;35,N20+M21-V20,IF(A21&lt;'Données projet'!$A$36,$K$205^A21,IF(A21='Données projet'!$A$36,'Données projet'!$B$36,N20+M21-V20)))</f>
        <v>72</v>
      </c>
      <c r="O21" s="13">
        <f>N21*VLOOKUP('Données projet'!$B$9,Paramètres!$A$1:$I$89,3,0)*VLOOKUP('Données projet'!$B$9,Paramètres!$A$1:$I$89,5,0)</f>
        <v>65.145600000000002</v>
      </c>
      <c r="P21" s="13">
        <f t="shared" si="33"/>
        <v>18.462943001028204</v>
      </c>
      <c r="Q21" s="20">
        <f t="shared" si="2"/>
        <v>145.61821239345747</v>
      </c>
      <c r="R21" s="59">
        <f t="shared" si="0"/>
        <v>357.38756558546061</v>
      </c>
      <c r="S21" s="59">
        <f ca="1">AVERAGE(OFFSET($R$3,0,0,'Données projet'!$E$9+1,1))-AVERAGE(OFFSET($H$3,0,0,'Données projet'!$E$9+1,1))</f>
        <v>569.49435820174267</v>
      </c>
      <c r="T21" s="59">
        <f t="shared" si="34"/>
        <v>295.37730858134739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</v>
      </c>
      <c r="AI21" s="13">
        <f>IF('Données projet'!$A$62&gt;35,AI20+AH21-AQ20,IF(A21&lt;'Données projet'!$A$62,$AF$205^A21,IF(A21='Données projet'!$A$62,'Données projet'!$B$62,AI20+AH21-AQ20)))</f>
        <v>72</v>
      </c>
      <c r="AJ21" s="13">
        <f>AI21*VLOOKUP('Données projet'!$B$10,Paramètres!$A$1:$I$89,3,0)*VLOOKUP('Données projet'!$B$10,Paramètres!$A$1:$I$89,5,0)</f>
        <v>73.00800000000001</v>
      </c>
      <c r="AK21" s="13">
        <f t="shared" si="35"/>
        <v>20.418611018263636</v>
      </c>
      <c r="AL21" s="20">
        <f t="shared" si="4"/>
        <v>162.7180141901425</v>
      </c>
      <c r="AM21" s="59">
        <f t="shared" si="5"/>
        <v>374.48736738214564</v>
      </c>
      <c r="AN21" s="59">
        <f ca="1">AVERAGE(OFFSET($AM$3,0,0,'Données projet'!$E$10+1,1))-AVERAGE(OFFSET($H$3,0,0,'Données projet'!$E$10+1,1))</f>
        <v>627.83896530587367</v>
      </c>
      <c r="AO21" s="59">
        <f t="shared" si="36"/>
        <v>323.54927030899489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</v>
      </c>
      <c r="BD21" s="12">
        <f>IF('Données projet'!$A$88&gt;35,BD20+BC21-BL20,IF(A21&lt;'Données projet'!$A$88,$BA$205^A21,IF(A21='Données projet'!$A$88,'Données projet'!$B$88,BD20+BC21-BL20)))</f>
        <v>91</v>
      </c>
      <c r="BE21" s="13">
        <f>BD21*VLOOKUP('Données projet'!$B$11,Paramètres!$A$1:$I$89,3,0)*VLOOKUP('Données projet'!$B$11,Paramètres!$A$1:$I$89,5,0)</f>
        <v>88.015200000000007</v>
      </c>
      <c r="BF21" s="13">
        <f t="shared" si="37"/>
        <v>24.085919530575829</v>
      </c>
      <c r="BG21" s="20">
        <f t="shared" si="7"/>
        <v>195.24278318241954</v>
      </c>
      <c r="BH21" s="59">
        <f t="shared" si="8"/>
        <v>407.01213637442265</v>
      </c>
      <c r="BI21" s="59">
        <f ca="1">AVERAGE(OFFSET($BH$3,0,0,'Données projet'!$E$11+1,1))-AVERAGE(OFFSET($H$3,0,0,'Données projet'!$E$11+1,1))</f>
        <v>508.3185483454435</v>
      </c>
      <c r="BJ21" s="59">
        <f t="shared" si="38"/>
        <v>487.08233034004945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91</v>
      </c>
      <c r="BZ21" s="13">
        <f>BY21*VLOOKUP('Données projet'!$B$12,Paramètres!$A$1:$I$89,3,0)*VLOOKUP('Données projet'!$B$12,Paramètres!$A$1:$I$89,5,0)</f>
        <v>73.819200000000009</v>
      </c>
      <c r="CA21" s="13">
        <f t="shared" si="39"/>
        <v>20.618947302373467</v>
      </c>
      <c r="CB21" s="20">
        <f t="shared" si="10"/>
        <v>164.47977321830047</v>
      </c>
      <c r="CC21" s="59">
        <f t="shared" si="11"/>
        <v>376.24912641030357</v>
      </c>
      <c r="CD21" s="59">
        <f ca="1">AVERAGE(OFFSET($CC$3,0,0,'Données projet'!$E$12+1,1))-AVERAGE(OFFSET($H$3,0,0,'Données projet'!$E$12+1,1))</f>
        <v>436.50252985867149</v>
      </c>
      <c r="CE21" s="59">
        <f t="shared" si="40"/>
        <v>419.00806288456329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16</v>
      </c>
      <c r="CT21" s="12">
        <f>IF('Données projet'!$A$140&gt;35,CT20+CS21-DB20,IF(A21&lt;'Données projet'!$A$140,$CQ$205^A21,IF(A21='Données projet'!$A$140,'Données projet'!$B$140,CT20+CS21-DB20)))</f>
        <v>91</v>
      </c>
      <c r="CU21" s="17">
        <f>CT21*VLOOKUP('Données projet'!$B$13,Paramètres!$A$1:$I$89,3,0)*VLOOKUP('Données projet'!$B$13,Paramètres!$A$1:$I$89,5,0)</f>
        <v>88.015200000000007</v>
      </c>
      <c r="CV21" s="13">
        <f t="shared" si="41"/>
        <v>24.085919530575829</v>
      </c>
      <c r="CW21" s="20">
        <f t="shared" si="13"/>
        <v>195.24278318241954</v>
      </c>
      <c r="CX21" s="59">
        <f t="shared" si="14"/>
        <v>407.01213637442265</v>
      </c>
      <c r="CY21" s="59">
        <f ca="1">AVERAGE(OFFSET($CX$3,0,0,'Données projet'!$E$13+1,1))-AVERAGE(OFFSET($H$3,0,0,'Données projet'!$E$13+1,1))</f>
        <v>508.3185483454435</v>
      </c>
      <c r="CZ21" s="59">
        <f t="shared" si="42"/>
        <v>487.08233034004945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16</v>
      </c>
      <c r="DO21" s="12">
        <f>IF('Données projet'!$A$166&gt;35,DO20+DN21-DW20,IF(A21&lt;'Données projet'!$A$166,$DL$205^A21,IF(A21='Données projet'!$A$166,'Données projet'!$B$166,DO20+DN21-DW20)))</f>
        <v>91</v>
      </c>
      <c r="DP21" s="17">
        <f>DO21*VLOOKUP('Données projet'!$B$14,Paramètres!$A$1:$I$89,3,0)*VLOOKUP('Données projet'!$B$14,Paramètres!$A$1:$I$89,5,0)</f>
        <v>88.015200000000007</v>
      </c>
      <c r="DQ21" s="13">
        <f t="shared" si="43"/>
        <v>24.085919530575829</v>
      </c>
      <c r="DR21" s="20">
        <f t="shared" si="16"/>
        <v>195.24278318241954</v>
      </c>
      <c r="DS21" s="59">
        <f t="shared" si="17"/>
        <v>407.01213637442265</v>
      </c>
      <c r="DT21" s="59">
        <f ca="1">AVERAGE(OFFSET($DS$3,0,0,'Données projet'!$E$14+1,1))-AVERAGE(OFFSET($H$3,0,0,'Données projet'!$E$14+1,1))</f>
        <v>508.3185483454435</v>
      </c>
      <c r="DU21" s="59">
        <f t="shared" si="44"/>
        <v>487.08233034004945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</v>
      </c>
      <c r="N22" s="13">
        <f>IF('Données projet'!$A$36&gt;35,N21+M22-V21,IF(A22&lt;'Données projet'!$A$36,$K$205^A22,IF(A22='Données projet'!$A$36,'Données projet'!$B$36,N21+M22-V21)))</f>
        <v>76</v>
      </c>
      <c r="O22" s="13">
        <f>N22*VLOOKUP('Données projet'!$B$9,Paramètres!$A$1:$I$89,3,0)*VLOOKUP('Données projet'!$B$9,Paramètres!$A$1:$I$89,5,0)</f>
        <v>68.764799999999994</v>
      </c>
      <c r="P22" s="13">
        <f t="shared" si="33"/>
        <v>19.366396769521369</v>
      </c>
      <c r="Q22" s="20">
        <f t="shared" si="2"/>
        <v>153.49516770691636</v>
      </c>
      <c r="R22" s="59">
        <f t="shared" si="0"/>
        <v>367.64726194993989</v>
      </c>
      <c r="S22" s="59">
        <f ca="1">AVERAGE(OFFSET($R$3,0,0,'Données projet'!$E$9+1,1))-AVERAGE(OFFSET($H$3,0,0,'Données projet'!$E$9+1,1))</f>
        <v>569.49435820174267</v>
      </c>
      <c r="T22" s="59">
        <f t="shared" si="34"/>
        <v>295.37730858134739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</v>
      </c>
      <c r="AI22" s="13">
        <f>IF('Données projet'!$A$62&gt;35,AI21+AH22-AQ21,IF(A22&lt;'Données projet'!$A$62,$AF$205^A22,IF(A22='Données projet'!$A$62,'Données projet'!$B$62,AI21+AH22-AQ21)))</f>
        <v>76</v>
      </c>
      <c r="AJ22" s="13">
        <f>AI22*VLOOKUP('Données projet'!$B$10,Paramètres!$A$1:$I$89,3,0)*VLOOKUP('Données projet'!$B$10,Paramètres!$A$1:$I$89,5,0)</f>
        <v>77.064000000000007</v>
      </c>
      <c r="AK22" s="13">
        <f t="shared" si="35"/>
        <v>21.417762186678065</v>
      </c>
      <c r="AL22" s="20">
        <f t="shared" si="4"/>
        <v>171.52240247513097</v>
      </c>
      <c r="AM22" s="59">
        <f t="shared" si="5"/>
        <v>385.6744967181545</v>
      </c>
      <c r="AN22" s="59">
        <f ca="1">AVERAGE(OFFSET($AM$3,0,0,'Données projet'!$E$10+1,1))-AVERAGE(OFFSET($H$3,0,0,'Données projet'!$E$10+1,1))</f>
        <v>627.83896530587367</v>
      </c>
      <c r="AO22" s="59">
        <f t="shared" si="36"/>
        <v>323.54927030899489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</v>
      </c>
      <c r="BD22" s="12">
        <f>IF('Données projet'!$A$88&gt;35,BD21+BC22-BL21,IF(A22&lt;'Données projet'!$A$88,$BA$205^A22,IF(A22='Données projet'!$A$88,'Données projet'!$B$88,BD21+BC22-BL21)))</f>
        <v>107</v>
      </c>
      <c r="BE22" s="13">
        <f>BD22*VLOOKUP('Données projet'!$B$11,Paramètres!$A$1:$I$89,3,0)*VLOOKUP('Données projet'!$B$11,Paramètres!$A$1:$I$89,5,0)</f>
        <v>103.49040000000001</v>
      </c>
      <c r="BF22" s="13">
        <f t="shared" si="37"/>
        <v>27.791869560921153</v>
      </c>
      <c r="BG22" s="20">
        <f t="shared" si="7"/>
        <v>228.64995281860433</v>
      </c>
      <c r="BH22" s="59">
        <f t="shared" si="8"/>
        <v>442.80204706162783</v>
      </c>
      <c r="BI22" s="59">
        <f ca="1">AVERAGE(OFFSET($BH$3,0,0,'Données projet'!$E$11+1,1))-AVERAGE(OFFSET($H$3,0,0,'Données projet'!$E$11+1,1))</f>
        <v>508.3185483454435</v>
      </c>
      <c r="BJ22" s="59">
        <f t="shared" si="38"/>
        <v>487.08233034004945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</v>
      </c>
      <c r="BY22" s="12">
        <f>IF('Données projet'!$A$114&gt;35,BY21+BX22-CG21,IF(A22&lt;'Données projet'!$A$114,$BV$205^A22,IF(A22='Données projet'!$A$114,'Données projet'!$B$114,BY21+BX22-CG21)))</f>
        <v>107</v>
      </c>
      <c r="BZ22" s="13">
        <f>BY22*VLOOKUP('Données projet'!$B$12,Paramètres!$A$1:$I$89,3,0)*VLOOKUP('Données projet'!$B$12,Paramètres!$A$1:$I$89,5,0)</f>
        <v>86.798400000000001</v>
      </c>
      <c r="CA22" s="13">
        <f t="shared" si="39"/>
        <v>23.791455965948352</v>
      </c>
      <c r="CB22" s="20">
        <f t="shared" si="10"/>
        <v>192.61066580735999</v>
      </c>
      <c r="CC22" s="59">
        <f t="shared" si="11"/>
        <v>406.76276005038352</v>
      </c>
      <c r="CD22" s="59">
        <f ca="1">AVERAGE(OFFSET($CC$3,0,0,'Données projet'!$E$12+1,1))-AVERAGE(OFFSET($H$3,0,0,'Données projet'!$E$12+1,1))</f>
        <v>436.50252985867149</v>
      </c>
      <c r="CE22" s="59">
        <f t="shared" si="40"/>
        <v>419.00806288456329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16</v>
      </c>
      <c r="CT22" s="12">
        <f>IF('Données projet'!$A$140&gt;35,CT21+CS22-DB21,IF(A22&lt;'Données projet'!$A$140,$CQ$205^A22,IF(A22='Données projet'!$A$140,'Données projet'!$B$140,CT21+CS22-DB21)))</f>
        <v>107</v>
      </c>
      <c r="CU22" s="17">
        <f>CT22*VLOOKUP('Données projet'!$B$13,Paramètres!$A$1:$I$89,3,0)*VLOOKUP('Données projet'!$B$13,Paramètres!$A$1:$I$89,5,0)</f>
        <v>103.49040000000001</v>
      </c>
      <c r="CV22" s="13">
        <f t="shared" si="41"/>
        <v>27.791869560921153</v>
      </c>
      <c r="CW22" s="20">
        <f t="shared" si="13"/>
        <v>228.64995281860433</v>
      </c>
      <c r="CX22" s="59">
        <f t="shared" si="14"/>
        <v>442.80204706162783</v>
      </c>
      <c r="CY22" s="59">
        <f ca="1">AVERAGE(OFFSET($CX$3,0,0,'Données projet'!$E$13+1,1))-AVERAGE(OFFSET($H$3,0,0,'Données projet'!$E$13+1,1))</f>
        <v>508.3185483454435</v>
      </c>
      <c r="CZ22" s="59">
        <f t="shared" si="42"/>
        <v>487.08233034004945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16</v>
      </c>
      <c r="DO22" s="12">
        <f>IF('Données projet'!$A$166&gt;35,DO21+DN22-DW21,IF(A22&lt;'Données projet'!$A$166,$DL$205^A22,IF(A22='Données projet'!$A$166,'Données projet'!$B$166,DO21+DN22-DW21)))</f>
        <v>107</v>
      </c>
      <c r="DP22" s="17">
        <f>DO22*VLOOKUP('Données projet'!$B$14,Paramètres!$A$1:$I$89,3,0)*VLOOKUP('Données projet'!$B$14,Paramètres!$A$1:$I$89,5,0)</f>
        <v>103.49040000000001</v>
      </c>
      <c r="DQ22" s="13">
        <f t="shared" si="43"/>
        <v>27.791869560921153</v>
      </c>
      <c r="DR22" s="20">
        <f t="shared" si="16"/>
        <v>228.64995281860433</v>
      </c>
      <c r="DS22" s="59">
        <f t="shared" si="17"/>
        <v>442.80204706162783</v>
      </c>
      <c r="DT22" s="59">
        <f ca="1">AVERAGE(OFFSET($DS$3,0,0,'Données projet'!$E$14+1,1))-AVERAGE(OFFSET($H$3,0,0,'Données projet'!$E$14+1,1))</f>
        <v>508.3185483454435</v>
      </c>
      <c r="DU22" s="59">
        <f t="shared" si="44"/>
        <v>487.08233034004945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</v>
      </c>
      <c r="N23" s="13">
        <f>IF('Données projet'!$A$36&gt;35,N22+M23-V22,IF(A23&lt;'Données projet'!$A$36,$K$205^A23,IF(A23='Données projet'!$A$36,'Données projet'!$B$36,N22+M23-V22)))</f>
        <v>80</v>
      </c>
      <c r="O23" s="13">
        <f>N23*VLOOKUP('Données projet'!$B$9,Paramètres!$A$1:$I$89,3,0)*VLOOKUP('Données projet'!$B$9,Paramètres!$A$1:$I$89,5,0)</f>
        <v>72.384</v>
      </c>
      <c r="P23" s="13">
        <f t="shared" si="33"/>
        <v>20.264329923804397</v>
      </c>
      <c r="Q23" s="20">
        <f t="shared" si="2"/>
        <v>161.362507950626</v>
      </c>
      <c r="R23" s="59">
        <f t="shared" si="0"/>
        <v>377.87721083752172</v>
      </c>
      <c r="S23" s="59">
        <f ca="1">AVERAGE(OFFSET($R$3,0,0,'Données projet'!$E$9+1,1))-AVERAGE(OFFSET($H$3,0,0,'Données projet'!$E$9+1,1))</f>
        <v>569.49435820174267</v>
      </c>
      <c r="T23" s="59">
        <f t="shared" si="34"/>
        <v>295.37730858134739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</v>
      </c>
      <c r="AI23" s="13">
        <f>IF('Données projet'!$A$62&gt;35,AI22+AH23-AQ22,IF(A23&lt;'Données projet'!$A$62,$AF$205^A23,IF(A23='Données projet'!$A$62,'Données projet'!$B$62,AI22+AH23-AQ22)))</f>
        <v>80</v>
      </c>
      <c r="AJ23" s="13">
        <f>AI23*VLOOKUP('Données projet'!$B$10,Paramètres!$A$1:$I$89,3,0)*VLOOKUP('Données projet'!$B$10,Paramètres!$A$1:$I$89,5,0)</f>
        <v>81.12</v>
      </c>
      <c r="AK23" s="13">
        <f t="shared" si="35"/>
        <v>22.410807975569174</v>
      </c>
      <c r="AL23" s="20">
        <f t="shared" si="4"/>
        <v>180.31615722411632</v>
      </c>
      <c r="AM23" s="59">
        <f t="shared" si="5"/>
        <v>396.83086011101204</v>
      </c>
      <c r="AN23" s="59">
        <f ca="1">AVERAGE(OFFSET($AM$3,0,0,'Données projet'!$E$10+1,1))-AVERAGE(OFFSET($H$3,0,0,'Données projet'!$E$10+1,1))</f>
        <v>627.83896530587367</v>
      </c>
      <c r="AO23" s="59">
        <f t="shared" si="36"/>
        <v>323.54927030899489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123</v>
      </c>
      <c r="BB23" s="12">
        <f>VLOOKUP(A23,'Données projet'!$A$87:$I$107,9,0)</f>
        <v>16</v>
      </c>
      <c r="BC23" s="12">
        <f t="array" ref="BC23">INDEX(BB:BB,MIN(IF(ISNUMBER(BB23:BB219),ROW(BB23:BB219),"")))</f>
        <v>16</v>
      </c>
      <c r="BD23" s="12">
        <f>IF('Données projet'!$A$88&gt;35,BD22+BC23-BL22,IF(A23&lt;'Données projet'!$A$88,$BA$205^A23,IF(A23='Données projet'!$A$88,'Données projet'!$B$88,BD22+BC23-BL22)))</f>
        <v>123</v>
      </c>
      <c r="BE23" s="13">
        <f>BD23*VLOOKUP('Données projet'!$B$11,Paramètres!$A$1:$I$89,3,0)*VLOOKUP('Données projet'!$B$11,Paramètres!$A$1:$I$89,5,0)</f>
        <v>118.96560000000001</v>
      </c>
      <c r="BF23" s="13">
        <f t="shared" si="37"/>
        <v>31.433621056182272</v>
      </c>
      <c r="BG23" s="20">
        <f t="shared" si="7"/>
        <v>261.94531000618412</v>
      </c>
      <c r="BH23" s="59">
        <f t="shared" si="8"/>
        <v>478.46001289307981</v>
      </c>
      <c r="BI23" s="59">
        <f ca="1">AVERAGE(OFFSET($BH$3,0,0,'Données projet'!$E$11+1,1))-AVERAGE(OFFSET($H$3,0,0,'Données projet'!$E$11+1,1))</f>
        <v>508.3185483454435</v>
      </c>
      <c r="BJ23" s="59">
        <f t="shared" si="38"/>
        <v>487.08233034004945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42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123</v>
      </c>
      <c r="BW23" s="12">
        <f>VLOOKUP(A23,'Données projet'!$A$113:$I$133,9,0)</f>
        <v>16</v>
      </c>
      <c r="BX23" s="12">
        <f t="array" ref="BX23">INDEX(BW:BW,MIN(IF(ISNUMBER(BW23:BW219),ROW(BW23:BW219),"")))</f>
        <v>16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99.777600000000007</v>
      </c>
      <c r="CA23" s="13">
        <f t="shared" si="39"/>
        <v>26.909006951444532</v>
      </c>
      <c r="CB23" s="20">
        <f t="shared" si="10"/>
        <v>220.64584044043252</v>
      </c>
      <c r="CC23" s="59">
        <f t="shared" si="11"/>
        <v>437.16054332732824</v>
      </c>
      <c r="CD23" s="59">
        <f ca="1">AVERAGE(OFFSET($CC$3,0,0,'Données projet'!$E$12+1,1))-AVERAGE(OFFSET($H$3,0,0,'Données projet'!$E$12+1,1))</f>
        <v>436.50252985867149</v>
      </c>
      <c r="CE23" s="59">
        <f t="shared" si="40"/>
        <v>419.00806288456329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123</v>
      </c>
      <c r="CR23" s="12">
        <f>VLOOKUP(A23,'Données projet'!$A$139:$I$159,9,0)</f>
        <v>16</v>
      </c>
      <c r="CS23" s="12">
        <f t="array" ref="CS23">INDEX(CR:CR,MIN(IF(ISNUMBER(CR23:CR219),ROW(CR23:CR219),"")))</f>
        <v>16</v>
      </c>
      <c r="CT23" s="12">
        <f>IF('Données projet'!$A$140&gt;35,CT22+CS23-DB22,IF(A23&lt;'Données projet'!$A$140,$CQ$205^A23,IF(A23='Données projet'!$A$140,'Données projet'!$B$140,CT22+CS23-DB22)))</f>
        <v>123</v>
      </c>
      <c r="CU23" s="17">
        <f>CT23*VLOOKUP('Données projet'!$B$13,Paramètres!$A$1:$I$89,3,0)*VLOOKUP('Données projet'!$B$13,Paramètres!$A$1:$I$89,5,0)</f>
        <v>118.96560000000001</v>
      </c>
      <c r="CV23" s="13">
        <f t="shared" si="41"/>
        <v>31.433621056182272</v>
      </c>
      <c r="CW23" s="20">
        <f t="shared" si="13"/>
        <v>261.94531000618412</v>
      </c>
      <c r="CX23" s="59">
        <f t="shared" si="14"/>
        <v>478.46001289307981</v>
      </c>
      <c r="CY23" s="59">
        <f ca="1">AVERAGE(OFFSET($CX$3,0,0,'Données projet'!$E$13+1,1))-AVERAGE(OFFSET($H$3,0,0,'Données projet'!$E$13+1,1))</f>
        <v>508.3185483454435</v>
      </c>
      <c r="CZ23" s="59">
        <f t="shared" si="42"/>
        <v>487.08233034004945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123</v>
      </c>
      <c r="DM23" s="12">
        <f>VLOOKUP(A23,'Données projet'!$A$165:$I$185,9,0)</f>
        <v>16</v>
      </c>
      <c r="DN23" s="12">
        <f t="array" ref="DN23">INDEX(DM:DM,MIN(IF(ISNUMBER(DM23:DM219),ROW(DM23:DM219),"")))</f>
        <v>16</v>
      </c>
      <c r="DO23" s="12">
        <f>IF('Données projet'!$A$166&gt;35,DO22+DN23-DW22,IF(A23&lt;'Données projet'!$A$166,$DL$205^A23,IF(A23='Données projet'!$A$166,'Données projet'!$B$166,DO22+DN23-DW22)))</f>
        <v>123</v>
      </c>
      <c r="DP23" s="17">
        <f>DO23*VLOOKUP('Données projet'!$B$14,Paramètres!$A$1:$I$89,3,0)*VLOOKUP('Données projet'!$B$14,Paramètres!$A$1:$I$89,5,0)</f>
        <v>118.96560000000001</v>
      </c>
      <c r="DQ23" s="13">
        <f t="shared" si="43"/>
        <v>31.433621056182272</v>
      </c>
      <c r="DR23" s="20">
        <f t="shared" si="16"/>
        <v>261.94531000618412</v>
      </c>
      <c r="DS23" s="59">
        <f t="shared" si="17"/>
        <v>478.46001289307981</v>
      </c>
      <c r="DT23" s="59">
        <f ca="1">AVERAGE(OFFSET($DS$3,0,0,'Données projet'!$E$14+1,1))-AVERAGE(OFFSET($H$3,0,0,'Données projet'!$E$14+1,1))</f>
        <v>508.3185483454435</v>
      </c>
      <c r="DU23" s="59">
        <f t="shared" si="44"/>
        <v>487.08233034004945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42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</v>
      </c>
      <c r="N24" s="13">
        <f>IF('Données projet'!$A$36&gt;35,N23+M24-V23,IF(A24&lt;'Données projet'!$A$36,$K$205^A24,IF(A24='Données projet'!$A$36,'Données projet'!$B$36,N23+M24-V23)))</f>
        <v>84</v>
      </c>
      <c r="O24" s="13">
        <f>N24*VLOOKUP('Données projet'!$B$9,Paramètres!$A$1:$I$89,3,0)*VLOOKUP('Données projet'!$B$9,Paramètres!$A$1:$I$89,5,0)</f>
        <v>76.003200000000007</v>
      </c>
      <c r="P24" s="13">
        <f t="shared" si="33"/>
        <v>21.157049992000456</v>
      </c>
      <c r="Q24" s="20">
        <f t="shared" si="2"/>
        <v>169.22076873606747</v>
      </c>
      <c r="R24" s="59">
        <f t="shared" si="0"/>
        <v>388.07829711194188</v>
      </c>
      <c r="S24" s="59">
        <f ca="1">AVERAGE(OFFSET($R$3,0,0,'Données projet'!$E$9+1,1))-AVERAGE(OFFSET($H$3,0,0,'Données projet'!$E$9+1,1))</f>
        <v>569.49435820174267</v>
      </c>
      <c r="T24" s="59">
        <f t="shared" si="34"/>
        <v>295.37730858134739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</v>
      </c>
      <c r="AI24" s="13">
        <f>IF('Données projet'!$A$62&gt;35,AI23+AH24-AQ23,IF(A24&lt;'Données projet'!$A$62,$AF$205^A24,IF(A24='Données projet'!$A$62,'Données projet'!$B$62,AI23+AH24-AQ23)))</f>
        <v>84</v>
      </c>
      <c r="AJ24" s="13">
        <f>AI24*VLOOKUP('Données projet'!$B$10,Paramètres!$A$1:$I$89,3,0)*VLOOKUP('Données projet'!$B$10,Paramètres!$A$1:$I$89,5,0)</f>
        <v>85.176000000000002</v>
      </c>
      <c r="AK24" s="13">
        <f t="shared" si="35"/>
        <v>23.398088487656441</v>
      </c>
      <c r="AL24" s="20">
        <f t="shared" si="4"/>
        <v>189.09987078266829</v>
      </c>
      <c r="AM24" s="59">
        <f t="shared" si="5"/>
        <v>407.95739915854267</v>
      </c>
      <c r="AN24" s="59">
        <f ca="1">AVERAGE(OFFSET($AM$3,0,0,'Données projet'!$E$10+1,1))-AVERAGE(OFFSET($H$3,0,0,'Données projet'!$E$10+1,1))</f>
        <v>627.83896530587367</v>
      </c>
      <c r="AO24" s="59">
        <f t="shared" si="36"/>
        <v>323.54927030899489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16.8</v>
      </c>
      <c r="BD24" s="12">
        <f>IF('Données projet'!$A$88&gt;35,BD23+BC24-BL23,IF(A24&lt;'Données projet'!$A$88,$BA$205^A24,IF(A24='Données projet'!$A$88,'Données projet'!$B$88,BD23+BC24-BL23)))</f>
        <v>97.800000000000011</v>
      </c>
      <c r="BE24" s="13">
        <f>BD24*VLOOKUP('Données projet'!$B$11,Paramètres!$A$1:$I$89,3,0)*VLOOKUP('Données projet'!$B$11,Paramètres!$A$1:$I$89,5,0)</f>
        <v>94.592160000000021</v>
      </c>
      <c r="BF24" s="13">
        <f t="shared" si="37"/>
        <v>25.669515338124462</v>
      </c>
      <c r="BG24" s="20">
        <f t="shared" si="7"/>
        <v>209.45575121390013</v>
      </c>
      <c r="BH24" s="59">
        <f t="shared" si="8"/>
        <v>428.31327958977454</v>
      </c>
      <c r="BI24" s="59">
        <f ca="1">AVERAGE(OFFSET($BH$3,0,0,'Données projet'!$E$11+1,1))-AVERAGE(OFFSET($H$3,0,0,'Données projet'!$E$11+1,1))</f>
        <v>508.3185483454435</v>
      </c>
      <c r="BJ24" s="59">
        <f t="shared" si="38"/>
        <v>487.08233034004945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16.8</v>
      </c>
      <c r="BY24" s="12">
        <f>IF('Données projet'!$A$114&gt;35,BY23+BX24-CG23,IF(A24&lt;'Données projet'!$A$114,$BV$205^A24,IF(A24='Données projet'!$A$114,'Données projet'!$B$114,BY23+BX24-CG23)))</f>
        <v>97.800000000000011</v>
      </c>
      <c r="BZ24" s="13">
        <f>BY24*VLOOKUP('Données projet'!$B$12,Paramètres!$A$1:$I$89,3,0)*VLOOKUP('Données projet'!$B$12,Paramètres!$A$1:$I$89,5,0)</f>
        <v>79.335360000000023</v>
      </c>
      <c r="CA24" s="13">
        <f t="shared" si="39"/>
        <v>21.974597372641874</v>
      </c>
      <c r="CB24" s="20">
        <f t="shared" si="10"/>
        <v>176.44817575735132</v>
      </c>
      <c r="CC24" s="59">
        <f t="shared" si="11"/>
        <v>395.30570413322573</v>
      </c>
      <c r="CD24" s="59">
        <f ca="1">AVERAGE(OFFSET($CC$3,0,0,'Données projet'!$E$12+1,1))-AVERAGE(OFFSET($H$3,0,0,'Données projet'!$E$12+1,1))</f>
        <v>436.50252985867149</v>
      </c>
      <c r="CE24" s="59">
        <f t="shared" si="40"/>
        <v>419.00806288456329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16.8</v>
      </c>
      <c r="CT24" s="12">
        <f>IF('Données projet'!$A$140&gt;35,CT23+CS24-DB23,IF(A24&lt;'Données projet'!$A$140,$CQ$205^A24,IF(A24='Données projet'!$A$140,'Données projet'!$B$140,CT23+CS24-DB23)))</f>
        <v>97.800000000000011</v>
      </c>
      <c r="CU24" s="17">
        <f>CT24*VLOOKUP('Données projet'!$B$13,Paramètres!$A$1:$I$89,3,0)*VLOOKUP('Données projet'!$B$13,Paramètres!$A$1:$I$89,5,0)</f>
        <v>94.592160000000021</v>
      </c>
      <c r="CV24" s="13">
        <f t="shared" si="41"/>
        <v>25.669515338124462</v>
      </c>
      <c r="CW24" s="20">
        <f t="shared" si="13"/>
        <v>209.45575121390013</v>
      </c>
      <c r="CX24" s="59">
        <f t="shared" si="14"/>
        <v>428.31327958977454</v>
      </c>
      <c r="CY24" s="59">
        <f ca="1">AVERAGE(OFFSET($CX$3,0,0,'Données projet'!$E$13+1,1))-AVERAGE(OFFSET($H$3,0,0,'Données projet'!$E$13+1,1))</f>
        <v>508.3185483454435</v>
      </c>
      <c r="CZ24" s="59">
        <f t="shared" si="42"/>
        <v>487.08233034004945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16.8</v>
      </c>
      <c r="DO24" s="12">
        <f>IF('Données projet'!$A$166&gt;35,DO23+DN24-DW23,IF(A24&lt;'Données projet'!$A$166,$DL$205^A24,IF(A24='Données projet'!$A$166,'Données projet'!$B$166,DO23+DN24-DW23)))</f>
        <v>97.800000000000011</v>
      </c>
      <c r="DP24" s="17">
        <f>DO24*VLOOKUP('Données projet'!$B$14,Paramètres!$A$1:$I$89,3,0)*VLOOKUP('Données projet'!$B$14,Paramètres!$A$1:$I$89,5,0)</f>
        <v>94.592160000000021</v>
      </c>
      <c r="DQ24" s="13">
        <f t="shared" si="43"/>
        <v>25.669515338124462</v>
      </c>
      <c r="DR24" s="20">
        <f t="shared" si="16"/>
        <v>209.45575121390013</v>
      </c>
      <c r="DS24" s="59">
        <f t="shared" si="17"/>
        <v>428.31327958977454</v>
      </c>
      <c r="DT24" s="59">
        <f ca="1">AVERAGE(OFFSET($DS$3,0,0,'Données projet'!$E$14+1,1))-AVERAGE(OFFSET($H$3,0,0,'Données projet'!$E$14+1,1))</f>
        <v>508.3185483454435</v>
      </c>
      <c r="DU24" s="59">
        <f t="shared" si="44"/>
        <v>487.08233034004945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</v>
      </c>
      <c r="N25" s="13">
        <f>IF('Données projet'!$A$36&gt;35,N24+M25-V24,IF(A25&lt;'Données projet'!$A$36,$K$205^A25,IF(A25='Données projet'!$A$36,'Données projet'!$B$36,N24+M25-V24)))</f>
        <v>88</v>
      </c>
      <c r="O25" s="13">
        <f>N25*VLOOKUP('Données projet'!$B$9,Paramètres!$A$1:$I$89,3,0)*VLOOKUP('Données projet'!$B$9,Paramètres!$A$1:$I$89,5,0)</f>
        <v>79.622399999999999</v>
      </c>
      <c r="P25" s="13">
        <f t="shared" si="33"/>
        <v>22.044833558880924</v>
      </c>
      <c r="Q25" s="20">
        <f t="shared" si="2"/>
        <v>177.07043178171759</v>
      </c>
      <c r="R25" s="59">
        <f t="shared" si="0"/>
        <v>398.25134568518598</v>
      </c>
      <c r="S25" s="59">
        <f ca="1">AVERAGE(OFFSET($R$3,0,0,'Données projet'!$E$9+1,1))-AVERAGE(OFFSET($H$3,0,0,'Données projet'!$E$9+1,1))</f>
        <v>569.49435820174267</v>
      </c>
      <c r="T25" s="59">
        <f t="shared" si="34"/>
        <v>295.37730858134739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</v>
      </c>
      <c r="AI25" s="13">
        <f>IF('Données projet'!$A$62&gt;35,AI24+AH25-AQ24,IF(A25&lt;'Données projet'!$A$62,$AF$205^A25,IF(A25='Données projet'!$A$62,'Données projet'!$B$62,AI24+AH25-AQ24)))</f>
        <v>88</v>
      </c>
      <c r="AJ25" s="13">
        <f>AI25*VLOOKUP('Données projet'!$B$10,Paramètres!$A$1:$I$89,3,0)*VLOOKUP('Données projet'!$B$10,Paramètres!$A$1:$I$89,5,0)</f>
        <v>89.232000000000014</v>
      </c>
      <c r="AK25" s="13">
        <f t="shared" si="35"/>
        <v>24.379909604665222</v>
      </c>
      <c r="AL25" s="20">
        <f t="shared" si="4"/>
        <v>197.87407589479196</v>
      </c>
      <c r="AM25" s="59">
        <f t="shared" si="5"/>
        <v>419.05498979826035</v>
      </c>
      <c r="AN25" s="59">
        <f ca="1">AVERAGE(OFFSET($AM$3,0,0,'Données projet'!$E$10+1,1))-AVERAGE(OFFSET($H$3,0,0,'Données projet'!$E$10+1,1))</f>
        <v>627.83896530587367</v>
      </c>
      <c r="AO25" s="59">
        <f t="shared" si="36"/>
        <v>323.54927030899489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16.8</v>
      </c>
      <c r="BD25" s="12">
        <f>IF('Données projet'!$A$88&gt;35,BD24+BC25-BL24,IF(A25&lt;'Données projet'!$A$88,$BA$205^A25,IF(A25='Données projet'!$A$88,'Données projet'!$B$88,BD24+BC25-BL24)))</f>
        <v>114.60000000000001</v>
      </c>
      <c r="BE25" s="13">
        <f>BD25*VLOOKUP('Données projet'!$B$11,Paramètres!$A$1:$I$89,3,0)*VLOOKUP('Données projet'!$B$11,Paramètres!$A$1:$I$89,5,0)</f>
        <v>110.84112000000002</v>
      </c>
      <c r="BF25" s="13">
        <f t="shared" si="37"/>
        <v>29.529071061640771</v>
      </c>
      <c r="BG25" s="20">
        <f t="shared" si="7"/>
        <v>244.47808276569103</v>
      </c>
      <c r="BH25" s="59">
        <f t="shared" si="8"/>
        <v>465.65899666915942</v>
      </c>
      <c r="BI25" s="59">
        <f ca="1">AVERAGE(OFFSET($BH$3,0,0,'Données projet'!$E$11+1,1))-AVERAGE(OFFSET($H$3,0,0,'Données projet'!$E$11+1,1))</f>
        <v>508.3185483454435</v>
      </c>
      <c r="BJ25" s="59">
        <f t="shared" si="38"/>
        <v>487.08233034004945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16.8</v>
      </c>
      <c r="BY25" s="12">
        <f>IF('Données projet'!$A$114&gt;35,BY24+BX25-CG24,IF(A25&lt;'Données projet'!$A$114,$BV$205^A25,IF(A25='Données projet'!$A$114,'Données projet'!$B$114,BY24+BX25-CG24)))</f>
        <v>114.60000000000001</v>
      </c>
      <c r="BZ25" s="13">
        <f>BY25*VLOOKUP('Données projet'!$B$12,Paramètres!$A$1:$I$89,3,0)*VLOOKUP('Données projet'!$B$12,Paramètres!$A$1:$I$89,5,0)</f>
        <v>92.963520000000017</v>
      </c>
      <c r="CA25" s="13">
        <f t="shared" si="39"/>
        <v>25.278601439114567</v>
      </c>
      <c r="CB25" s="20">
        <f t="shared" si="10"/>
        <v>205.93836150645791</v>
      </c>
      <c r="CC25" s="59">
        <f t="shared" si="11"/>
        <v>427.11927540992633</v>
      </c>
      <c r="CD25" s="59">
        <f ca="1">AVERAGE(OFFSET($CC$3,0,0,'Données projet'!$E$12+1,1))-AVERAGE(OFFSET($H$3,0,0,'Données projet'!$E$12+1,1))</f>
        <v>436.50252985867149</v>
      </c>
      <c r="CE25" s="59">
        <f t="shared" si="40"/>
        <v>419.00806288456329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16.8</v>
      </c>
      <c r="CT25" s="12">
        <f>IF('Données projet'!$A$140&gt;35,CT24+CS25-DB24,IF(A25&lt;'Données projet'!$A$140,$CQ$205^A25,IF(A25='Données projet'!$A$140,'Données projet'!$B$140,CT24+CS25-DB24)))</f>
        <v>114.60000000000001</v>
      </c>
      <c r="CU25" s="17">
        <f>CT25*VLOOKUP('Données projet'!$B$13,Paramètres!$A$1:$I$89,3,0)*VLOOKUP('Données projet'!$B$13,Paramètres!$A$1:$I$89,5,0)</f>
        <v>110.84112000000002</v>
      </c>
      <c r="CV25" s="13">
        <f t="shared" si="41"/>
        <v>29.529071061640771</v>
      </c>
      <c r="CW25" s="20">
        <f t="shared" si="13"/>
        <v>244.47808276569103</v>
      </c>
      <c r="CX25" s="59">
        <f t="shared" si="14"/>
        <v>465.65899666915942</v>
      </c>
      <c r="CY25" s="59">
        <f ca="1">AVERAGE(OFFSET($CX$3,0,0,'Données projet'!$E$13+1,1))-AVERAGE(OFFSET($H$3,0,0,'Données projet'!$E$13+1,1))</f>
        <v>508.3185483454435</v>
      </c>
      <c r="CZ25" s="59">
        <f t="shared" si="42"/>
        <v>487.08233034004945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16.8</v>
      </c>
      <c r="DO25" s="12">
        <f>IF('Données projet'!$A$166&gt;35,DO24+DN25-DW24,IF(A25&lt;'Données projet'!$A$166,$DL$205^A25,IF(A25='Données projet'!$A$166,'Données projet'!$B$166,DO24+DN25-DW24)))</f>
        <v>114.60000000000001</v>
      </c>
      <c r="DP25" s="17">
        <f>DO25*VLOOKUP('Données projet'!$B$14,Paramètres!$A$1:$I$89,3,0)*VLOOKUP('Données projet'!$B$14,Paramètres!$A$1:$I$89,5,0)</f>
        <v>110.84112000000002</v>
      </c>
      <c r="DQ25" s="13">
        <f t="shared" si="43"/>
        <v>29.529071061640771</v>
      </c>
      <c r="DR25" s="20">
        <f t="shared" si="16"/>
        <v>244.47808276569103</v>
      </c>
      <c r="DS25" s="59">
        <f t="shared" si="17"/>
        <v>465.65899666915942</v>
      </c>
      <c r="DT25" s="59">
        <f ca="1">AVERAGE(OFFSET($DS$3,0,0,'Données projet'!$E$14+1,1))-AVERAGE(OFFSET($H$3,0,0,'Données projet'!$E$14+1,1))</f>
        <v>508.3185483454435</v>
      </c>
      <c r="DU25" s="59">
        <f t="shared" si="44"/>
        <v>487.08233034004945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</v>
      </c>
      <c r="N26" s="13">
        <f>IF('Données projet'!$A$36&gt;35,N25+M26-V25,IF(A26&lt;'Données projet'!$A$36,$K$205^A26,IF(A26='Données projet'!$A$36,'Données projet'!$B$36,N25+M26-V25)))</f>
        <v>92</v>
      </c>
      <c r="O26" s="13">
        <f>N26*VLOOKUP('Données projet'!$B$9,Paramètres!$A$1:$I$89,3,0)*VLOOKUP('Données projet'!$B$9,Paramètres!$A$1:$I$89,5,0)</f>
        <v>83.241600000000005</v>
      </c>
      <c r="P26" s="13">
        <f t="shared" si="33"/>
        <v>22.927930643846508</v>
      </c>
      <c r="Q26" s="20">
        <f t="shared" si="2"/>
        <v>184.91193253803269</v>
      </c>
      <c r="R26" s="59">
        <f t="shared" si="0"/>
        <v>408.39712924757919</v>
      </c>
      <c r="S26" s="59">
        <f ca="1">AVERAGE(OFFSET($R$3,0,0,'Données projet'!$E$9+1,1))-AVERAGE(OFFSET($H$3,0,0,'Données projet'!$E$9+1,1))</f>
        <v>569.49435820174267</v>
      </c>
      <c r="T26" s="59">
        <f t="shared" si="34"/>
        <v>295.37730858134739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</v>
      </c>
      <c r="AI26" s="13">
        <f>IF('Données projet'!$A$62&gt;35,AI25+AH26-AQ25,IF(A26&lt;'Données projet'!$A$62,$AF$205^A26,IF(A26='Données projet'!$A$62,'Données projet'!$B$62,AI25+AH26-AQ25)))</f>
        <v>92</v>
      </c>
      <c r="AJ26" s="13">
        <f>AI26*VLOOKUP('Données projet'!$B$10,Paramètres!$A$1:$I$89,3,0)*VLOOKUP('Données projet'!$B$10,Paramètres!$A$1:$I$89,5,0)</f>
        <v>93.288000000000011</v>
      </c>
      <c r="AK26" s="13">
        <f t="shared" si="35"/>
        <v>25.356547829040977</v>
      </c>
      <c r="AL26" s="20">
        <f t="shared" si="4"/>
        <v>206.63925413557971</v>
      </c>
      <c r="AM26" s="59">
        <f t="shared" si="5"/>
        <v>430.1244508451262</v>
      </c>
      <c r="AN26" s="59">
        <f ca="1">AVERAGE(OFFSET($AM$3,0,0,'Données projet'!$E$10+1,1))-AVERAGE(OFFSET($H$3,0,0,'Données projet'!$E$10+1,1))</f>
        <v>627.83896530587367</v>
      </c>
      <c r="AO26" s="59">
        <f t="shared" si="36"/>
        <v>323.54927030899489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16.8</v>
      </c>
      <c r="BD26" s="12">
        <f>IF('Données projet'!$A$88&gt;35,BD25+BC26-BL25,IF(A26&lt;'Données projet'!$A$88,$BA$205^A26,IF(A26='Données projet'!$A$88,'Données projet'!$B$88,BD25+BC26-BL25)))</f>
        <v>131.4</v>
      </c>
      <c r="BE26" s="13">
        <f>BD26*VLOOKUP('Données projet'!$B$11,Paramètres!$A$1:$I$89,3,0)*VLOOKUP('Données projet'!$B$11,Paramètres!$A$1:$I$89,5,0)</f>
        <v>127.09008000000001</v>
      </c>
      <c r="BF26" s="13">
        <f t="shared" si="37"/>
        <v>33.323078908942797</v>
      </c>
      <c r="BG26" s="20">
        <f t="shared" si="7"/>
        <v>279.38625176640875</v>
      </c>
      <c r="BH26" s="59">
        <f t="shared" si="8"/>
        <v>502.87144847595528</v>
      </c>
      <c r="BI26" s="59">
        <f ca="1">AVERAGE(OFFSET($BH$3,0,0,'Données projet'!$E$11+1,1))-AVERAGE(OFFSET($H$3,0,0,'Données projet'!$E$11+1,1))</f>
        <v>508.3185483454435</v>
      </c>
      <c r="BJ26" s="59">
        <f t="shared" si="38"/>
        <v>487.08233034004945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16.8</v>
      </c>
      <c r="BY26" s="12">
        <f>IF('Données projet'!$A$114&gt;35,BY25+BX26-CG25,IF(A26&lt;'Données projet'!$A$114,$BV$205^A26,IF(A26='Données projet'!$A$114,'Données projet'!$B$114,BY25+BX26-CG25)))</f>
        <v>131.4</v>
      </c>
      <c r="BZ26" s="13">
        <f>BY26*VLOOKUP('Données projet'!$B$12,Paramètres!$A$1:$I$89,3,0)*VLOOKUP('Données projet'!$B$12,Paramètres!$A$1:$I$89,5,0)</f>
        <v>106.59168000000001</v>
      </c>
      <c r="CA26" s="13">
        <f t="shared" si="39"/>
        <v>28.526492713060108</v>
      </c>
      <c r="CB26" s="20">
        <f t="shared" si="10"/>
        <v>235.33081747524636</v>
      </c>
      <c r="CC26" s="59">
        <f t="shared" si="11"/>
        <v>458.81601418479283</v>
      </c>
      <c r="CD26" s="59">
        <f ca="1">AVERAGE(OFFSET($CC$3,0,0,'Données projet'!$E$12+1,1))-AVERAGE(OFFSET($H$3,0,0,'Données projet'!$E$12+1,1))</f>
        <v>436.50252985867149</v>
      </c>
      <c r="CE26" s="59">
        <f t="shared" si="40"/>
        <v>419.00806288456329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16.8</v>
      </c>
      <c r="CT26" s="12">
        <f>IF('Données projet'!$A$140&gt;35,CT25+CS26-DB25,IF(A26&lt;'Données projet'!$A$140,$CQ$205^A26,IF(A26='Données projet'!$A$140,'Données projet'!$B$140,CT25+CS26-DB25)))</f>
        <v>131.4</v>
      </c>
      <c r="CU26" s="17">
        <f>CT26*VLOOKUP('Données projet'!$B$13,Paramètres!$A$1:$I$89,3,0)*VLOOKUP('Données projet'!$B$13,Paramètres!$A$1:$I$89,5,0)</f>
        <v>127.09008000000001</v>
      </c>
      <c r="CV26" s="13">
        <f t="shared" si="41"/>
        <v>33.323078908942797</v>
      </c>
      <c r="CW26" s="20">
        <f t="shared" si="13"/>
        <v>279.38625176640875</v>
      </c>
      <c r="CX26" s="59">
        <f t="shared" si="14"/>
        <v>502.87144847595528</v>
      </c>
      <c r="CY26" s="59">
        <f ca="1">AVERAGE(OFFSET($CX$3,0,0,'Données projet'!$E$13+1,1))-AVERAGE(OFFSET($H$3,0,0,'Données projet'!$E$13+1,1))</f>
        <v>508.3185483454435</v>
      </c>
      <c r="CZ26" s="59">
        <f t="shared" si="42"/>
        <v>487.08233034004945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16.8</v>
      </c>
      <c r="DO26" s="12">
        <f>IF('Données projet'!$A$166&gt;35,DO25+DN26-DW25,IF(A26&lt;'Données projet'!$A$166,$DL$205^A26,IF(A26='Données projet'!$A$166,'Données projet'!$B$166,DO25+DN26-DW25)))</f>
        <v>131.4</v>
      </c>
      <c r="DP26" s="17">
        <f>DO26*VLOOKUP('Données projet'!$B$14,Paramètres!$A$1:$I$89,3,0)*VLOOKUP('Données projet'!$B$14,Paramètres!$A$1:$I$89,5,0)</f>
        <v>127.09008000000001</v>
      </c>
      <c r="DQ26" s="13">
        <f t="shared" si="43"/>
        <v>33.323078908942797</v>
      </c>
      <c r="DR26" s="20">
        <f t="shared" si="16"/>
        <v>279.38625176640875</v>
      </c>
      <c r="DS26" s="59">
        <f t="shared" si="17"/>
        <v>502.87144847595528</v>
      </c>
      <c r="DT26" s="59">
        <f ca="1">AVERAGE(OFFSET($DS$3,0,0,'Données projet'!$E$14+1,1))-AVERAGE(OFFSET($H$3,0,0,'Données projet'!$E$14+1,1))</f>
        <v>508.3185483454435</v>
      </c>
      <c r="DU26" s="59">
        <f t="shared" si="44"/>
        <v>487.08233034004945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</v>
      </c>
      <c r="N27" s="13">
        <f>IF('Données projet'!$A$36&gt;35,N26+M27-V26,IF(A27&lt;'Données projet'!$A$36,$K$205^A27,IF(A27='Données projet'!$A$36,'Données projet'!$B$36,N26+M27-V26)))</f>
        <v>96</v>
      </c>
      <c r="O27" s="13">
        <f>N27*VLOOKUP('Données projet'!$B$9,Paramètres!$A$1:$I$89,3,0)*VLOOKUP('Données projet'!$B$9,Paramètres!$A$1:$I$89,5,0)</f>
        <v>86.860799999999998</v>
      </c>
      <c r="P27" s="13">
        <f t="shared" si="33"/>
        <v>23.806568296036275</v>
      </c>
      <c r="Q27" s="20">
        <f t="shared" si="2"/>
        <v>192.74566644892982</v>
      </c>
      <c r="R27" s="59">
        <f t="shared" si="0"/>
        <v>418.51637463254963</v>
      </c>
      <c r="S27" s="59">
        <f ca="1">AVERAGE(OFFSET($R$3,0,0,'Données projet'!$E$9+1,1))-AVERAGE(OFFSET($H$3,0,0,'Données projet'!$E$9+1,1))</f>
        <v>569.49435820174267</v>
      </c>
      <c r="T27" s="59">
        <f t="shared" si="34"/>
        <v>295.37730858134739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</v>
      </c>
      <c r="AI27" s="13">
        <f>IF('Données projet'!$A$62&gt;35,AI26+AH27-AQ26,IF(A27&lt;'Données projet'!$A$62,$AF$205^A27,IF(A27='Données projet'!$A$62,'Données projet'!$B$62,AI26+AH27-AQ26)))</f>
        <v>96</v>
      </c>
      <c r="AJ27" s="13">
        <f>AI27*VLOOKUP('Données projet'!$B$10,Paramètres!$A$1:$I$89,3,0)*VLOOKUP('Données projet'!$B$10,Paramètres!$A$1:$I$89,5,0)</f>
        <v>97.344000000000008</v>
      </c>
      <c r="AK27" s="13">
        <f t="shared" si="35"/>
        <v>26.328254259866473</v>
      </c>
      <c r="AL27" s="20">
        <f t="shared" si="4"/>
        <v>215.3958428359341</v>
      </c>
      <c r="AM27" s="59">
        <f t="shared" si="5"/>
        <v>441.16655101955394</v>
      </c>
      <c r="AN27" s="59">
        <f ca="1">AVERAGE(OFFSET($AM$3,0,0,'Données projet'!$E$10+1,1))-AVERAGE(OFFSET($H$3,0,0,'Données projet'!$E$10+1,1))</f>
        <v>627.83896530587367</v>
      </c>
      <c r="AO27" s="59">
        <f t="shared" si="36"/>
        <v>323.54927030899489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16.8</v>
      </c>
      <c r="BD27" s="12">
        <f>IF('Données projet'!$A$88&gt;35,BD26+BC27-BL26,IF(A27&lt;'Données projet'!$A$88,$BA$205^A27,IF(A27='Données projet'!$A$88,'Données projet'!$B$88,BD26+BC27-BL26)))</f>
        <v>148.20000000000002</v>
      </c>
      <c r="BE27" s="13">
        <f>BD27*VLOOKUP('Données projet'!$B$11,Paramètres!$A$1:$I$89,3,0)*VLOOKUP('Données projet'!$B$11,Paramètres!$A$1:$I$89,5,0)</f>
        <v>143.33904000000004</v>
      </c>
      <c r="BF27" s="13">
        <f t="shared" si="37"/>
        <v>37.060880192160809</v>
      </c>
      <c r="BG27" s="20">
        <f t="shared" si="7"/>
        <v>314.19652766801346</v>
      </c>
      <c r="BH27" s="59">
        <f t="shared" si="8"/>
        <v>539.96723585163329</v>
      </c>
      <c r="BI27" s="59">
        <f ca="1">AVERAGE(OFFSET($BH$3,0,0,'Données projet'!$E$11+1,1))-AVERAGE(OFFSET($H$3,0,0,'Données projet'!$E$11+1,1))</f>
        <v>508.3185483454435</v>
      </c>
      <c r="BJ27" s="59">
        <f t="shared" si="38"/>
        <v>487.08233034004945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16.8</v>
      </c>
      <c r="BY27" s="12">
        <f>IF('Données projet'!$A$114&gt;35,BY26+BX27-CG26,IF(A27&lt;'Données projet'!$A$114,$BV$205^A27,IF(A27='Données projet'!$A$114,'Données projet'!$B$114,BY26+BX27-CG26)))</f>
        <v>148.20000000000002</v>
      </c>
      <c r="BZ27" s="13">
        <f>BY27*VLOOKUP('Données projet'!$B$12,Paramètres!$A$1:$I$89,3,0)*VLOOKUP('Données projet'!$B$12,Paramètres!$A$1:$I$89,5,0)</f>
        <v>120.21984000000002</v>
      </c>
      <c r="CA27" s="13">
        <f t="shared" si="39"/>
        <v>31.726267900699519</v>
      </c>
      <c r="CB27" s="20">
        <f t="shared" si="10"/>
        <v>264.63947126038499</v>
      </c>
      <c r="CC27" s="59">
        <f t="shared" si="11"/>
        <v>490.41017944400483</v>
      </c>
      <c r="CD27" s="59">
        <f ca="1">AVERAGE(OFFSET($CC$3,0,0,'Données projet'!$E$12+1,1))-AVERAGE(OFFSET($H$3,0,0,'Données projet'!$E$12+1,1))</f>
        <v>436.50252985867149</v>
      </c>
      <c r="CE27" s="59">
        <f t="shared" si="40"/>
        <v>419.00806288456329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16.8</v>
      </c>
      <c r="CT27" s="12">
        <f>IF('Données projet'!$A$140&gt;35,CT26+CS27-DB26,IF(A27&lt;'Données projet'!$A$140,$CQ$205^A27,IF(A27='Données projet'!$A$140,'Données projet'!$B$140,CT26+CS27-DB26)))</f>
        <v>148.20000000000002</v>
      </c>
      <c r="CU27" s="17">
        <f>CT27*VLOOKUP('Données projet'!$B$13,Paramètres!$A$1:$I$89,3,0)*VLOOKUP('Données projet'!$B$13,Paramètres!$A$1:$I$89,5,0)</f>
        <v>143.33904000000004</v>
      </c>
      <c r="CV27" s="13">
        <f t="shared" si="41"/>
        <v>37.060880192160809</v>
      </c>
      <c r="CW27" s="20">
        <f t="shared" si="13"/>
        <v>314.19652766801346</v>
      </c>
      <c r="CX27" s="59">
        <f t="shared" si="14"/>
        <v>539.96723585163329</v>
      </c>
      <c r="CY27" s="59">
        <f ca="1">AVERAGE(OFFSET($CX$3,0,0,'Données projet'!$E$13+1,1))-AVERAGE(OFFSET($H$3,0,0,'Données projet'!$E$13+1,1))</f>
        <v>508.3185483454435</v>
      </c>
      <c r="CZ27" s="59">
        <f t="shared" si="42"/>
        <v>487.08233034004945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16.8</v>
      </c>
      <c r="DO27" s="12">
        <f>IF('Données projet'!$A$166&gt;35,DO26+DN27-DW26,IF(A27&lt;'Données projet'!$A$166,$DL$205^A27,IF(A27='Données projet'!$A$166,'Données projet'!$B$166,DO26+DN27-DW26)))</f>
        <v>148.20000000000002</v>
      </c>
      <c r="DP27" s="17">
        <f>DO27*VLOOKUP('Données projet'!$B$14,Paramètres!$A$1:$I$89,3,0)*VLOOKUP('Données projet'!$B$14,Paramètres!$A$1:$I$89,5,0)</f>
        <v>143.33904000000004</v>
      </c>
      <c r="DQ27" s="13">
        <f t="shared" si="43"/>
        <v>37.060880192160809</v>
      </c>
      <c r="DR27" s="20">
        <f t="shared" si="16"/>
        <v>314.19652766801346</v>
      </c>
      <c r="DS27" s="59">
        <f t="shared" si="17"/>
        <v>539.96723585163329</v>
      </c>
      <c r="DT27" s="59">
        <f ca="1">AVERAGE(OFFSET($DS$3,0,0,'Données projet'!$E$14+1,1))-AVERAGE(OFFSET($H$3,0,0,'Données projet'!$E$14+1,1))</f>
        <v>508.3185483454435</v>
      </c>
      <c r="DU27" s="59">
        <f t="shared" si="44"/>
        <v>487.08233034004945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</v>
      </c>
      <c r="N28" s="13">
        <f>IF('Données projet'!$A$36&gt;35,N27+M28-V27,IF(A28&lt;'Données projet'!$A$36,$K$205^A28,IF(A28='Données projet'!$A$36,'Données projet'!$B$36,N27+M28-V27)))</f>
        <v>100</v>
      </c>
      <c r="O28" s="13">
        <f>N28*VLOOKUP('Données projet'!$B$9,Paramètres!$A$1:$I$89,3,0)*VLOOKUP('Données projet'!$B$9,Paramètres!$A$1:$I$89,5,0)</f>
        <v>90.47999999999999</v>
      </c>
      <c r="P28" s="13">
        <f t="shared" si="33"/>
        <v>24.680953573367994</v>
      </c>
      <c r="Q28" s="20">
        <f t="shared" si="2"/>
        <v>200.57199414028256</v>
      </c>
      <c r="R28" s="59">
        <f t="shared" si="0"/>
        <v>428.60976810661464</v>
      </c>
      <c r="S28" s="59">
        <f ca="1">AVERAGE(OFFSET($R$3,0,0,'Données projet'!$E$9+1,1))-AVERAGE(OFFSET($H$3,0,0,'Données projet'!$E$9+1,1))</f>
        <v>569.49435820174267</v>
      </c>
      <c r="T28" s="59">
        <f t="shared" si="34"/>
        <v>295.37730858134739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</v>
      </c>
      <c r="AI28" s="13">
        <f>IF('Données projet'!$A$62&gt;35,AI27+AH28-AQ27,IF(A28&lt;'Données projet'!$A$62,$AF$205^A28,IF(A28='Données projet'!$A$62,'Données projet'!$B$62,AI27+AH28-AQ27)))</f>
        <v>100</v>
      </c>
      <c r="AJ28" s="13">
        <f>AI28*VLOOKUP('Données projet'!$B$10,Paramètres!$A$1:$I$89,3,0)*VLOOKUP('Données projet'!$B$10,Paramètres!$A$1:$I$89,5,0)</f>
        <v>101.4</v>
      </c>
      <c r="AK28" s="13">
        <f t="shared" si="35"/>
        <v>27.295257887453797</v>
      </c>
      <c r="AL28" s="20">
        <f t="shared" si="4"/>
        <v>224.14424082064872</v>
      </c>
      <c r="AM28" s="59">
        <f t="shared" si="5"/>
        <v>452.18201478698086</v>
      </c>
      <c r="AN28" s="59">
        <f ca="1">AVERAGE(OFFSET($AM$3,0,0,'Données projet'!$E$10+1,1))-AVERAGE(OFFSET($H$3,0,0,'Données projet'!$E$10+1,1))</f>
        <v>627.83896530587367</v>
      </c>
      <c r="AO28" s="59">
        <f t="shared" si="36"/>
        <v>323.54927030899489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165</v>
      </c>
      <c r="BB28" s="12">
        <f>VLOOKUP(A28,'Données projet'!$A$87:$I$107,9,0)</f>
        <v>16.8</v>
      </c>
      <c r="BC28" s="12">
        <f t="array" ref="BC28">INDEX(BB:BB,MIN(IF(ISNUMBER(BB28:BB224),ROW(BB28:BB224),"")))</f>
        <v>16.8</v>
      </c>
      <c r="BD28" s="12">
        <f>IF('Données projet'!$A$88&gt;35,BD27+BC28-BL27,IF(A28&lt;'Données projet'!$A$88,$BA$205^A28,IF(A28='Données projet'!$A$88,'Données projet'!$B$88,BD27+BC28-BL27)))</f>
        <v>165.00000000000003</v>
      </c>
      <c r="BE28" s="13">
        <f>BD28*VLOOKUP('Données projet'!$B$11,Paramètres!$A$1:$I$89,3,0)*VLOOKUP('Données projet'!$B$11,Paramètres!$A$1:$I$89,5,0)</f>
        <v>159.58800000000002</v>
      </c>
      <c r="BF28" s="13">
        <f t="shared" si="37"/>
        <v>40.74957371668588</v>
      </c>
      <c r="BG28" s="20">
        <f t="shared" si="7"/>
        <v>348.92127422322795</v>
      </c>
      <c r="BH28" s="59">
        <f t="shared" si="8"/>
        <v>576.95904818956001</v>
      </c>
      <c r="BI28" s="59">
        <f ca="1">AVERAGE(OFFSET($BH$3,0,0,'Données projet'!$E$11+1,1))-AVERAGE(OFFSET($H$3,0,0,'Données projet'!$E$11+1,1))</f>
        <v>508.3185483454435</v>
      </c>
      <c r="BJ28" s="59">
        <f t="shared" si="38"/>
        <v>487.08233034004945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165</v>
      </c>
      <c r="BW28" s="12">
        <f>VLOOKUP(A28,'Données projet'!$A$113:$I$133,9,0)</f>
        <v>16.8</v>
      </c>
      <c r="BX28" s="12">
        <f t="array" ref="BX28">INDEX(BW:BW,MIN(IF(ISNUMBER(BW28:BW224),ROW(BW28:BW224),"")))</f>
        <v>16.8</v>
      </c>
      <c r="BY28" s="12">
        <f>IF('Données projet'!$A$114&gt;35,BY27+BX28-CG27,IF(A28&lt;'Données projet'!$A$114,$BV$205^A28,IF(A28='Données projet'!$A$114,'Données projet'!$B$114,BY27+BX28-CG27)))</f>
        <v>165.00000000000003</v>
      </c>
      <c r="BZ28" s="13">
        <f>BY28*VLOOKUP('Données projet'!$B$12,Paramètres!$A$1:$I$89,3,0)*VLOOKUP('Données projet'!$B$12,Paramètres!$A$1:$I$89,5,0)</f>
        <v>133.84800000000001</v>
      </c>
      <c r="CA28" s="13">
        <f t="shared" si="39"/>
        <v>34.884003992121691</v>
      </c>
      <c r="CB28" s="20">
        <f t="shared" si="10"/>
        <v>293.87490695294525</v>
      </c>
      <c r="CC28" s="59">
        <f t="shared" si="11"/>
        <v>521.91268091927736</v>
      </c>
      <c r="CD28" s="59">
        <f ca="1">AVERAGE(OFFSET($CC$3,0,0,'Données projet'!$E$12+1,1))-AVERAGE(OFFSET($H$3,0,0,'Données projet'!$E$12+1,1))</f>
        <v>436.50252985867149</v>
      </c>
      <c r="CE28" s="59">
        <f t="shared" si="40"/>
        <v>419.00806288456329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42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165</v>
      </c>
      <c r="CR28" s="12">
        <f>VLOOKUP(A28,'Données projet'!$A$139:$I$159,9,0)</f>
        <v>16.8</v>
      </c>
      <c r="CS28" s="12">
        <f t="array" ref="CS28">INDEX(CR:CR,MIN(IF(ISNUMBER(CR28:CR224),ROW(CR28:CR224),"")))</f>
        <v>16.8</v>
      </c>
      <c r="CT28" s="12">
        <f>IF('Données projet'!$A$140&gt;35,CT27+CS28-DB27,IF(A28&lt;'Données projet'!$A$140,$CQ$205^A28,IF(A28='Données projet'!$A$140,'Données projet'!$B$140,CT27+CS28-DB27)))</f>
        <v>165.00000000000003</v>
      </c>
      <c r="CU28" s="17">
        <f>CT28*VLOOKUP('Données projet'!$B$13,Paramètres!$A$1:$I$89,3,0)*VLOOKUP('Données projet'!$B$13,Paramètres!$A$1:$I$89,5,0)</f>
        <v>159.58800000000002</v>
      </c>
      <c r="CV28" s="13">
        <f t="shared" si="41"/>
        <v>40.74957371668588</v>
      </c>
      <c r="CW28" s="20">
        <f t="shared" si="13"/>
        <v>348.92127422322795</v>
      </c>
      <c r="CX28" s="59">
        <f t="shared" si="14"/>
        <v>576.95904818956001</v>
      </c>
      <c r="CY28" s="59">
        <f ca="1">AVERAGE(OFFSET($CX$3,0,0,'Données projet'!$E$13+1,1))-AVERAGE(OFFSET($H$3,0,0,'Données projet'!$E$13+1,1))</f>
        <v>508.3185483454435</v>
      </c>
      <c r="CZ28" s="59">
        <f t="shared" si="42"/>
        <v>487.08233034004945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42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165</v>
      </c>
      <c r="DM28" s="12">
        <f>VLOOKUP(A28,'Données projet'!$A$165:$I$185,9,0)</f>
        <v>16.8</v>
      </c>
      <c r="DN28" s="12">
        <f t="array" ref="DN28">INDEX(DM:DM,MIN(IF(ISNUMBER(DM28:DM224),ROW(DM28:DM224),"")))</f>
        <v>16.8</v>
      </c>
      <c r="DO28" s="12">
        <f>IF('Données projet'!$A$166&gt;35,DO27+DN28-DW27,IF(A28&lt;'Données projet'!$A$166,$DL$205^A28,IF(A28='Données projet'!$A$166,'Données projet'!$B$166,DO27+DN28-DW27)))</f>
        <v>165.00000000000003</v>
      </c>
      <c r="DP28" s="17">
        <f>DO28*VLOOKUP('Données projet'!$B$14,Paramètres!$A$1:$I$89,3,0)*VLOOKUP('Données projet'!$B$14,Paramètres!$A$1:$I$89,5,0)</f>
        <v>159.58800000000002</v>
      </c>
      <c r="DQ28" s="13">
        <f t="shared" si="43"/>
        <v>40.74957371668588</v>
      </c>
      <c r="DR28" s="20">
        <f t="shared" si="16"/>
        <v>348.92127422322795</v>
      </c>
      <c r="DS28" s="59">
        <f t="shared" si="17"/>
        <v>576.95904818956001</v>
      </c>
      <c r="DT28" s="59">
        <f ca="1">AVERAGE(OFFSET($DS$3,0,0,'Données projet'!$E$14+1,1))-AVERAGE(OFFSET($H$3,0,0,'Données projet'!$E$14+1,1))</f>
        <v>508.3185483454435</v>
      </c>
      <c r="DU28" s="59">
        <f t="shared" si="44"/>
        <v>487.08233034004945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42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</v>
      </c>
      <c r="N29" s="13">
        <f>IF('Données projet'!$A$36&gt;35,N28+M29-V28,IF(A29&lt;'Données projet'!$A$36,$K$205^A29,IF(A29='Données projet'!$A$36,'Données projet'!$B$36,N28+M29-V28)))</f>
        <v>104</v>
      </c>
      <c r="O29" s="13">
        <f>N29*VLOOKUP('Données projet'!$B$9,Paramètres!$A$1:$I$89,3,0)*VLOOKUP('Données projet'!$B$9,Paramètres!$A$1:$I$89,5,0)</f>
        <v>94.099199999999996</v>
      </c>
      <c r="P29" s="13">
        <f t="shared" si="33"/>
        <v>25.551276031514817</v>
      </c>
      <c r="Q29" s="20">
        <f t="shared" si="2"/>
        <v>208.39124575488827</v>
      </c>
      <c r="R29" s="59">
        <f t="shared" si="0"/>
        <v>438.67795980407845</v>
      </c>
      <c r="S29" s="59">
        <f ca="1">AVERAGE(OFFSET($R$3,0,0,'Données projet'!$E$9+1,1))-AVERAGE(OFFSET($H$3,0,0,'Données projet'!$E$9+1,1))</f>
        <v>569.49435820174267</v>
      </c>
      <c r="T29" s="59">
        <f t="shared" si="34"/>
        <v>295.37730858134739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</v>
      </c>
      <c r="AI29" s="13">
        <f>IF('Données projet'!$A$62&gt;35,AI28+AH29-AQ28,IF(A29&lt;'Données projet'!$A$62,$AF$205^A29,IF(A29='Données projet'!$A$62,'Données projet'!$B$62,AI28+AH29-AQ28)))</f>
        <v>104</v>
      </c>
      <c r="AJ29" s="13">
        <f>AI29*VLOOKUP('Données projet'!$B$10,Paramètres!$A$1:$I$89,3,0)*VLOOKUP('Données projet'!$B$10,Paramètres!$A$1:$I$89,5,0)</f>
        <v>105.45600000000002</v>
      </c>
      <c r="AK29" s="13">
        <f t="shared" si="35"/>
        <v>28.257768345963573</v>
      </c>
      <c r="AL29" s="20">
        <f t="shared" si="4"/>
        <v>232.88481320255323</v>
      </c>
      <c r="AM29" s="59">
        <f t="shared" si="5"/>
        <v>463.17152725174344</v>
      </c>
      <c r="AN29" s="59">
        <f ca="1">AVERAGE(OFFSET($AM$3,0,0,'Données projet'!$E$10+1,1))-AVERAGE(OFFSET($H$3,0,0,'Données projet'!$E$10+1,1))</f>
        <v>627.83896530587367</v>
      </c>
      <c r="AO29" s="59">
        <f t="shared" si="36"/>
        <v>323.54927030899489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139.40000000000003</v>
      </c>
      <c r="BE29" s="13">
        <f>BD29*VLOOKUP('Données projet'!$B$11,Paramètres!$A$1:$I$89,3,0)*VLOOKUP('Données projet'!$B$11,Paramètres!$A$1:$I$89,5,0)</f>
        <v>134.82768000000004</v>
      </c>
      <c r="BF29" s="13">
        <f t="shared" si="37"/>
        <v>35.109516092536481</v>
      </c>
      <c r="BG29" s="20">
        <f t="shared" si="7"/>
        <v>295.97394986116774</v>
      </c>
      <c r="BH29" s="59">
        <f t="shared" si="8"/>
        <v>526.26066391035795</v>
      </c>
      <c r="BI29" s="59">
        <f ca="1">AVERAGE(OFFSET($BH$3,0,0,'Données projet'!$E$11+1,1))-AVERAGE(OFFSET($H$3,0,0,'Données projet'!$E$11+1,1))</f>
        <v>508.3185483454435</v>
      </c>
      <c r="BJ29" s="59">
        <f t="shared" si="38"/>
        <v>487.08233034004945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139.40000000000003</v>
      </c>
      <c r="BZ29" s="13">
        <f>BY29*VLOOKUP('Données projet'!$B$12,Paramètres!$A$1:$I$89,3,0)*VLOOKUP('Données projet'!$B$12,Paramètres!$A$1:$I$89,5,0)</f>
        <v>113.08128000000002</v>
      </c>
      <c r="CA29" s="13">
        <f t="shared" si="39"/>
        <v>30.05578679297923</v>
      </c>
      <c r="CB29" s="20">
        <f t="shared" si="10"/>
        <v>249.29705799777221</v>
      </c>
      <c r="CC29" s="59">
        <f t="shared" si="11"/>
        <v>479.58377204696239</v>
      </c>
      <c r="CD29" s="59">
        <f ca="1">AVERAGE(OFFSET($CC$3,0,0,'Données projet'!$E$12+1,1))-AVERAGE(OFFSET($H$3,0,0,'Données projet'!$E$12+1,1))</f>
        <v>436.50252985867149</v>
      </c>
      <c r="CE29" s="59">
        <f t="shared" si="40"/>
        <v>419.00806288456329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139.40000000000003</v>
      </c>
      <c r="CU29" s="17">
        <f>CT29*VLOOKUP('Données projet'!$B$13,Paramètres!$A$1:$I$89,3,0)*VLOOKUP('Données projet'!$B$13,Paramètres!$A$1:$I$89,5,0)</f>
        <v>134.82768000000004</v>
      </c>
      <c r="CV29" s="13">
        <f t="shared" si="41"/>
        <v>35.109516092536481</v>
      </c>
      <c r="CW29" s="20">
        <f t="shared" si="13"/>
        <v>295.97394986116774</v>
      </c>
      <c r="CX29" s="59">
        <f t="shared" si="14"/>
        <v>526.26066391035795</v>
      </c>
      <c r="CY29" s="59">
        <f ca="1">AVERAGE(OFFSET($CX$3,0,0,'Données projet'!$E$13+1,1))-AVERAGE(OFFSET($H$3,0,0,'Données projet'!$E$13+1,1))</f>
        <v>508.3185483454435</v>
      </c>
      <c r="CZ29" s="59">
        <f t="shared" si="42"/>
        <v>487.08233034004945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16.399999999999999</v>
      </c>
      <c r="DO29" s="12">
        <f>IF('Données projet'!$A$166&gt;35,DO28+DN29-DW28,IF(A29&lt;'Données projet'!$A$166,$DL$205^A29,IF(A29='Données projet'!$A$166,'Données projet'!$B$166,DO28+DN29-DW28)))</f>
        <v>139.40000000000003</v>
      </c>
      <c r="DP29" s="17">
        <f>DO29*VLOOKUP('Données projet'!$B$14,Paramètres!$A$1:$I$89,3,0)*VLOOKUP('Données projet'!$B$14,Paramètres!$A$1:$I$89,5,0)</f>
        <v>134.82768000000004</v>
      </c>
      <c r="DQ29" s="13">
        <f t="shared" si="43"/>
        <v>35.109516092536481</v>
      </c>
      <c r="DR29" s="20">
        <f t="shared" si="16"/>
        <v>295.97394986116774</v>
      </c>
      <c r="DS29" s="59">
        <f t="shared" si="17"/>
        <v>526.26066391035795</v>
      </c>
      <c r="DT29" s="59">
        <f ca="1">AVERAGE(OFFSET($DS$3,0,0,'Données projet'!$E$14+1,1))-AVERAGE(OFFSET($H$3,0,0,'Données projet'!$E$14+1,1))</f>
        <v>508.3185483454435</v>
      </c>
      <c r="DU29" s="59">
        <f t="shared" si="44"/>
        <v>487.08233034004945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</v>
      </c>
      <c r="N30" s="13">
        <f>IF('Données projet'!$A$36&gt;35,N29+M30-V29,IF(A30&lt;'Données projet'!$A$36,$K$205^A30,IF(A30='Données projet'!$A$36,'Données projet'!$B$36,N29+M30-V29)))</f>
        <v>108</v>
      </c>
      <c r="O30" s="13">
        <f>N30*VLOOKUP('Données projet'!$B$9,Paramètres!$A$1:$I$89,3,0)*VLOOKUP('Données projet'!$B$9,Paramètres!$A$1:$I$89,5,0)</f>
        <v>97.718399999999988</v>
      </c>
      <c r="P30" s="13">
        <f t="shared" si="33"/>
        <v>26.417709819192194</v>
      </c>
      <c r="Q30" s="20">
        <f t="shared" si="2"/>
        <v>216.20372460175972</v>
      </c>
      <c r="R30" s="59">
        <f t="shared" si="0"/>
        <v>448.72156747432325</v>
      </c>
      <c r="S30" s="59">
        <f ca="1">AVERAGE(OFFSET($R$3,0,0,'Données projet'!$E$9+1,1))-AVERAGE(OFFSET($H$3,0,0,'Données projet'!$E$9+1,1))</f>
        <v>569.49435820174267</v>
      </c>
      <c r="T30" s="59">
        <f t="shared" si="34"/>
        <v>295.37730858134739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</v>
      </c>
      <c r="AI30" s="13">
        <f>IF('Données projet'!$A$62&gt;35,AI29+AH30-AQ29,IF(A30&lt;'Données projet'!$A$62,$AF$205^A30,IF(A30='Données projet'!$A$62,'Données projet'!$B$62,AI29+AH30-AQ29)))</f>
        <v>108</v>
      </c>
      <c r="AJ30" s="13">
        <f>AI30*VLOOKUP('Données projet'!$B$10,Paramètres!$A$1:$I$89,3,0)*VLOOKUP('Données projet'!$B$10,Paramètres!$A$1:$I$89,5,0)</f>
        <v>109.51200000000001</v>
      </c>
      <c r="AK30" s="13">
        <f t="shared" si="35"/>
        <v>29.215978230632555</v>
      </c>
      <c r="AL30" s="20">
        <f t="shared" si="4"/>
        <v>241.61789541835174</v>
      </c>
      <c r="AM30" s="59">
        <f t="shared" si="5"/>
        <v>474.13573829091524</v>
      </c>
      <c r="AN30" s="59">
        <f ca="1">AVERAGE(OFFSET($AM$3,0,0,'Données projet'!$E$10+1,1))-AVERAGE(OFFSET($H$3,0,0,'Données projet'!$E$10+1,1))</f>
        <v>627.83896530587367</v>
      </c>
      <c r="AO30" s="59">
        <f t="shared" si="36"/>
        <v>323.54927030899489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155.80000000000004</v>
      </c>
      <c r="BE30" s="13">
        <f>BD30*VLOOKUP('Données projet'!$B$11,Paramètres!$A$1:$I$89,3,0)*VLOOKUP('Données projet'!$B$11,Paramètres!$A$1:$I$89,5,0)</f>
        <v>150.68976000000004</v>
      </c>
      <c r="BF30" s="13">
        <f t="shared" si="37"/>
        <v>38.735294176946205</v>
      </c>
      <c r="BG30" s="20">
        <f t="shared" si="7"/>
        <v>329.91530269151468</v>
      </c>
      <c r="BH30" s="59">
        <f t="shared" si="8"/>
        <v>562.43314556407813</v>
      </c>
      <c r="BI30" s="59">
        <f ca="1">AVERAGE(OFFSET($BH$3,0,0,'Données projet'!$E$11+1,1))-AVERAGE(OFFSET($H$3,0,0,'Données projet'!$E$11+1,1))</f>
        <v>508.3185483454435</v>
      </c>
      <c r="BJ30" s="59">
        <f t="shared" si="38"/>
        <v>487.08233034004945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155.80000000000004</v>
      </c>
      <c r="BZ30" s="13">
        <f>BY30*VLOOKUP('Données projet'!$B$12,Paramètres!$A$1:$I$89,3,0)*VLOOKUP('Données projet'!$B$12,Paramètres!$A$1:$I$89,5,0)</f>
        <v>126.38496000000004</v>
      </c>
      <c r="CA30" s="13">
        <f t="shared" si="39"/>
        <v>33.159663610206088</v>
      </c>
      <c r="CB30" s="20">
        <f t="shared" si="10"/>
        <v>277.87355278777568</v>
      </c>
      <c r="CC30" s="59">
        <f t="shared" si="11"/>
        <v>510.39139566033919</v>
      </c>
      <c r="CD30" s="59">
        <f ca="1">AVERAGE(OFFSET($CC$3,0,0,'Données projet'!$E$12+1,1))-AVERAGE(OFFSET($H$3,0,0,'Données projet'!$E$12+1,1))</f>
        <v>436.50252985867149</v>
      </c>
      <c r="CE30" s="59">
        <f t="shared" si="40"/>
        <v>419.00806288456329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155.80000000000004</v>
      </c>
      <c r="CU30" s="17">
        <f>CT30*VLOOKUP('Données projet'!$B$13,Paramètres!$A$1:$I$89,3,0)*VLOOKUP('Données projet'!$B$13,Paramètres!$A$1:$I$89,5,0)</f>
        <v>150.68976000000004</v>
      </c>
      <c r="CV30" s="13">
        <f t="shared" si="41"/>
        <v>38.735294176946205</v>
      </c>
      <c r="CW30" s="20">
        <f t="shared" si="13"/>
        <v>329.91530269151468</v>
      </c>
      <c r="CX30" s="59">
        <f t="shared" si="14"/>
        <v>562.43314556407813</v>
      </c>
      <c r="CY30" s="59">
        <f ca="1">AVERAGE(OFFSET($CX$3,0,0,'Données projet'!$E$13+1,1))-AVERAGE(OFFSET($H$3,0,0,'Données projet'!$E$13+1,1))</f>
        <v>508.3185483454435</v>
      </c>
      <c r="CZ30" s="59">
        <f t="shared" si="42"/>
        <v>487.08233034004945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16.399999999999999</v>
      </c>
      <c r="DO30" s="12">
        <f>IF('Données projet'!$A$166&gt;35,DO29+DN30-DW29,IF(A30&lt;'Données projet'!$A$166,$DL$205^A30,IF(A30='Données projet'!$A$166,'Données projet'!$B$166,DO29+DN30-DW29)))</f>
        <v>155.80000000000004</v>
      </c>
      <c r="DP30" s="17">
        <f>DO30*VLOOKUP('Données projet'!$B$14,Paramètres!$A$1:$I$89,3,0)*VLOOKUP('Données projet'!$B$14,Paramètres!$A$1:$I$89,5,0)</f>
        <v>150.68976000000004</v>
      </c>
      <c r="DQ30" s="13">
        <f t="shared" si="43"/>
        <v>38.735294176946205</v>
      </c>
      <c r="DR30" s="20">
        <f t="shared" si="16"/>
        <v>329.91530269151468</v>
      </c>
      <c r="DS30" s="59">
        <f t="shared" si="17"/>
        <v>562.43314556407813</v>
      </c>
      <c r="DT30" s="59">
        <f ca="1">AVERAGE(OFFSET($DS$3,0,0,'Données projet'!$E$14+1,1))-AVERAGE(OFFSET($H$3,0,0,'Données projet'!$E$14+1,1))</f>
        <v>508.3185483454435</v>
      </c>
      <c r="DU30" s="59">
        <f t="shared" si="44"/>
        <v>487.08233034004945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</v>
      </c>
      <c r="N31" s="13">
        <f>IF('Données projet'!$A$36&gt;35,N30+M31-V30,IF(A31&lt;'Données projet'!$A$36,$K$205^A31,IF(A31='Données projet'!$A$36,'Données projet'!$B$36,N30+M31-V30)))</f>
        <v>112</v>
      </c>
      <c r="O31" s="13">
        <f>N31*VLOOKUP('Données projet'!$B$9,Paramètres!$A$1:$I$89,3,0)*VLOOKUP('Données projet'!$B$9,Paramètres!$A$1:$I$89,5,0)</f>
        <v>101.33759999999999</v>
      </c>
      <c r="P31" s="13">
        <f t="shared" si="33"/>
        <v>27.280415454305565</v>
      </c>
      <c r="Q31" s="20">
        <f t="shared" si="2"/>
        <v>224.00971024958213</v>
      </c>
      <c r="R31" s="59">
        <f t="shared" si="0"/>
        <v>458.74117967156621</v>
      </c>
      <c r="S31" s="59">
        <f ca="1">AVERAGE(OFFSET($R$3,0,0,'Données projet'!$E$9+1,1))-AVERAGE(OFFSET($H$3,0,0,'Données projet'!$E$9+1,1))</f>
        <v>569.49435820174267</v>
      </c>
      <c r="T31" s="59">
        <f t="shared" si="34"/>
        <v>295.37730858134739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</v>
      </c>
      <c r="AI31" s="13">
        <f>IF('Données projet'!$A$62&gt;35,AI30+AH31-AQ30,IF(A31&lt;'Données projet'!$A$62,$AF$205^A31,IF(A31='Données projet'!$A$62,'Données projet'!$B$62,AI30+AH31-AQ30)))</f>
        <v>112</v>
      </c>
      <c r="AJ31" s="13">
        <f>AI31*VLOOKUP('Données projet'!$B$10,Paramètres!$A$1:$I$89,3,0)*VLOOKUP('Données projet'!$B$10,Paramètres!$A$1:$I$89,5,0)</f>
        <v>113.568</v>
      </c>
      <c r="AK31" s="13">
        <f t="shared" si="35"/>
        <v>30.17006506205821</v>
      </c>
      <c r="AL31" s="20">
        <f t="shared" si="4"/>
        <v>250.3437966497514</v>
      </c>
      <c r="AM31" s="59">
        <f t="shared" si="5"/>
        <v>485.07526607173548</v>
      </c>
      <c r="AN31" s="59">
        <f ca="1">AVERAGE(OFFSET($AM$3,0,0,'Données projet'!$E$10+1,1))-AVERAGE(OFFSET($H$3,0,0,'Données projet'!$E$10+1,1))</f>
        <v>627.83896530587367</v>
      </c>
      <c r="AO31" s="59">
        <f t="shared" si="36"/>
        <v>323.54927030899489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172.20000000000005</v>
      </c>
      <c r="BE31" s="13">
        <f>BD31*VLOOKUP('Données projet'!$B$11,Paramètres!$A$1:$I$89,3,0)*VLOOKUP('Données projet'!$B$11,Paramètres!$A$1:$I$89,5,0)</f>
        <v>166.55184000000006</v>
      </c>
      <c r="BF31" s="13">
        <f t="shared" si="37"/>
        <v>42.316831835556208</v>
      </c>
      <c r="BG31" s="20">
        <f t="shared" si="7"/>
        <v>363.77960344692718</v>
      </c>
      <c r="BH31" s="59">
        <f t="shared" si="8"/>
        <v>598.51107286891124</v>
      </c>
      <c r="BI31" s="59">
        <f ca="1">AVERAGE(OFFSET($BH$3,0,0,'Données projet'!$E$11+1,1))-AVERAGE(OFFSET($H$3,0,0,'Données projet'!$E$11+1,1))</f>
        <v>508.3185483454435</v>
      </c>
      <c r="BJ31" s="59">
        <f t="shared" si="38"/>
        <v>487.08233034004945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172.20000000000005</v>
      </c>
      <c r="BZ31" s="13">
        <f>BY31*VLOOKUP('Données projet'!$B$12,Paramètres!$A$1:$I$89,3,0)*VLOOKUP('Données projet'!$B$12,Paramètres!$A$1:$I$89,5,0)</f>
        <v>139.68864000000005</v>
      </c>
      <c r="CA31" s="13">
        <f t="shared" si="39"/>
        <v>36.22566805112433</v>
      </c>
      <c r="CB31" s="20">
        <f t="shared" si="10"/>
        <v>306.38408652237496</v>
      </c>
      <c r="CC31" s="59">
        <f t="shared" si="11"/>
        <v>541.11555594435902</v>
      </c>
      <c r="CD31" s="59">
        <f ca="1">AVERAGE(OFFSET($CC$3,0,0,'Données projet'!$E$12+1,1))-AVERAGE(OFFSET($H$3,0,0,'Données projet'!$E$12+1,1))</f>
        <v>436.50252985867149</v>
      </c>
      <c r="CE31" s="59">
        <f t="shared" si="40"/>
        <v>419.00806288456329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172.20000000000005</v>
      </c>
      <c r="CU31" s="17">
        <f>CT31*VLOOKUP('Données projet'!$B$13,Paramètres!$A$1:$I$89,3,0)*VLOOKUP('Données projet'!$B$13,Paramètres!$A$1:$I$89,5,0)</f>
        <v>166.55184000000006</v>
      </c>
      <c r="CV31" s="13">
        <f t="shared" si="41"/>
        <v>42.316831835556208</v>
      </c>
      <c r="CW31" s="20">
        <f t="shared" si="13"/>
        <v>363.77960344692718</v>
      </c>
      <c r="CX31" s="59">
        <f t="shared" si="14"/>
        <v>598.51107286891124</v>
      </c>
      <c r="CY31" s="59">
        <f ca="1">AVERAGE(OFFSET($CX$3,0,0,'Données projet'!$E$13+1,1))-AVERAGE(OFFSET($H$3,0,0,'Données projet'!$E$13+1,1))</f>
        <v>508.3185483454435</v>
      </c>
      <c r="CZ31" s="59">
        <f t="shared" si="42"/>
        <v>487.08233034004945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16.399999999999999</v>
      </c>
      <c r="DO31" s="12">
        <f>IF('Données projet'!$A$166&gt;35,DO30+DN31-DW30,IF(A31&lt;'Données projet'!$A$166,$DL$205^A31,IF(A31='Données projet'!$A$166,'Données projet'!$B$166,DO30+DN31-DW30)))</f>
        <v>172.20000000000005</v>
      </c>
      <c r="DP31" s="17">
        <f>DO31*VLOOKUP('Données projet'!$B$14,Paramètres!$A$1:$I$89,3,0)*VLOOKUP('Données projet'!$B$14,Paramètres!$A$1:$I$89,5,0)</f>
        <v>166.55184000000006</v>
      </c>
      <c r="DQ31" s="13">
        <f t="shared" si="43"/>
        <v>42.316831835556208</v>
      </c>
      <c r="DR31" s="20">
        <f t="shared" si="16"/>
        <v>363.77960344692718</v>
      </c>
      <c r="DS31" s="59">
        <f t="shared" si="17"/>
        <v>598.51107286891124</v>
      </c>
      <c r="DT31" s="59">
        <f ca="1">AVERAGE(OFFSET($DS$3,0,0,'Données projet'!$E$14+1,1))-AVERAGE(OFFSET($H$3,0,0,'Données projet'!$E$14+1,1))</f>
        <v>508.3185483454435</v>
      </c>
      <c r="DU31" s="59">
        <f t="shared" si="44"/>
        <v>487.08233034004945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</v>
      </c>
      <c r="N32" s="13">
        <f>IF('Données projet'!$A$36&gt;35,N31+M32-V31,IF(A32&lt;'Données projet'!$A$36,$K$205^A32,IF(A32='Données projet'!$A$36,'Données projet'!$B$36,N31+M32-V31)))</f>
        <v>116</v>
      </c>
      <c r="O32" s="13">
        <f>N32*VLOOKUP('Données projet'!$B$9,Paramètres!$A$1:$I$89,3,0)*VLOOKUP('Données projet'!$B$9,Paramètres!$A$1:$I$89,5,0)</f>
        <v>104.9568</v>
      </c>
      <c r="P32" s="13">
        <f t="shared" si="33"/>
        <v>28.139541339232373</v>
      </c>
      <c r="Q32" s="20">
        <f t="shared" si="2"/>
        <v>231.8094611658297</v>
      </c>
      <c r="R32" s="59">
        <f t="shared" si="0"/>
        <v>468.73735848860554</v>
      </c>
      <c r="S32" s="59">
        <f ca="1">AVERAGE(OFFSET($R$3,0,0,'Données projet'!$E$9+1,1))-AVERAGE(OFFSET($H$3,0,0,'Données projet'!$E$9+1,1))</f>
        <v>569.49435820174267</v>
      </c>
      <c r="T32" s="59">
        <f t="shared" si="34"/>
        <v>295.37730858134739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</v>
      </c>
      <c r="AI32" s="13">
        <f>IF('Données projet'!$A$62&gt;35,AI31+AH32-AQ31,IF(A32&lt;'Données projet'!$A$62,$AF$205^A32,IF(A32='Données projet'!$A$62,'Données projet'!$B$62,AI31+AH32-AQ31)))</f>
        <v>116</v>
      </c>
      <c r="AJ32" s="13">
        <f>AI32*VLOOKUP('Données projet'!$B$10,Paramètres!$A$1:$I$89,3,0)*VLOOKUP('Données projet'!$B$10,Paramètres!$A$1:$I$89,5,0)</f>
        <v>117.62400000000001</v>
      </c>
      <c r="AK32" s="13">
        <f t="shared" si="35"/>
        <v>31.120192961985413</v>
      </c>
      <c r="AL32" s="20">
        <f t="shared" si="4"/>
        <v>259.06280274212457</v>
      </c>
      <c r="AM32" s="59">
        <f t="shared" si="5"/>
        <v>495.99070006490041</v>
      </c>
      <c r="AN32" s="59">
        <f ca="1">AVERAGE(OFFSET($AM$3,0,0,'Données projet'!$E$10+1,1))-AVERAGE(OFFSET($H$3,0,0,'Données projet'!$E$10+1,1))</f>
        <v>627.83896530587367</v>
      </c>
      <c r="AO32" s="59">
        <f t="shared" si="36"/>
        <v>323.54927030899489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188.60000000000005</v>
      </c>
      <c r="BE32" s="13">
        <f>BD32*VLOOKUP('Données projet'!$B$11,Paramètres!$A$1:$I$89,3,0)*VLOOKUP('Données projet'!$B$11,Paramètres!$A$1:$I$89,5,0)</f>
        <v>182.41392000000005</v>
      </c>
      <c r="BF32" s="13">
        <f t="shared" si="37"/>
        <v>45.85882179981607</v>
      </c>
      <c r="BG32" s="20">
        <f t="shared" si="7"/>
        <v>397.57502530134639</v>
      </c>
      <c r="BH32" s="59">
        <f t="shared" si="8"/>
        <v>634.50292262412222</v>
      </c>
      <c r="BI32" s="59">
        <f ca="1">AVERAGE(OFFSET($BH$3,0,0,'Données projet'!$E$11+1,1))-AVERAGE(OFFSET($H$3,0,0,'Données projet'!$E$11+1,1))</f>
        <v>508.3185483454435</v>
      </c>
      <c r="BJ32" s="59">
        <f t="shared" si="38"/>
        <v>487.08233034004945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188.60000000000005</v>
      </c>
      <c r="BZ32" s="13">
        <f>BY32*VLOOKUP('Données projet'!$B$12,Paramètres!$A$1:$I$89,3,0)*VLOOKUP('Données projet'!$B$12,Paramètres!$A$1:$I$89,5,0)</f>
        <v>152.99232000000006</v>
      </c>
      <c r="CA32" s="13">
        <f t="shared" si="39"/>
        <v>39.257817366657008</v>
      </c>
      <c r="CB32" s="20">
        <f t="shared" si="10"/>
        <v>334.83565591359439</v>
      </c>
      <c r="CC32" s="59">
        <f t="shared" si="11"/>
        <v>571.76355323637017</v>
      </c>
      <c r="CD32" s="59">
        <f ca="1">AVERAGE(OFFSET($CC$3,0,0,'Données projet'!$E$12+1,1))-AVERAGE(OFFSET($H$3,0,0,'Données projet'!$E$12+1,1))</f>
        <v>436.50252985867149</v>
      </c>
      <c r="CE32" s="59">
        <f t="shared" si="40"/>
        <v>419.00806288456329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188.60000000000005</v>
      </c>
      <c r="CU32" s="17">
        <f>CT32*VLOOKUP('Données projet'!$B$13,Paramètres!$A$1:$I$89,3,0)*VLOOKUP('Données projet'!$B$13,Paramètres!$A$1:$I$89,5,0)</f>
        <v>182.41392000000005</v>
      </c>
      <c r="CV32" s="13">
        <f t="shared" si="41"/>
        <v>45.85882179981607</v>
      </c>
      <c r="CW32" s="20">
        <f t="shared" si="13"/>
        <v>397.57502530134639</v>
      </c>
      <c r="CX32" s="59">
        <f t="shared" si="14"/>
        <v>634.50292262412222</v>
      </c>
      <c r="CY32" s="59">
        <f ca="1">AVERAGE(OFFSET($CX$3,0,0,'Données projet'!$E$13+1,1))-AVERAGE(OFFSET($H$3,0,0,'Données projet'!$E$13+1,1))</f>
        <v>508.3185483454435</v>
      </c>
      <c r="CZ32" s="59">
        <f t="shared" si="42"/>
        <v>487.08233034004945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16.399999999999999</v>
      </c>
      <c r="DO32" s="12">
        <f>IF('Données projet'!$A$166&gt;35,DO31+DN32-DW31,IF(A32&lt;'Données projet'!$A$166,$DL$205^A32,IF(A32='Données projet'!$A$166,'Données projet'!$B$166,DO31+DN32-DW31)))</f>
        <v>188.60000000000005</v>
      </c>
      <c r="DP32" s="17">
        <f>DO32*VLOOKUP('Données projet'!$B$14,Paramètres!$A$1:$I$89,3,0)*VLOOKUP('Données projet'!$B$14,Paramètres!$A$1:$I$89,5,0)</f>
        <v>182.41392000000005</v>
      </c>
      <c r="DQ32" s="13">
        <f t="shared" si="43"/>
        <v>45.85882179981607</v>
      </c>
      <c r="DR32" s="20">
        <f t="shared" si="16"/>
        <v>397.57502530134639</v>
      </c>
      <c r="DS32" s="59">
        <f t="shared" si="17"/>
        <v>634.50292262412222</v>
      </c>
      <c r="DT32" s="59">
        <f ca="1">AVERAGE(OFFSET($DS$3,0,0,'Données projet'!$E$14+1,1))-AVERAGE(OFFSET($H$3,0,0,'Données projet'!$E$14+1,1))</f>
        <v>508.3185483454435</v>
      </c>
      <c r="DU32" s="59">
        <f t="shared" si="44"/>
        <v>487.08233034004945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</v>
      </c>
      <c r="N33" s="13">
        <f>IF('Données projet'!$A$36&gt;35,N32+M33-V32,IF(A33&lt;'Données projet'!$A$36,$K$205^A33,IF(A33='Données projet'!$A$36,'Données projet'!$B$36,N32+M33-V32)))</f>
        <v>120</v>
      </c>
      <c r="O33" s="13">
        <f>N33*VLOOKUP('Données projet'!$B$9,Paramètres!$A$1:$I$89,3,0)*VLOOKUP('Données projet'!$B$9,Paramètres!$A$1:$I$89,5,0)</f>
        <v>108.57599999999999</v>
      </c>
      <c r="P33" s="13">
        <f t="shared" si="33"/>
        <v>28.995225061228002</v>
      </c>
      <c r="Q33" s="20">
        <f t="shared" si="2"/>
        <v>239.60321698163875</v>
      </c>
      <c r="R33" s="59">
        <f t="shared" si="0"/>
        <v>478.71064191468076</v>
      </c>
      <c r="S33" s="59">
        <f ca="1">AVERAGE(OFFSET($R$3,0,0,'Données projet'!$E$9+1,1))-AVERAGE(OFFSET($H$3,0,0,'Données projet'!$E$9+1,1))</f>
        <v>569.49435820174267</v>
      </c>
      <c r="T33" s="59">
        <f t="shared" si="34"/>
        <v>295.37730858134739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</v>
      </c>
      <c r="AI33" s="13">
        <f>IF('Données projet'!$A$62&gt;35,AI32+AH33-AQ32,IF(A33&lt;'Données projet'!$A$62,$AF$205^A33,IF(A33='Données projet'!$A$62,'Données projet'!$B$62,AI32+AH33-AQ32)))</f>
        <v>120</v>
      </c>
      <c r="AJ33" s="13">
        <f>AI33*VLOOKUP('Données projet'!$B$10,Paramètres!$A$1:$I$89,3,0)*VLOOKUP('Données projet'!$B$10,Paramètres!$A$1:$I$89,5,0)</f>
        <v>121.68</v>
      </c>
      <c r="AK33" s="13">
        <f t="shared" si="35"/>
        <v>32.066514091456284</v>
      </c>
      <c r="AL33" s="20">
        <f t="shared" si="4"/>
        <v>267.77517870928631</v>
      </c>
      <c r="AM33" s="59">
        <f t="shared" si="5"/>
        <v>506.88260364232826</v>
      </c>
      <c r="AN33" s="59">
        <f ca="1">AVERAGE(OFFSET($AM$3,0,0,'Données projet'!$E$10+1,1))-AVERAGE(OFFSET($H$3,0,0,'Données projet'!$E$10+1,1))</f>
        <v>627.83896530587367</v>
      </c>
      <c r="AO33" s="59">
        <f t="shared" si="36"/>
        <v>323.54927030899489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205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205.00000000000006</v>
      </c>
      <c r="BE33" s="13">
        <f>BD33*VLOOKUP('Données projet'!$B$11,Paramètres!$A$1:$I$89,3,0)*VLOOKUP('Données projet'!$B$11,Paramètres!$A$1:$I$89,5,0)</f>
        <v>198.27600000000007</v>
      </c>
      <c r="BF33" s="13">
        <f t="shared" si="37"/>
        <v>49.365094013592753</v>
      </c>
      <c r="BG33" s="20">
        <f t="shared" si="7"/>
        <v>431.30823874034081</v>
      </c>
      <c r="BH33" s="59">
        <f t="shared" si="8"/>
        <v>670.41566367338282</v>
      </c>
      <c r="BI33" s="59">
        <f ca="1">AVERAGE(OFFSET($BH$3,0,0,'Données projet'!$E$11+1,1))-AVERAGE(OFFSET($H$3,0,0,'Données projet'!$E$11+1,1))</f>
        <v>508.3185483454435</v>
      </c>
      <c r="BJ33" s="59">
        <f t="shared" si="38"/>
        <v>487.08233034004945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205.00000000000006</v>
      </c>
      <c r="BZ33" s="13">
        <f>BY33*VLOOKUP('Données projet'!$B$12,Paramètres!$A$1:$I$89,3,0)*VLOOKUP('Données projet'!$B$12,Paramètres!$A$1:$I$89,5,0)</f>
        <v>166.29600000000005</v>
      </c>
      <c r="CA33" s="13">
        <f t="shared" si="39"/>
        <v>42.259390211399776</v>
      </c>
      <c r="CB33" s="20">
        <f t="shared" si="10"/>
        <v>363.2339712848547</v>
      </c>
      <c r="CC33" s="59">
        <f t="shared" si="11"/>
        <v>602.34139621789666</v>
      </c>
      <c r="CD33" s="59">
        <f ca="1">AVERAGE(OFFSET($CC$3,0,0,'Données projet'!$E$12+1,1))-AVERAGE(OFFSET($H$3,0,0,'Données projet'!$E$12+1,1))</f>
        <v>436.50252985867149</v>
      </c>
      <c r="CE33" s="59">
        <f t="shared" si="40"/>
        <v>419.00806288456329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205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205.00000000000006</v>
      </c>
      <c r="CU33" s="17">
        <f>CT33*VLOOKUP('Données projet'!$B$13,Paramètres!$A$1:$I$89,3,0)*VLOOKUP('Données projet'!$B$13,Paramètres!$A$1:$I$89,5,0)</f>
        <v>198.27600000000007</v>
      </c>
      <c r="CV33" s="13">
        <f t="shared" si="41"/>
        <v>49.365094013592753</v>
      </c>
      <c r="CW33" s="20">
        <f t="shared" si="13"/>
        <v>431.30823874034081</v>
      </c>
      <c r="CX33" s="59">
        <f t="shared" si="14"/>
        <v>670.41566367338282</v>
      </c>
      <c r="CY33" s="59">
        <f ca="1">AVERAGE(OFFSET($CX$3,0,0,'Données projet'!$E$13+1,1))-AVERAGE(OFFSET($H$3,0,0,'Données projet'!$E$13+1,1))</f>
        <v>508.3185483454435</v>
      </c>
      <c r="CZ33" s="59">
        <f t="shared" si="42"/>
        <v>487.08233034004945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205</v>
      </c>
      <c r="DM33" s="12">
        <f>VLOOKUP(A33,'Données projet'!$A$165:$I$185,9,0)</f>
        <v>16.399999999999999</v>
      </c>
      <c r="DN33" s="12">
        <f t="array" ref="DN33">INDEX(DM:DM,MIN(IF(ISNUMBER(DM33:DM229),ROW(DM33:DM229),"")))</f>
        <v>16.399999999999999</v>
      </c>
      <c r="DO33" s="12">
        <f>IF('Données projet'!$A$166&gt;35,DO32+DN33-DW32,IF(A33&lt;'Données projet'!$A$166,$DL$205^A33,IF(A33='Données projet'!$A$166,'Données projet'!$B$166,DO32+DN33-DW32)))</f>
        <v>205.00000000000006</v>
      </c>
      <c r="DP33" s="17">
        <f>DO33*VLOOKUP('Données projet'!$B$14,Paramètres!$A$1:$I$89,3,0)*VLOOKUP('Données projet'!$B$14,Paramètres!$A$1:$I$89,5,0)</f>
        <v>198.27600000000007</v>
      </c>
      <c r="DQ33" s="13">
        <f t="shared" si="43"/>
        <v>49.365094013592753</v>
      </c>
      <c r="DR33" s="20">
        <f t="shared" si="16"/>
        <v>431.30823874034081</v>
      </c>
      <c r="DS33" s="59">
        <f t="shared" si="17"/>
        <v>670.41566367338282</v>
      </c>
      <c r="DT33" s="59">
        <f ca="1">AVERAGE(OFFSET($DS$3,0,0,'Données projet'!$E$14+1,1))-AVERAGE(OFFSET($H$3,0,0,'Données projet'!$E$14+1,1))</f>
        <v>508.3185483454435</v>
      </c>
      <c r="DU33" s="59">
        <f t="shared" si="44"/>
        <v>487.08233034004945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42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</v>
      </c>
      <c r="N34" s="13">
        <f>IF('Données projet'!$A$36&gt;35,N33+M34-V33,IF(A34&lt;'Données projet'!$A$36,$K$205^A34,IF(A34='Données projet'!$A$36,'Données projet'!$B$36,N33+M34-V33)))</f>
        <v>124</v>
      </c>
      <c r="O34" s="13">
        <f>N34*VLOOKUP('Données projet'!$B$9,Paramètres!$A$1:$I$89,3,0)*VLOOKUP('Données projet'!$B$9,Paramètres!$A$1:$I$89,5,0)</f>
        <v>112.1952</v>
      </c>
      <c r="P34" s="13">
        <f t="shared" si="33"/>
        <v>29.847594514573263</v>
      </c>
      <c r="Q34" s="20">
        <f t="shared" si="2"/>
        <v>247.39120044621509</v>
      </c>
      <c r="R34" s="59">
        <f t="shared" si="0"/>
        <v>487.43932365903265</v>
      </c>
      <c r="S34" s="59">
        <f ca="1">AVERAGE(OFFSET($R$3,0,0,'Données projet'!$E$9+1,1))-AVERAGE(OFFSET($H$3,0,0,'Données projet'!$E$9+1,1))</f>
        <v>569.49435820174267</v>
      </c>
      <c r="T34" s="59">
        <f t="shared" si="34"/>
        <v>295.37730858134739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</v>
      </c>
      <c r="AI34" s="13">
        <f>IF('Données projet'!$A$62&gt;35,AI33+AH34-AQ33,IF(A34&lt;'Données projet'!$A$62,$AF$205^A34,IF(A34='Données projet'!$A$62,'Données projet'!$B$62,AI33+AH34-AQ33)))</f>
        <v>124</v>
      </c>
      <c r="AJ34" s="13">
        <f>AI34*VLOOKUP('Données projet'!$B$10,Paramètres!$A$1:$I$89,3,0)*VLOOKUP('Données projet'!$B$10,Paramètres!$A$1:$I$89,5,0)</f>
        <v>125.73600000000002</v>
      </c>
      <c r="AK34" s="13">
        <f t="shared" si="35"/>
        <v>33.0091698918201</v>
      </c>
      <c r="AL34" s="20">
        <f t="shared" si="4"/>
        <v>276.48117089492001</v>
      </c>
      <c r="AM34" s="59">
        <f t="shared" si="5"/>
        <v>516.52929410773754</v>
      </c>
      <c r="AN34" s="59">
        <f ca="1">AVERAGE(OFFSET($AM$3,0,0,'Données projet'!$E$10+1,1))-AVERAGE(OFFSET($H$3,0,0,'Données projet'!$E$10+1,1))</f>
        <v>627.83896530587367</v>
      </c>
      <c r="AO34" s="59">
        <f t="shared" si="36"/>
        <v>323.54927030899489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15.2</v>
      </c>
      <c r="BD34" s="12">
        <f>IF('Données projet'!$A$88&gt;35,BD33+BC34-BL33,IF(A34&lt;'Données projet'!$A$88,$BA$205^A34,IF(A34='Données projet'!$A$88,'Données projet'!$B$88,BD33+BC34-BL33)))</f>
        <v>178.20000000000005</v>
      </c>
      <c r="BE34" s="13">
        <f>BD34*VLOOKUP('Données projet'!$B$11,Paramètres!$A$1:$I$89,3,0)*VLOOKUP('Données projet'!$B$11,Paramètres!$A$1:$I$89,5,0)</f>
        <v>172.35504000000003</v>
      </c>
      <c r="BF34" s="13">
        <f t="shared" si="37"/>
        <v>43.617051120131734</v>
      </c>
      <c r="BG34" s="20">
        <f t="shared" si="7"/>
        <v>376.1513920342295</v>
      </c>
      <c r="BH34" s="59">
        <f t="shared" si="8"/>
        <v>616.19951524704709</v>
      </c>
      <c r="BI34" s="59">
        <f ca="1">AVERAGE(OFFSET($BH$3,0,0,'Données projet'!$E$11+1,1))-AVERAGE(OFFSET($H$3,0,0,'Données projet'!$E$11+1,1))</f>
        <v>508.3185483454435</v>
      </c>
      <c r="BJ34" s="59">
        <f t="shared" si="38"/>
        <v>487.08233034004945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178.20000000000005</v>
      </c>
      <c r="BZ34" s="13">
        <f>BY34*VLOOKUP('Données projet'!$B$12,Paramètres!$A$1:$I$89,3,0)*VLOOKUP('Données projet'!$B$12,Paramètres!$A$1:$I$89,5,0)</f>
        <v>144.55584000000005</v>
      </c>
      <c r="CA34" s="13">
        <f t="shared" si="39"/>
        <v>37.338731344230482</v>
      </c>
      <c r="CB34" s="20">
        <f t="shared" si="10"/>
        <v>316.79971175786812</v>
      </c>
      <c r="CC34" s="59">
        <f t="shared" si="11"/>
        <v>556.84783497068565</v>
      </c>
      <c r="CD34" s="59">
        <f ca="1">AVERAGE(OFFSET($CC$3,0,0,'Données projet'!$E$12+1,1))-AVERAGE(OFFSET($H$3,0,0,'Données projet'!$E$12+1,1))</f>
        <v>436.50252985867149</v>
      </c>
      <c r="CE34" s="59">
        <f t="shared" si="40"/>
        <v>419.00806288456329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15.2</v>
      </c>
      <c r="CT34" s="12">
        <f>IF('Données projet'!$A$140&gt;35,CT33+CS34-DB33,IF(A34&lt;'Données projet'!$A$140,$CQ$205^A34,IF(A34='Données projet'!$A$140,'Données projet'!$B$140,CT33+CS34-DB33)))</f>
        <v>178.20000000000005</v>
      </c>
      <c r="CU34" s="17">
        <f>CT34*VLOOKUP('Données projet'!$B$13,Paramètres!$A$1:$I$89,3,0)*VLOOKUP('Données projet'!$B$13,Paramètres!$A$1:$I$89,5,0)</f>
        <v>172.35504000000003</v>
      </c>
      <c r="CV34" s="13">
        <f t="shared" si="41"/>
        <v>43.617051120131734</v>
      </c>
      <c r="CW34" s="20">
        <f t="shared" si="13"/>
        <v>376.1513920342295</v>
      </c>
      <c r="CX34" s="59">
        <f t="shared" si="14"/>
        <v>616.19951524704709</v>
      </c>
      <c r="CY34" s="59">
        <f ca="1">AVERAGE(OFFSET($CX$3,0,0,'Données projet'!$E$13+1,1))-AVERAGE(OFFSET($H$3,0,0,'Données projet'!$E$13+1,1))</f>
        <v>508.3185483454435</v>
      </c>
      <c r="CZ34" s="59">
        <f t="shared" si="42"/>
        <v>487.08233034004945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15.2</v>
      </c>
      <c r="DO34" s="12">
        <f>IF('Données projet'!$A$166&gt;35,DO33+DN34-DW33,IF(A34&lt;'Données projet'!$A$166,$DL$205^A34,IF(A34='Données projet'!$A$166,'Données projet'!$B$166,DO33+DN34-DW33)))</f>
        <v>178.20000000000005</v>
      </c>
      <c r="DP34" s="17">
        <f>DO34*VLOOKUP('Données projet'!$B$14,Paramètres!$A$1:$I$89,3,0)*VLOOKUP('Données projet'!$B$14,Paramètres!$A$1:$I$89,5,0)</f>
        <v>172.35504000000003</v>
      </c>
      <c r="DQ34" s="13">
        <f t="shared" si="43"/>
        <v>43.617051120131734</v>
      </c>
      <c r="DR34" s="20">
        <f t="shared" si="16"/>
        <v>376.1513920342295</v>
      </c>
      <c r="DS34" s="59">
        <f t="shared" si="17"/>
        <v>616.19951524704709</v>
      </c>
      <c r="DT34" s="59">
        <f ca="1">AVERAGE(OFFSET($DS$3,0,0,'Données projet'!$E$14+1,1))-AVERAGE(OFFSET($H$3,0,0,'Données projet'!$E$14+1,1))</f>
        <v>508.3185483454435</v>
      </c>
      <c r="DU34" s="59">
        <f t="shared" si="44"/>
        <v>487.08233034004945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</v>
      </c>
      <c r="N35" s="13">
        <f>IF('Données projet'!$A$36&gt;35,N34+M35-V34,IF(A35&lt;'Données projet'!$A$36,$K$205^A35,IF(A35='Données projet'!$A$36,'Données projet'!$B$36,N34+M35-V34)))</f>
        <v>128</v>
      </c>
      <c r="O35" s="13">
        <f>N35*VLOOKUP('Données projet'!$B$9,Paramètres!$A$1:$I$89,3,0)*VLOOKUP('Données projet'!$B$9,Paramètres!$A$1:$I$89,5,0)</f>
        <v>115.81439999999999</v>
      </c>
      <c r="P35" s="13">
        <f t="shared" si="33"/>
        <v>30.696768873861398</v>
      </c>
      <c r="Q35" s="20">
        <f t="shared" ref="Q35:Q66" si="53">(O35+P35)*0.475*44/12</f>
        <v>255.17361912197524</v>
      </c>
      <c r="R35" s="59">
        <f t="shared" si="0"/>
        <v>496.14612160250056</v>
      </c>
      <c r="S35" s="59">
        <f ca="1">AVERAGE(OFFSET($R$3,0,0,'Données projet'!$E$9+1,1))-AVERAGE(OFFSET($H$3,0,0,'Données projet'!$E$9+1,1))</f>
        <v>569.49435820174267</v>
      </c>
      <c r="T35" s="59">
        <f t="shared" si="34"/>
        <v>295.37730858134739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</v>
      </c>
      <c r="AI35" s="13">
        <f>IF('Données projet'!$A$62&gt;35,AI34+AH35-AQ34,IF(A35&lt;'Données projet'!$A$62,$AF$205^A35,IF(A35='Données projet'!$A$62,'Données projet'!$B$62,AI34+AH35-AQ34)))</f>
        <v>128</v>
      </c>
      <c r="AJ35" s="13">
        <f>AI35*VLOOKUP('Données projet'!$B$10,Paramètres!$A$1:$I$89,3,0)*VLOOKUP('Données projet'!$B$10,Paramètres!$A$1:$I$89,5,0)</f>
        <v>129.792</v>
      </c>
      <c r="AK35" s="13">
        <f t="shared" si="35"/>
        <v>33.94829216111502</v>
      </c>
      <c r="AL35" s="20">
        <f t="shared" si="4"/>
        <v>285.18100884727528</v>
      </c>
      <c r="AM35" s="59">
        <f t="shared" si="5"/>
        <v>526.15351132780063</v>
      </c>
      <c r="AN35" s="59">
        <f ca="1">AVERAGE(OFFSET($AM$3,0,0,'Données projet'!$E$10+1,1))-AVERAGE(OFFSET($H$3,0,0,'Données projet'!$E$10+1,1))</f>
        <v>627.83896530587367</v>
      </c>
      <c r="AO35" s="59">
        <f t="shared" si="36"/>
        <v>323.54927030899489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15.2</v>
      </c>
      <c r="BD35" s="12">
        <f>IF('Données projet'!$A$88&gt;35,BD34+BC35-BL34,IF(A35&lt;'Données projet'!$A$88,$BA$205^A35,IF(A35='Données projet'!$A$88,'Données projet'!$B$88,BD34+BC35-BL34)))</f>
        <v>193.40000000000003</v>
      </c>
      <c r="BE35" s="13">
        <f>BD35*VLOOKUP('Données projet'!$B$11,Paramètres!$A$1:$I$89,3,0)*VLOOKUP('Données projet'!$B$11,Paramètres!$A$1:$I$89,5,0)</f>
        <v>187.05648000000002</v>
      </c>
      <c r="BF35" s="13">
        <f t="shared" si="37"/>
        <v>46.888592196132471</v>
      </c>
      <c r="BG35" s="20">
        <f t="shared" si="7"/>
        <v>407.45433407493073</v>
      </c>
      <c r="BH35" s="59">
        <f t="shared" si="8"/>
        <v>648.42683655545602</v>
      </c>
      <c r="BI35" s="59">
        <f ca="1">AVERAGE(OFFSET($BH$3,0,0,'Données projet'!$E$11+1,1))-AVERAGE(OFFSET($H$3,0,0,'Données projet'!$E$11+1,1))</f>
        <v>508.3185483454435</v>
      </c>
      <c r="BJ35" s="59">
        <f t="shared" si="38"/>
        <v>487.08233034004945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193.40000000000003</v>
      </c>
      <c r="BZ35" s="13">
        <f>BY35*VLOOKUP('Données projet'!$B$12,Paramètres!$A$1:$I$89,3,0)*VLOOKUP('Données projet'!$B$12,Paramètres!$A$1:$I$89,5,0)</f>
        <v>156.88608000000005</v>
      </c>
      <c r="CA35" s="13">
        <f t="shared" si="39"/>
        <v>40.13936068943687</v>
      </c>
      <c r="CB35" s="20">
        <f t="shared" si="10"/>
        <v>343.1526425341026</v>
      </c>
      <c r="CC35" s="59">
        <f t="shared" si="11"/>
        <v>584.12514501462795</v>
      </c>
      <c r="CD35" s="59">
        <f ca="1">AVERAGE(OFFSET($CC$3,0,0,'Données projet'!$E$12+1,1))-AVERAGE(OFFSET($H$3,0,0,'Données projet'!$E$12+1,1))</f>
        <v>436.50252985867149</v>
      </c>
      <c r="CE35" s="59">
        <f t="shared" si="40"/>
        <v>419.00806288456329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15.2</v>
      </c>
      <c r="CT35" s="12">
        <f>IF('Données projet'!$A$140&gt;35,CT34+CS35-DB34,IF(A35&lt;'Données projet'!$A$140,$CQ$205^A35,IF(A35='Données projet'!$A$140,'Données projet'!$B$140,CT34+CS35-DB34)))</f>
        <v>193.40000000000003</v>
      </c>
      <c r="CU35" s="17">
        <f>CT35*VLOOKUP('Données projet'!$B$13,Paramètres!$A$1:$I$89,3,0)*VLOOKUP('Données projet'!$B$13,Paramètres!$A$1:$I$89,5,0)</f>
        <v>187.05648000000002</v>
      </c>
      <c r="CV35" s="13">
        <f t="shared" si="41"/>
        <v>46.888592196132471</v>
      </c>
      <c r="CW35" s="20">
        <f t="shared" si="13"/>
        <v>407.45433407493073</v>
      </c>
      <c r="CX35" s="59">
        <f t="shared" si="14"/>
        <v>648.42683655545602</v>
      </c>
      <c r="CY35" s="59">
        <f ca="1">AVERAGE(OFFSET($CX$3,0,0,'Données projet'!$E$13+1,1))-AVERAGE(OFFSET($H$3,0,0,'Données projet'!$E$13+1,1))</f>
        <v>508.3185483454435</v>
      </c>
      <c r="CZ35" s="59">
        <f t="shared" si="42"/>
        <v>487.08233034004945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15.2</v>
      </c>
      <c r="DO35" s="12">
        <f>IF('Données projet'!$A$166&gt;35,DO34+DN35-DW34,IF(A35&lt;'Données projet'!$A$166,$DL$205^A35,IF(A35='Données projet'!$A$166,'Données projet'!$B$166,DO34+DN35-DW34)))</f>
        <v>193.40000000000003</v>
      </c>
      <c r="DP35" s="17">
        <f>DO35*VLOOKUP('Données projet'!$B$14,Paramètres!$A$1:$I$89,3,0)*VLOOKUP('Données projet'!$B$14,Paramètres!$A$1:$I$89,5,0)</f>
        <v>187.05648000000002</v>
      </c>
      <c r="DQ35" s="13">
        <f t="shared" si="43"/>
        <v>46.888592196132471</v>
      </c>
      <c r="DR35" s="20">
        <f t="shared" si="16"/>
        <v>407.45433407493073</v>
      </c>
      <c r="DS35" s="59">
        <f t="shared" si="17"/>
        <v>648.42683655545602</v>
      </c>
      <c r="DT35" s="59">
        <f ca="1">AVERAGE(OFFSET($DS$3,0,0,'Données projet'!$E$14+1,1))-AVERAGE(OFFSET($H$3,0,0,'Données projet'!$E$14+1,1))</f>
        <v>508.3185483454435</v>
      </c>
      <c r="DU35" s="59">
        <f t="shared" si="44"/>
        <v>487.08233034004945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</v>
      </c>
      <c r="N36" s="13">
        <f>IF('Données projet'!$A$36&gt;35,N35+M36-V35,IF(A36&lt;'Données projet'!$A$36,$K$205^A36,IF(A36='Données projet'!$A$36,'Données projet'!$B$36,N35+M36-V35)))</f>
        <v>132</v>
      </c>
      <c r="O36" s="13">
        <f>N36*VLOOKUP('Données projet'!$B$9,Paramètres!$A$1:$I$89,3,0)*VLOOKUP('Données projet'!$B$9,Paramètres!$A$1:$I$89,5,0)</f>
        <v>119.43359999999998</v>
      </c>
      <c r="P36" s="13">
        <f t="shared" si="33"/>
        <v>31.54285944220668</v>
      </c>
      <c r="Q36" s="20">
        <f t="shared" si="53"/>
        <v>262.95066686184327</v>
      </c>
      <c r="R36" s="59">
        <f t="shared" si="0"/>
        <v>504.83151269638404</v>
      </c>
      <c r="S36" s="59">
        <f ca="1">AVERAGE(OFFSET($R$3,0,0,'Données projet'!$E$9+1,1))-AVERAGE(OFFSET($H$3,0,0,'Données projet'!$E$9+1,1))</f>
        <v>569.49435820174267</v>
      </c>
      <c r="T36" s="59">
        <f t="shared" si="34"/>
        <v>295.37730858134739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</v>
      </c>
      <c r="AI36" s="13">
        <f>IF('Données projet'!$A$62&gt;35,AI35+AH36-AQ35,IF(A36&lt;'Données projet'!$A$62,$AF$205^A36,IF(A36='Données projet'!$A$62,'Données projet'!$B$62,AI35+AH36-AQ35)))</f>
        <v>132</v>
      </c>
      <c r="AJ36" s="13">
        <f>AI36*VLOOKUP('Données projet'!$B$10,Paramètres!$A$1:$I$89,3,0)*VLOOKUP('Données projet'!$B$10,Paramètres!$A$1:$I$89,5,0)</f>
        <v>133.84800000000001</v>
      </c>
      <c r="AK36" s="13">
        <f t="shared" si="35"/>
        <v>34.884003992121691</v>
      </c>
      <c r="AL36" s="20">
        <f t="shared" si="4"/>
        <v>293.87490695294525</v>
      </c>
      <c r="AM36" s="59">
        <f t="shared" si="5"/>
        <v>535.75575278748602</v>
      </c>
      <c r="AN36" s="59">
        <f ca="1">AVERAGE(OFFSET($AM$3,0,0,'Données projet'!$E$10+1,1))-AVERAGE(OFFSET($H$3,0,0,'Données projet'!$E$10+1,1))</f>
        <v>627.83896530587367</v>
      </c>
      <c r="AO36" s="59">
        <f t="shared" si="36"/>
        <v>323.54927030899489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15.2</v>
      </c>
      <c r="BD36" s="12">
        <f>IF('Données projet'!$A$88&gt;35,BD35+BC36-BL35,IF(A36&lt;'Données projet'!$A$88,$BA$205^A36,IF(A36='Données projet'!$A$88,'Données projet'!$B$88,BD35+BC36-BL35)))</f>
        <v>208.60000000000002</v>
      </c>
      <c r="BE36" s="13">
        <f>BD36*VLOOKUP('Données projet'!$B$11,Paramètres!$A$1:$I$89,3,0)*VLOOKUP('Données projet'!$B$11,Paramètres!$A$1:$I$89,5,0)</f>
        <v>201.75792000000004</v>
      </c>
      <c r="BF36" s="13">
        <f t="shared" si="37"/>
        <v>50.130308345057919</v>
      </c>
      <c r="BG36" s="20">
        <f t="shared" si="7"/>
        <v>438.70533103430927</v>
      </c>
      <c r="BH36" s="59">
        <f t="shared" si="8"/>
        <v>680.58617686884998</v>
      </c>
      <c r="BI36" s="59">
        <f ca="1">AVERAGE(OFFSET($BH$3,0,0,'Données projet'!$E$11+1,1))-AVERAGE(OFFSET($H$3,0,0,'Données projet'!$E$11+1,1))</f>
        <v>508.3185483454435</v>
      </c>
      <c r="BJ36" s="59">
        <f t="shared" si="38"/>
        <v>487.08233034004945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208.60000000000002</v>
      </c>
      <c r="BZ36" s="13">
        <f>BY36*VLOOKUP('Données projet'!$B$12,Paramètres!$A$1:$I$89,3,0)*VLOOKUP('Données projet'!$B$12,Paramètres!$A$1:$I$89,5,0)</f>
        <v>169.21632000000005</v>
      </c>
      <c r="CA36" s="13">
        <f t="shared" si="39"/>
        <v>42.914458163257414</v>
      </c>
      <c r="CB36" s="20">
        <f t="shared" si="10"/>
        <v>369.46110530100674</v>
      </c>
      <c r="CC36" s="59">
        <f t="shared" si="11"/>
        <v>611.34195113554745</v>
      </c>
      <c r="CD36" s="59">
        <f ca="1">AVERAGE(OFFSET($CC$3,0,0,'Données projet'!$E$12+1,1))-AVERAGE(OFFSET($H$3,0,0,'Données projet'!$E$12+1,1))</f>
        <v>436.50252985867149</v>
      </c>
      <c r="CE36" s="59">
        <f t="shared" si="40"/>
        <v>419.00806288456329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15.2</v>
      </c>
      <c r="CT36" s="12">
        <f>IF('Données projet'!$A$140&gt;35,CT35+CS36-DB35,IF(A36&lt;'Données projet'!$A$140,$CQ$205^A36,IF(A36='Données projet'!$A$140,'Données projet'!$B$140,CT35+CS36-DB35)))</f>
        <v>208.60000000000002</v>
      </c>
      <c r="CU36" s="17">
        <f>CT36*VLOOKUP('Données projet'!$B$13,Paramètres!$A$1:$I$89,3,0)*VLOOKUP('Données projet'!$B$13,Paramètres!$A$1:$I$89,5,0)</f>
        <v>201.75792000000004</v>
      </c>
      <c r="CV36" s="13">
        <f t="shared" si="41"/>
        <v>50.130308345057919</v>
      </c>
      <c r="CW36" s="20">
        <f t="shared" si="13"/>
        <v>438.70533103430927</v>
      </c>
      <c r="CX36" s="59">
        <f t="shared" si="14"/>
        <v>680.58617686884998</v>
      </c>
      <c r="CY36" s="59">
        <f ca="1">AVERAGE(OFFSET($CX$3,0,0,'Données projet'!$E$13+1,1))-AVERAGE(OFFSET($H$3,0,0,'Données projet'!$E$13+1,1))</f>
        <v>508.3185483454435</v>
      </c>
      <c r="CZ36" s="59">
        <f t="shared" si="42"/>
        <v>487.08233034004945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15.2</v>
      </c>
      <c r="DO36" s="12">
        <f>IF('Données projet'!$A$166&gt;35,DO35+DN36-DW35,IF(A36&lt;'Données projet'!$A$166,$DL$205^A36,IF(A36='Données projet'!$A$166,'Données projet'!$B$166,DO35+DN36-DW35)))</f>
        <v>208.60000000000002</v>
      </c>
      <c r="DP36" s="17">
        <f>DO36*VLOOKUP('Données projet'!$B$14,Paramètres!$A$1:$I$89,3,0)*VLOOKUP('Données projet'!$B$14,Paramètres!$A$1:$I$89,5,0)</f>
        <v>201.75792000000004</v>
      </c>
      <c r="DQ36" s="13">
        <f t="shared" si="43"/>
        <v>50.130308345057919</v>
      </c>
      <c r="DR36" s="20">
        <f t="shared" si="16"/>
        <v>438.70533103430927</v>
      </c>
      <c r="DS36" s="59">
        <f t="shared" si="17"/>
        <v>680.58617686884998</v>
      </c>
      <c r="DT36" s="59">
        <f ca="1">AVERAGE(OFFSET($DS$3,0,0,'Données projet'!$E$14+1,1))-AVERAGE(OFFSET($H$3,0,0,'Données projet'!$E$14+1,1))</f>
        <v>508.3185483454435</v>
      </c>
      <c r="DU36" s="59">
        <f t="shared" si="44"/>
        <v>487.08233034004945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</v>
      </c>
      <c r="N37" s="13">
        <f>IF('Données projet'!$A$36&gt;35,N36+M37-V36,IF(A37&lt;'Données projet'!$A$36,$K$205^A37,IF(A37='Données projet'!$A$36,'Données projet'!$B$36,N36+M37-V36)))</f>
        <v>136</v>
      </c>
      <c r="O37" s="13">
        <f>N37*VLOOKUP('Données projet'!$B$9,Paramètres!$A$1:$I$89,3,0)*VLOOKUP('Données projet'!$B$9,Paramètres!$A$1:$I$89,5,0)</f>
        <v>123.05279999999999</v>
      </c>
      <c r="P37" s="13">
        <f t="shared" si="33"/>
        <v>32.385970393750824</v>
      </c>
      <c r="Q37" s="20">
        <f t="shared" si="53"/>
        <v>270.72252510244931</v>
      </c>
      <c r="R37" s="59">
        <f t="shared" si="0"/>
        <v>513.49595656456495</v>
      </c>
      <c r="S37" s="59">
        <f ca="1">AVERAGE(OFFSET($R$3,0,0,'Données projet'!$E$9+1,1))-AVERAGE(OFFSET($H$3,0,0,'Données projet'!$E$9+1,1))</f>
        <v>569.49435820174267</v>
      </c>
      <c r="T37" s="59">
        <f t="shared" si="34"/>
        <v>295.37730858134739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</v>
      </c>
      <c r="AI37" s="13">
        <f>IF('Données projet'!$A$62&gt;35,AI36+AH37-AQ36,IF(A37&lt;'Données projet'!$A$62,$AF$205^A37,IF(A37='Données projet'!$A$62,'Données projet'!$B$62,AI36+AH37-AQ36)))</f>
        <v>136</v>
      </c>
      <c r="AJ37" s="13">
        <f>AI37*VLOOKUP('Données projet'!$B$10,Paramètres!$A$1:$I$89,3,0)*VLOOKUP('Données projet'!$B$10,Paramètres!$A$1:$I$89,5,0)</f>
        <v>137.90400000000002</v>
      </c>
      <c r="AK37" s="13">
        <f t="shared" si="35"/>
        <v>35.816420593519346</v>
      </c>
      <c r="AL37" s="20">
        <f t="shared" si="4"/>
        <v>302.56306586704625</v>
      </c>
      <c r="AM37" s="59">
        <f t="shared" si="5"/>
        <v>545.33649732916183</v>
      </c>
      <c r="AN37" s="59">
        <f ca="1">AVERAGE(OFFSET($AM$3,0,0,'Données projet'!$E$10+1,1))-AVERAGE(OFFSET($H$3,0,0,'Données projet'!$E$10+1,1))</f>
        <v>627.83896530587367</v>
      </c>
      <c r="AO37" s="59">
        <f t="shared" si="36"/>
        <v>323.54927030899489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15.2</v>
      </c>
      <c r="BD37" s="12">
        <f>IF('Données projet'!$A$88&gt;35,BD36+BC37-BL36,IF(A37&lt;'Données projet'!$A$88,$BA$205^A37,IF(A37='Données projet'!$A$88,'Données projet'!$B$88,BD36+BC37-BL36)))</f>
        <v>223.8</v>
      </c>
      <c r="BE37" s="13">
        <f>BD37*VLOOKUP('Données projet'!$B$11,Paramètres!$A$1:$I$89,3,0)*VLOOKUP('Données projet'!$B$11,Paramètres!$A$1:$I$89,5,0)</f>
        <v>216.45936</v>
      </c>
      <c r="BF37" s="13">
        <f t="shared" si="37"/>
        <v>53.344619958109483</v>
      </c>
      <c r="BG37" s="20">
        <f t="shared" si="7"/>
        <v>469.90859842704066</v>
      </c>
      <c r="BH37" s="59">
        <f t="shared" si="8"/>
        <v>712.68202988915618</v>
      </c>
      <c r="BI37" s="59">
        <f ca="1">AVERAGE(OFFSET($BH$3,0,0,'Données projet'!$E$11+1,1))-AVERAGE(OFFSET($H$3,0,0,'Données projet'!$E$11+1,1))</f>
        <v>508.3185483454435</v>
      </c>
      <c r="BJ37" s="59">
        <f t="shared" si="38"/>
        <v>487.08233034004945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223.8</v>
      </c>
      <c r="BZ37" s="13">
        <f>BY37*VLOOKUP('Données projet'!$B$12,Paramètres!$A$1:$I$89,3,0)*VLOOKUP('Données projet'!$B$12,Paramètres!$A$1:$I$89,5,0)</f>
        <v>181.54656</v>
      </c>
      <c r="CA37" s="13">
        <f t="shared" si="39"/>
        <v>45.666095761265019</v>
      </c>
      <c r="CB37" s="20">
        <f t="shared" si="10"/>
        <v>395.72870878420321</v>
      </c>
      <c r="CC37" s="59">
        <f t="shared" si="11"/>
        <v>638.50214024631873</v>
      </c>
      <c r="CD37" s="59">
        <f ca="1">AVERAGE(OFFSET($CC$3,0,0,'Données projet'!$E$12+1,1))-AVERAGE(OFFSET($H$3,0,0,'Données projet'!$E$12+1,1))</f>
        <v>436.50252985867149</v>
      </c>
      <c r="CE37" s="59">
        <f t="shared" si="40"/>
        <v>419.00806288456329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15.2</v>
      </c>
      <c r="CT37" s="12">
        <f>IF('Données projet'!$A$140&gt;35,CT36+CS37-DB36,IF(A37&lt;'Données projet'!$A$140,$CQ$205^A37,IF(A37='Données projet'!$A$140,'Données projet'!$B$140,CT36+CS37-DB36)))</f>
        <v>223.8</v>
      </c>
      <c r="CU37" s="17">
        <f>CT37*VLOOKUP('Données projet'!$B$13,Paramètres!$A$1:$I$89,3,0)*VLOOKUP('Données projet'!$B$13,Paramètres!$A$1:$I$89,5,0)</f>
        <v>216.45936</v>
      </c>
      <c r="CV37" s="13">
        <f t="shared" si="41"/>
        <v>53.344619958109483</v>
      </c>
      <c r="CW37" s="20">
        <f t="shared" si="13"/>
        <v>469.90859842704066</v>
      </c>
      <c r="CX37" s="59">
        <f t="shared" si="14"/>
        <v>712.68202988915618</v>
      </c>
      <c r="CY37" s="59">
        <f ca="1">AVERAGE(OFFSET($CX$3,0,0,'Données projet'!$E$13+1,1))-AVERAGE(OFFSET($H$3,0,0,'Données projet'!$E$13+1,1))</f>
        <v>508.3185483454435</v>
      </c>
      <c r="CZ37" s="59">
        <f t="shared" si="42"/>
        <v>487.08233034004945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15.2</v>
      </c>
      <c r="DO37" s="12">
        <f>IF('Données projet'!$A$166&gt;35,DO36+DN37-DW36,IF(A37&lt;'Données projet'!$A$166,$DL$205^A37,IF(A37='Données projet'!$A$166,'Données projet'!$B$166,DO36+DN37-DW36)))</f>
        <v>223.8</v>
      </c>
      <c r="DP37" s="17">
        <f>DO37*VLOOKUP('Données projet'!$B$14,Paramètres!$A$1:$I$89,3,0)*VLOOKUP('Données projet'!$B$14,Paramètres!$A$1:$I$89,5,0)</f>
        <v>216.45936</v>
      </c>
      <c r="DQ37" s="13">
        <f t="shared" si="43"/>
        <v>53.344619958109483</v>
      </c>
      <c r="DR37" s="20">
        <f t="shared" si="16"/>
        <v>469.90859842704066</v>
      </c>
      <c r="DS37" s="59">
        <f t="shared" si="17"/>
        <v>712.68202988915618</v>
      </c>
      <c r="DT37" s="59">
        <f ca="1">AVERAGE(OFFSET($DS$3,0,0,'Données projet'!$E$14+1,1))-AVERAGE(OFFSET($H$3,0,0,'Données projet'!$E$14+1,1))</f>
        <v>508.3185483454435</v>
      </c>
      <c r="DU37" s="59">
        <f t="shared" si="44"/>
        <v>487.08233034004945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</v>
      </c>
      <c r="N38" s="13">
        <f>IF('Données projet'!$A$36&gt;35,N37+M38-V37,IF(A38&lt;'Données projet'!$A$36,$K$205^A38,IF(A38='Données projet'!$A$36,'Données projet'!$B$36,N37+M38-V37)))</f>
        <v>140</v>
      </c>
      <c r="O38" s="13">
        <f>N38*VLOOKUP('Données projet'!$B$9,Paramètres!$A$1:$I$89,3,0)*VLOOKUP('Données projet'!$B$9,Paramètres!$A$1:$I$89,5,0)</f>
        <v>126.67199999999998</v>
      </c>
      <c r="P38" s="13">
        <f t="shared" si="33"/>
        <v>33.226199426361347</v>
      </c>
      <c r="Q38" s="20">
        <f t="shared" si="53"/>
        <v>278.48936400091264</v>
      </c>
      <c r="R38" s="59">
        <f t="shared" si="0"/>
        <v>522.13989672548712</v>
      </c>
      <c r="S38" s="59">
        <f ca="1">AVERAGE(OFFSET($R$3,0,0,'Données projet'!$E$9+1,1))-AVERAGE(OFFSET($H$3,0,0,'Données projet'!$E$9+1,1))</f>
        <v>569.49435820174267</v>
      </c>
      <c r="T38" s="59">
        <f t="shared" si="34"/>
        <v>295.37730858134739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</v>
      </c>
      <c r="AI38" s="13">
        <f>IF('Données projet'!$A$62&gt;35,AI37+AH38-AQ37,IF(A38&lt;'Données projet'!$A$62,$AF$205^A38,IF(A38='Données projet'!$A$62,'Données projet'!$B$62,AI37+AH38-AQ37)))</f>
        <v>140</v>
      </c>
      <c r="AJ38" s="13">
        <f>AI38*VLOOKUP('Données projet'!$B$10,Paramètres!$A$1:$I$89,3,0)*VLOOKUP('Données projet'!$B$10,Paramètres!$A$1:$I$89,5,0)</f>
        <v>141.96</v>
      </c>
      <c r="AK38" s="13">
        <f t="shared" si="35"/>
        <v>36.745650011720485</v>
      </c>
      <c r="AL38" s="20">
        <f t="shared" si="4"/>
        <v>311.24567377041313</v>
      </c>
      <c r="AM38" s="59">
        <f t="shared" si="5"/>
        <v>554.89620649498761</v>
      </c>
      <c r="AN38" s="59">
        <f ca="1">AVERAGE(OFFSET($AM$3,0,0,'Données projet'!$E$10+1,1))-AVERAGE(OFFSET($H$3,0,0,'Données projet'!$E$10+1,1))</f>
        <v>627.83896530587367</v>
      </c>
      <c r="AO38" s="59">
        <f t="shared" si="36"/>
        <v>323.54927030899489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239</v>
      </c>
      <c r="BB38" s="12">
        <f>VLOOKUP(A38,'Données projet'!$A$87:$I$107,9,0)</f>
        <v>15.2</v>
      </c>
      <c r="BC38" s="12">
        <f t="array" ref="BC38">INDEX(BB:BB,MIN(IF(ISNUMBER(BB38:BB234),ROW(BB38:BB234),"")))</f>
        <v>15.2</v>
      </c>
      <c r="BD38" s="12">
        <f>IF('Données projet'!$A$88&gt;35,BD37+BC38-BL37,IF(A38&lt;'Données projet'!$A$88,$BA$205^A38,IF(A38='Données projet'!$A$88,'Données projet'!$B$88,BD37+BC38-BL37)))</f>
        <v>239</v>
      </c>
      <c r="BE38" s="13">
        <f>BD38*VLOOKUP('Données projet'!$B$11,Paramètres!$A$1:$I$89,3,0)*VLOOKUP('Données projet'!$B$11,Paramètres!$A$1:$I$89,5,0)</f>
        <v>231.16080000000002</v>
      </c>
      <c r="BF38" s="13">
        <f t="shared" si="37"/>
        <v>56.533600044116696</v>
      </c>
      <c r="BG38" s="20">
        <f t="shared" si="7"/>
        <v>501.06774674350328</v>
      </c>
      <c r="BH38" s="59">
        <f t="shared" si="8"/>
        <v>744.71827946807775</v>
      </c>
      <c r="BI38" s="59">
        <f ca="1">AVERAGE(OFFSET($BH$3,0,0,'Données projet'!$E$11+1,1))-AVERAGE(OFFSET($H$3,0,0,'Données projet'!$E$11+1,1))</f>
        <v>508.3185483454435</v>
      </c>
      <c r="BJ38" s="59">
        <f t="shared" si="38"/>
        <v>487.08233034004945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0.129</v>
      </c>
      <c r="BO38" s="16">
        <f>IF(ISNA(VLOOKUP(A38,'Données projet'!$A$87:$I$107,7,0)),0%,VLOOKUP(A38,'Données projet'!$A$87:$I$107,7,0))</f>
        <v>0.4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5.7701757439931418</v>
      </c>
      <c r="BR38" s="21">
        <f>EXP(-LN(2)/2)*BR37+(1-EXP(-LN(2)/2))/(LN(2)/2)*BL38*BO38*VLOOKUP('Données projet'!$B$11,Paramètres!$A$1:$I$89,3,0)*0.475*44/12</f>
        <v>15.331331094346369</v>
      </c>
      <c r="BS38" s="22">
        <f t="shared" si="9"/>
        <v>21.10150683833951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239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239</v>
      </c>
      <c r="BZ38" s="13">
        <f>BY38*VLOOKUP('Données projet'!$B$12,Paramètres!$A$1:$I$89,3,0)*VLOOKUP('Données projet'!$B$12,Paramètres!$A$1:$I$89,5,0)</f>
        <v>193.8768</v>
      </c>
      <c r="CA38" s="13">
        <f t="shared" si="39"/>
        <v>48.396048099527611</v>
      </c>
      <c r="CB38" s="20">
        <f t="shared" si="10"/>
        <v>421.95854377334393</v>
      </c>
      <c r="CC38" s="59">
        <f t="shared" si="11"/>
        <v>665.60907649791841</v>
      </c>
      <c r="CD38" s="59">
        <f ca="1">AVERAGE(OFFSET($CC$3,0,0,'Données projet'!$E$12+1,1))-AVERAGE(OFFSET($H$3,0,0,'Données projet'!$E$12+1,1))</f>
        <v>436.50252985867149</v>
      </c>
      <c r="CE38" s="59">
        <f t="shared" si="40"/>
        <v>419.00806288456329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0.129</v>
      </c>
      <c r="CJ38" s="16">
        <f>IF(ISNA(VLOOKUP(A38,'Données projet'!$A$113:$I$133,7,0)),0%,VLOOKUP(A38,'Données projet'!$A$113:$I$133,7,0))</f>
        <v>0.4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4.8395022368974736</v>
      </c>
      <c r="CM38" s="21">
        <f>EXP(-LN(2)/2)*CM37+(1-EXP(-LN(2)/2))/(LN(2)/2)*CG38*CJ38*VLOOKUP('Données projet'!$B$12,Paramètres!$A$1:$I$89,3,0)*0.475*44/12</f>
        <v>12.858535756548568</v>
      </c>
      <c r="CN38" s="22">
        <f t="shared" si="12"/>
        <v>17.698037993446043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239</v>
      </c>
      <c r="CR38" s="12">
        <f>VLOOKUP(A38,'Données projet'!$A$139:$I$159,9,0)</f>
        <v>15.2</v>
      </c>
      <c r="CS38" s="12">
        <f t="array" ref="CS38">INDEX(CR:CR,MIN(IF(ISNUMBER(CR38:CR234),ROW(CR38:CR234),"")))</f>
        <v>15.2</v>
      </c>
      <c r="CT38" s="12">
        <f>IF('Données projet'!$A$140&gt;35,CT37+CS38-DB37,IF(A38&lt;'Données projet'!$A$140,$CQ$205^A38,IF(A38='Données projet'!$A$140,'Données projet'!$B$140,CT37+CS38-DB37)))</f>
        <v>239</v>
      </c>
      <c r="CU38" s="17">
        <f>CT38*VLOOKUP('Données projet'!$B$13,Paramètres!$A$1:$I$89,3,0)*VLOOKUP('Données projet'!$B$13,Paramètres!$A$1:$I$89,5,0)</f>
        <v>231.16080000000002</v>
      </c>
      <c r="CV38" s="13">
        <f t="shared" si="41"/>
        <v>56.533600044116696</v>
      </c>
      <c r="CW38" s="20">
        <f t="shared" si="13"/>
        <v>501.06774674350328</v>
      </c>
      <c r="CX38" s="59">
        <f t="shared" si="14"/>
        <v>744.71827946807775</v>
      </c>
      <c r="CY38" s="59">
        <f ca="1">AVERAGE(OFFSET($CX$3,0,0,'Données projet'!$E$13+1,1))-AVERAGE(OFFSET($H$3,0,0,'Données projet'!$E$13+1,1))</f>
        <v>508.3185483454435</v>
      </c>
      <c r="CZ38" s="59">
        <f t="shared" si="42"/>
        <v>487.08233034004945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0.129</v>
      </c>
      <c r="DE38" s="16">
        <f>IF(ISNA(VLOOKUP(A38,'Données projet'!$A$139:$I$159,7,0)),0%,VLOOKUP(A38,'Données projet'!$A$139:$I$159,7,0))</f>
        <v>0.4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5.7701757439931418</v>
      </c>
      <c r="DH38" s="21">
        <f>EXP(-LN(2)/2)*DH37+(1-EXP(-LN(2)/2))/(LN(2)/2)*DB38*DE38*VLOOKUP('Données projet'!$B$13,Paramètres!$A$1:$I$89,3,0)*0.475*44/12</f>
        <v>15.331331094346369</v>
      </c>
      <c r="DI38" s="22">
        <f t="shared" si="15"/>
        <v>21.10150683833951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239</v>
      </c>
      <c r="DM38" s="12">
        <f>VLOOKUP(A38,'Données projet'!$A$165:$I$185,9,0)</f>
        <v>15.2</v>
      </c>
      <c r="DN38" s="12">
        <f t="array" ref="DN38">INDEX(DM:DM,MIN(IF(ISNUMBER(DM38:DM234),ROW(DM38:DM234),"")))</f>
        <v>15.2</v>
      </c>
      <c r="DO38" s="12">
        <f>IF('Données projet'!$A$166&gt;35,DO37+DN38-DW37,IF(A38&lt;'Données projet'!$A$166,$DL$205^A38,IF(A38='Données projet'!$A$166,'Données projet'!$B$166,DO37+DN38-DW37)))</f>
        <v>239</v>
      </c>
      <c r="DP38" s="17">
        <f>DO38*VLOOKUP('Données projet'!$B$14,Paramètres!$A$1:$I$89,3,0)*VLOOKUP('Données projet'!$B$14,Paramètres!$A$1:$I$89,5,0)</f>
        <v>231.16080000000002</v>
      </c>
      <c r="DQ38" s="13">
        <f t="shared" si="43"/>
        <v>56.533600044116696</v>
      </c>
      <c r="DR38" s="20">
        <f t="shared" si="16"/>
        <v>501.06774674350328</v>
      </c>
      <c r="DS38" s="59">
        <f t="shared" si="17"/>
        <v>744.71827946807775</v>
      </c>
      <c r="DT38" s="59">
        <f ca="1">AVERAGE(OFFSET($DS$3,0,0,'Données projet'!$E$14+1,1))-AVERAGE(OFFSET($H$3,0,0,'Données projet'!$E$14+1,1))</f>
        <v>508.3185483454435</v>
      </c>
      <c r="DU38" s="59">
        <f t="shared" si="44"/>
        <v>487.08233034004945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42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0.129</v>
      </c>
      <c r="DZ38" s="16">
        <f>IF(ISNA(VLOOKUP(A38,'Données projet'!$A$165:$I$185,7,0)),0%,VLOOKUP(A38,'Données projet'!$A$165:$I$185,7,0))</f>
        <v>0.4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5.7701757439931418</v>
      </c>
      <c r="EC38" s="21">
        <f>EXP(-LN(2)/2)*EC37+(1-EXP(-LN(2)/2))/(LN(2)/2)*DW38*DZ38*VLOOKUP('Données projet'!$B$14,Paramètres!$A$1:$I$89,3,0)*0.475*44/12</f>
        <v>15.331331094346369</v>
      </c>
      <c r="ED38" s="22">
        <f t="shared" si="18"/>
        <v>21.10150683833951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144</v>
      </c>
      <c r="L39" s="12">
        <f>VLOOKUP(A39,'Données projet'!$A$35:$I$55,9,0)</f>
        <v>4</v>
      </c>
      <c r="M39" s="12">
        <f t="array" ref="M39">INDEX(L:L,MIN(IF(ISNUMBER(L39:L235),ROW(L39:L235),"")))</f>
        <v>4</v>
      </c>
      <c r="N39" s="13">
        <f>IF('Données projet'!$A$36&gt;35,N38+M39-V38,IF(A39&lt;'Données projet'!$A$36,$K$205^A39,IF(A39='Données projet'!$A$36,'Données projet'!$B$36,N38+M39-V38)))</f>
        <v>144</v>
      </c>
      <c r="O39" s="13">
        <f>N39*VLOOKUP('Données projet'!$B$9,Paramètres!$A$1:$I$89,3,0)*VLOOKUP('Données projet'!$B$9,Paramètres!$A$1:$I$89,5,0)</f>
        <v>130.2912</v>
      </c>
      <c r="P39" s="13">
        <f t="shared" si="33"/>
        <v>34.063638337638949</v>
      </c>
      <c r="Q39" s="20">
        <f t="shared" si="53"/>
        <v>286.25134343805456</v>
      </c>
      <c r="R39" s="59">
        <f t="shared" si="0"/>
        <v>530.76376167908893</v>
      </c>
      <c r="S39" s="59">
        <f ca="1">AVERAGE(OFFSET($R$3,0,0,'Données projet'!$E$9+1,1))-AVERAGE(OFFSET($H$3,0,0,'Données projet'!$E$9+1,1))</f>
        <v>569.49435820174267</v>
      </c>
      <c r="T39" s="59">
        <f t="shared" si="34"/>
        <v>295.37730858134739</v>
      </c>
      <c r="U39" s="15">
        <f>IF(ISNA(VLOOKUP(A39,'Données projet'!$A$35:$I$55,3,0)),0,VLOOKUP(A39,'Données projet'!$A$35:$I$55,3,0))</f>
        <v>1</v>
      </c>
      <c r="V39" s="15">
        <f>IF(ISNA(VLOOKUP(A39,'Données projet'!$A$35:$I$55,4,0)),0,VLOOKUP(A39,'Données projet'!$A$35:$I$55,4,0))</f>
        <v>35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144</v>
      </c>
      <c r="AG39" s="12">
        <f>VLOOKUP(A39,'Données projet'!$A$61:$I$81,9,0)</f>
        <v>4</v>
      </c>
      <c r="AH39" s="12">
        <f t="array" ref="AH39">INDEX(AG:AG,MIN(IF(ISNUMBER(AG39:AG235),ROW(AG39:AG235),"")))</f>
        <v>4</v>
      </c>
      <c r="AI39" s="13">
        <f>IF('Données projet'!$A$62&gt;35,AI38+AH39-AQ38,IF(A39&lt;'Données projet'!$A$62,$AF$205^A39,IF(A39='Données projet'!$A$62,'Données projet'!$B$62,AI38+AH39-AQ38)))</f>
        <v>144</v>
      </c>
      <c r="AJ39" s="13">
        <f>AI39*VLOOKUP('Données projet'!$B$10,Paramètres!$A$1:$I$89,3,0)*VLOOKUP('Données projet'!$B$10,Paramètres!$A$1:$I$89,5,0)</f>
        <v>146.01600000000002</v>
      </c>
      <c r="AK39" s="13">
        <f t="shared" si="35"/>
        <v>37.671793767891103</v>
      </c>
      <c r="AL39" s="20">
        <f t="shared" si="4"/>
        <v>319.92290747907703</v>
      </c>
      <c r="AM39" s="59">
        <f t="shared" si="5"/>
        <v>564.43532572011145</v>
      </c>
      <c r="AN39" s="59">
        <f ca="1">AVERAGE(OFFSET($AM$3,0,0,'Données projet'!$E$10+1,1))-AVERAGE(OFFSET($H$3,0,0,'Données projet'!$E$10+1,1))</f>
        <v>627.83896530587367</v>
      </c>
      <c r="AO39" s="59">
        <f t="shared" si="36"/>
        <v>323.54927030899489</v>
      </c>
      <c r="AP39" s="15">
        <f>IF(ISNA(VLOOKUP(A39,'Données projet'!$A$61:$I$81,3,0)),0,VLOOKUP(A39,'Données projet'!$A$61:$I$81,3,0))</f>
        <v>1</v>
      </c>
      <c r="AQ39" s="15">
        <f>IF(ISNA(VLOOKUP(A39,'Données projet'!$A$61:$I$81,4,0)),0,VLOOKUP(A39,'Données projet'!$A$61:$I$81,4,0))</f>
        <v>35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210.2</v>
      </c>
      <c r="BE39" s="13">
        <f>BD39*VLOOKUP('Données projet'!$B$11,Paramètres!$A$1:$I$89,3,0)*VLOOKUP('Données projet'!$B$11,Paramètres!$A$1:$I$89,5,0)</f>
        <v>203.30543999999998</v>
      </c>
      <c r="BF39" s="13">
        <f t="shared" si="37"/>
        <v>50.469908905835922</v>
      </c>
      <c r="BG39" s="20">
        <f t="shared" si="7"/>
        <v>441.99206601099746</v>
      </c>
      <c r="BH39" s="59">
        <f t="shared" si="8"/>
        <v>686.50448425203194</v>
      </c>
      <c r="BI39" s="59">
        <f ca="1">AVERAGE(OFFSET($BH$3,0,0,'Données projet'!$E$11+1,1))-AVERAGE(OFFSET($H$3,0,0,'Données projet'!$E$11+1,1))</f>
        <v>508.3185483454435</v>
      </c>
      <c r="BJ39" s="59">
        <f t="shared" si="38"/>
        <v>487.08233034004945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5.6123899848332952</v>
      </c>
      <c r="BR39" s="21">
        <f>EXP(-LN(2)/2)*BR38+(1-EXP(-LN(2)/2))/(LN(2)/2)*BL39*BO39*VLOOKUP('Données projet'!$B$11,Paramètres!$A$1:$I$89,3,0)*0.475*44/12</f>
        <v>10.840888181428491</v>
      </c>
      <c r="BS39" s="22">
        <f t="shared" si="9"/>
        <v>16.453278166261786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13.2</v>
      </c>
      <c r="BY39" s="12">
        <f>IF('Données projet'!$A$114&gt;35,BY38+BX39-CG38,IF(A39&lt;'Données projet'!$A$114,$BV$205^A39,IF(A39='Données projet'!$A$114,'Données projet'!$B$114,BY38+BX39-CG38)))</f>
        <v>210.2</v>
      </c>
      <c r="BZ39" s="13">
        <f>BY39*VLOOKUP('Données projet'!$B$12,Paramètres!$A$1:$I$89,3,0)*VLOOKUP('Données projet'!$B$12,Paramètres!$A$1:$I$89,5,0)</f>
        <v>170.51424</v>
      </c>
      <c r="CA39" s="13">
        <f t="shared" si="39"/>
        <v>43.205175985246733</v>
      </c>
      <c r="CB39" s="20">
        <f t="shared" si="10"/>
        <v>372.22798284097138</v>
      </c>
      <c r="CC39" s="59">
        <f t="shared" si="11"/>
        <v>616.74040108200575</v>
      </c>
      <c r="CD39" s="59">
        <f ca="1">AVERAGE(OFFSET($CC$3,0,0,'Données projet'!$E$12+1,1))-AVERAGE(OFFSET($H$3,0,0,'Données projet'!$E$12+1,1))</f>
        <v>436.50252985867149</v>
      </c>
      <c r="CE39" s="59">
        <f t="shared" si="40"/>
        <v>419.00806288456329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4.70716579373115</v>
      </c>
      <c r="CM39" s="21">
        <f>EXP(-LN(2)/2)*CM38+(1-EXP(-LN(2)/2))/(LN(2)/2)*CG39*CJ39*VLOOKUP('Données projet'!$B$12,Paramètres!$A$1:$I$89,3,0)*0.475*44/12</f>
        <v>9.0923578295851861</v>
      </c>
      <c r="CN39" s="22">
        <f t="shared" si="12"/>
        <v>13.799523623316336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13.2</v>
      </c>
      <c r="CT39" s="12">
        <f>IF('Données projet'!$A$140&gt;35,CT38+CS39-DB38,IF(A39&lt;'Données projet'!$A$140,$CQ$205^A39,IF(A39='Données projet'!$A$140,'Données projet'!$B$140,CT38+CS39-DB38)))</f>
        <v>210.2</v>
      </c>
      <c r="CU39" s="17">
        <f>CT39*VLOOKUP('Données projet'!$B$13,Paramètres!$A$1:$I$89,3,0)*VLOOKUP('Données projet'!$B$13,Paramètres!$A$1:$I$89,5,0)</f>
        <v>203.30543999999998</v>
      </c>
      <c r="CV39" s="13">
        <f t="shared" si="41"/>
        <v>50.469908905835922</v>
      </c>
      <c r="CW39" s="20">
        <f t="shared" si="13"/>
        <v>441.99206601099746</v>
      </c>
      <c r="CX39" s="59">
        <f t="shared" si="14"/>
        <v>686.50448425203194</v>
      </c>
      <c r="CY39" s="59">
        <f ca="1">AVERAGE(OFFSET($CX$3,0,0,'Données projet'!$E$13+1,1))-AVERAGE(OFFSET($H$3,0,0,'Données projet'!$E$13+1,1))</f>
        <v>508.3185483454435</v>
      </c>
      <c r="CZ39" s="59">
        <f t="shared" si="42"/>
        <v>487.08233034004945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5.6123899848332952</v>
      </c>
      <c r="DH39" s="21">
        <f>EXP(-LN(2)/2)*DH38+(1-EXP(-LN(2)/2))/(LN(2)/2)*DB39*DE39*VLOOKUP('Données projet'!$B$13,Paramètres!$A$1:$I$89,3,0)*0.475*44/12</f>
        <v>10.840888181428491</v>
      </c>
      <c r="DI39" s="22">
        <f t="shared" si="15"/>
        <v>16.453278166261786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13.2</v>
      </c>
      <c r="DO39" s="12">
        <f>IF('Données projet'!$A$166&gt;35,DO38+DN39-DW38,IF(A39&lt;'Données projet'!$A$166,$DL$205^A39,IF(A39='Données projet'!$A$166,'Données projet'!$B$166,DO38+DN39-DW38)))</f>
        <v>210.2</v>
      </c>
      <c r="DP39" s="17">
        <f>DO39*VLOOKUP('Données projet'!$B$14,Paramètres!$A$1:$I$89,3,0)*VLOOKUP('Données projet'!$B$14,Paramètres!$A$1:$I$89,5,0)</f>
        <v>203.30543999999998</v>
      </c>
      <c r="DQ39" s="13">
        <f t="shared" si="43"/>
        <v>50.469908905835922</v>
      </c>
      <c r="DR39" s="20">
        <f t="shared" si="16"/>
        <v>441.99206601099746</v>
      </c>
      <c r="DS39" s="59">
        <f t="shared" si="17"/>
        <v>686.50448425203194</v>
      </c>
      <c r="DT39" s="59">
        <f ca="1">AVERAGE(OFFSET($DS$3,0,0,'Données projet'!$E$14+1,1))-AVERAGE(OFFSET($H$3,0,0,'Données projet'!$E$14+1,1))</f>
        <v>508.3185483454435</v>
      </c>
      <c r="DU39" s="59">
        <f t="shared" si="44"/>
        <v>487.08233034004945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5.6123899848332952</v>
      </c>
      <c r="EC39" s="21">
        <f>EXP(-LN(2)/2)*EC38+(1-EXP(-LN(2)/2))/(LN(2)/2)*DW39*DZ39*VLOOKUP('Données projet'!$B$14,Paramètres!$A$1:$I$89,3,0)*0.475*44/12</f>
        <v>10.840888181428491</v>
      </c>
      <c r="ED39" s="22">
        <f t="shared" si="18"/>
        <v>16.453278166261786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9.875</v>
      </c>
      <c r="N40" s="13">
        <f>IF('Données projet'!$A$36&gt;35,N39+M40-V39,IF(A40&lt;'Données projet'!$A$36,$K$205^A40,IF(A40='Données projet'!$A$36,'Données projet'!$B$36,N39+M40-V39)))</f>
        <v>118.875</v>
      </c>
      <c r="O40" s="13">
        <f>N40*VLOOKUP('Données projet'!$B$9,Paramètres!$A$1:$I$89,3,0)*VLOOKUP('Données projet'!$B$9,Paramètres!$A$1:$I$89,5,0)</f>
        <v>107.5581</v>
      </c>
      <c r="P40" s="13">
        <f t="shared" si="33"/>
        <v>28.754904352903992</v>
      </c>
      <c r="Q40" s="20">
        <f t="shared" si="53"/>
        <v>237.4118159146411</v>
      </c>
      <c r="R40" s="59">
        <f t="shared" si="0"/>
        <v>482.7711678853122</v>
      </c>
      <c r="S40" s="59">
        <f ca="1">AVERAGE(OFFSET($R$3,0,0,'Données projet'!$E$9+1,1))-AVERAGE(OFFSET($H$3,0,0,'Données projet'!$E$9+1,1))</f>
        <v>569.49435820174267</v>
      </c>
      <c r="T40" s="59">
        <f t="shared" si="34"/>
        <v>295.37730858134739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9.875</v>
      </c>
      <c r="AI40" s="13">
        <f>IF('Données projet'!$A$62&gt;35,AI39+AH40-AQ39,IF(A40&lt;'Données projet'!$A$62,$AF$205^A40,IF(A40='Données projet'!$A$62,'Données projet'!$B$62,AI39+AH40-AQ39)))</f>
        <v>118.875</v>
      </c>
      <c r="AJ40" s="13">
        <f>AI40*VLOOKUP('Données projet'!$B$10,Paramètres!$A$1:$I$89,3,0)*VLOOKUP('Données projet'!$B$10,Paramètres!$A$1:$I$89,5,0)</f>
        <v>120.53925</v>
      </c>
      <c r="AK40" s="13">
        <f t="shared" si="35"/>
        <v>31.800737662279836</v>
      </c>
      <c r="AL40" s="20">
        <f t="shared" si="4"/>
        <v>265.32547851180402</v>
      </c>
      <c r="AM40" s="59">
        <f t="shared" si="5"/>
        <v>510.68483048247515</v>
      </c>
      <c r="AN40" s="59">
        <f ca="1">AVERAGE(OFFSET($AM$3,0,0,'Données projet'!$E$10+1,1))-AVERAGE(OFFSET($H$3,0,0,'Données projet'!$E$10+1,1))</f>
        <v>627.83896530587367</v>
      </c>
      <c r="AO40" s="59">
        <f t="shared" si="36"/>
        <v>323.54927030899489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223.39999999999998</v>
      </c>
      <c r="BE40" s="13">
        <f>BD40*VLOOKUP('Données projet'!$B$11,Paramètres!$A$1:$I$89,3,0)*VLOOKUP('Données projet'!$B$11,Paramètres!$A$1:$I$89,5,0)</f>
        <v>216.07247999999998</v>
      </c>
      <c r="BF40" s="13">
        <f t="shared" si="37"/>
        <v>53.260365780197098</v>
      </c>
      <c r="BG40" s="20">
        <f t="shared" si="7"/>
        <v>469.08803973384329</v>
      </c>
      <c r="BH40" s="59">
        <f t="shared" si="8"/>
        <v>714.44739170451442</v>
      </c>
      <c r="BI40" s="59">
        <f ca="1">AVERAGE(OFFSET($BH$3,0,0,'Données projet'!$E$11+1,1))-AVERAGE(OFFSET($H$3,0,0,'Données projet'!$E$11+1,1))</f>
        <v>508.3185483454435</v>
      </c>
      <c r="BJ40" s="59">
        <f t="shared" si="38"/>
        <v>487.08233034004945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5.4589188855552671</v>
      </c>
      <c r="BR40" s="21">
        <f>EXP(-LN(2)/2)*BR39+(1-EXP(-LN(2)/2))/(LN(2)/2)*BL40*BO40*VLOOKUP('Données projet'!$B$11,Paramètres!$A$1:$I$89,3,0)*0.475*44/12</f>
        <v>7.6656655471731856</v>
      </c>
      <c r="BS40" s="22">
        <f t="shared" si="9"/>
        <v>13.124584432728453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13.2</v>
      </c>
      <c r="BY40" s="12">
        <f>IF('Données projet'!$A$114&gt;35,BY39+BX40-CG39,IF(A40&lt;'Données projet'!$A$114,$BV$205^A40,IF(A40='Données projet'!$A$114,'Données projet'!$B$114,BY39+BX40-CG39)))</f>
        <v>223.39999999999998</v>
      </c>
      <c r="BZ40" s="13">
        <f>BY40*VLOOKUP('Données projet'!$B$12,Paramètres!$A$1:$I$89,3,0)*VLOOKUP('Données projet'!$B$12,Paramètres!$A$1:$I$89,5,0)</f>
        <v>181.22208000000001</v>
      </c>
      <c r="CA40" s="13">
        <f t="shared" si="39"/>
        <v>45.593969287032806</v>
      </c>
      <c r="CB40" s="20">
        <f t="shared" si="10"/>
        <v>395.03795250824879</v>
      </c>
      <c r="CC40" s="59">
        <f t="shared" si="11"/>
        <v>640.39730447891986</v>
      </c>
      <c r="CD40" s="59">
        <f ca="1">AVERAGE(OFFSET($CC$3,0,0,'Données projet'!$E$12+1,1))-AVERAGE(OFFSET($H$3,0,0,'Données projet'!$E$12+1,1))</f>
        <v>436.50252985867149</v>
      </c>
      <c r="CE40" s="59">
        <f t="shared" si="40"/>
        <v>419.00806288456329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4.5784480975624806</v>
      </c>
      <c r="CM40" s="21">
        <f>EXP(-LN(2)/2)*CM39+(1-EXP(-LN(2)/2))/(LN(2)/2)*CG40*CJ40*VLOOKUP('Données projet'!$B$12,Paramètres!$A$1:$I$89,3,0)*0.475*44/12</f>
        <v>6.4292678782742847</v>
      </c>
      <c r="CN40" s="22">
        <f t="shared" si="12"/>
        <v>11.007715975836765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13.2</v>
      </c>
      <c r="CT40" s="12">
        <f>IF('Données projet'!$A$140&gt;35,CT39+CS40-DB39,IF(A40&lt;'Données projet'!$A$140,$CQ$205^A40,IF(A40='Données projet'!$A$140,'Données projet'!$B$140,CT39+CS40-DB39)))</f>
        <v>223.39999999999998</v>
      </c>
      <c r="CU40" s="17">
        <f>CT40*VLOOKUP('Données projet'!$B$13,Paramètres!$A$1:$I$89,3,0)*VLOOKUP('Données projet'!$B$13,Paramètres!$A$1:$I$89,5,0)</f>
        <v>216.07247999999998</v>
      </c>
      <c r="CV40" s="13">
        <f t="shared" si="41"/>
        <v>53.260365780197098</v>
      </c>
      <c r="CW40" s="20">
        <f t="shared" si="13"/>
        <v>469.08803973384329</v>
      </c>
      <c r="CX40" s="59">
        <f t="shared" si="14"/>
        <v>714.44739170451442</v>
      </c>
      <c r="CY40" s="59">
        <f ca="1">AVERAGE(OFFSET($CX$3,0,0,'Données projet'!$E$13+1,1))-AVERAGE(OFFSET($H$3,0,0,'Données projet'!$E$13+1,1))</f>
        <v>508.3185483454435</v>
      </c>
      <c r="CZ40" s="59">
        <f t="shared" si="42"/>
        <v>487.08233034004945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5.4589188855552671</v>
      </c>
      <c r="DH40" s="21">
        <f>EXP(-LN(2)/2)*DH39+(1-EXP(-LN(2)/2))/(LN(2)/2)*DB40*DE40*VLOOKUP('Données projet'!$B$13,Paramètres!$A$1:$I$89,3,0)*0.475*44/12</f>
        <v>7.6656655471731856</v>
      </c>
      <c r="DI40" s="22">
        <f t="shared" si="15"/>
        <v>13.124584432728453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13.2</v>
      </c>
      <c r="DO40" s="12">
        <f>IF('Données projet'!$A$166&gt;35,DO39+DN40-DW39,IF(A40&lt;'Données projet'!$A$166,$DL$205^A40,IF(A40='Données projet'!$A$166,'Données projet'!$B$166,DO39+DN40-DW39)))</f>
        <v>223.39999999999998</v>
      </c>
      <c r="DP40" s="17">
        <f>DO40*VLOOKUP('Données projet'!$B$14,Paramètres!$A$1:$I$89,3,0)*VLOOKUP('Données projet'!$B$14,Paramètres!$A$1:$I$89,5,0)</f>
        <v>216.07247999999998</v>
      </c>
      <c r="DQ40" s="13">
        <f t="shared" si="43"/>
        <v>53.260365780197098</v>
      </c>
      <c r="DR40" s="20">
        <f t="shared" si="16"/>
        <v>469.08803973384329</v>
      </c>
      <c r="DS40" s="59">
        <f t="shared" si="17"/>
        <v>714.44739170451442</v>
      </c>
      <c r="DT40" s="59">
        <f ca="1">AVERAGE(OFFSET($DS$3,0,0,'Données projet'!$E$14+1,1))-AVERAGE(OFFSET($H$3,0,0,'Données projet'!$E$14+1,1))</f>
        <v>508.3185483454435</v>
      </c>
      <c r="DU40" s="59">
        <f t="shared" si="44"/>
        <v>487.08233034004945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5.4589188855552671</v>
      </c>
      <c r="EC40" s="21">
        <f>EXP(-LN(2)/2)*EC39+(1-EXP(-LN(2)/2))/(LN(2)/2)*DW40*DZ40*VLOOKUP('Données projet'!$B$14,Paramètres!$A$1:$I$89,3,0)*0.475*44/12</f>
        <v>7.6656655471731856</v>
      </c>
      <c r="ED40" s="22">
        <f t="shared" si="18"/>
        <v>13.124584432728453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9.875</v>
      </c>
      <c r="N41" s="13">
        <f>IF('Données projet'!$A$36&gt;35,N40+M41-V40,IF(A41&lt;'Données projet'!$A$36,$K$205^A41,IF(A41='Données projet'!$A$36,'Données projet'!$B$36,N40+M41-V40)))</f>
        <v>128.75</v>
      </c>
      <c r="O41" s="13">
        <f>N41*VLOOKUP('Données projet'!$B$9,Paramètres!$A$1:$I$89,3,0)*VLOOKUP('Données projet'!$B$9,Paramètres!$A$1:$I$89,5,0)</f>
        <v>116.49299999999999</v>
      </c>
      <c r="P41" s="13">
        <f t="shared" si="33"/>
        <v>30.855642519307857</v>
      </c>
      <c r="Q41" s="20">
        <f t="shared" si="53"/>
        <v>256.63221905446113</v>
      </c>
      <c r="R41" s="59">
        <f t="shared" si="0"/>
        <v>502.82381234801983</v>
      </c>
      <c r="S41" s="59">
        <f ca="1">AVERAGE(OFFSET($R$3,0,0,'Données projet'!$E$9+1,1))-AVERAGE(OFFSET($H$3,0,0,'Données projet'!$E$9+1,1))</f>
        <v>569.49435820174267</v>
      </c>
      <c r="T41" s="59">
        <f t="shared" si="34"/>
        <v>295.37730858134739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9.875</v>
      </c>
      <c r="AI41" s="13">
        <f>IF('Données projet'!$A$62&gt;35,AI40+AH41-AQ40,IF(A41&lt;'Données projet'!$A$62,$AF$205^A41,IF(A41='Données projet'!$A$62,'Données projet'!$B$62,AI40+AH41-AQ40)))</f>
        <v>128.75</v>
      </c>
      <c r="AJ41" s="13">
        <f>AI41*VLOOKUP('Données projet'!$B$10,Paramètres!$A$1:$I$89,3,0)*VLOOKUP('Données projet'!$B$10,Paramètres!$A$1:$I$89,5,0)</f>
        <v>130.55250000000001</v>
      </c>
      <c r="AK41" s="13">
        <f t="shared" si="35"/>
        <v>34.12399433206599</v>
      </c>
      <c r="AL41" s="20">
        <f t="shared" si="4"/>
        <v>286.81156096168161</v>
      </c>
      <c r="AM41" s="59">
        <f t="shared" si="5"/>
        <v>533.00315425524036</v>
      </c>
      <c r="AN41" s="59">
        <f ca="1">AVERAGE(OFFSET($AM$3,0,0,'Données projet'!$E$10+1,1))-AVERAGE(OFFSET($H$3,0,0,'Données projet'!$E$10+1,1))</f>
        <v>627.83896530587367</v>
      </c>
      <c r="AO41" s="59">
        <f t="shared" si="36"/>
        <v>323.54927030899489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236.59999999999997</v>
      </c>
      <c r="BE41" s="13">
        <f>BD41*VLOOKUP('Données projet'!$B$11,Paramètres!$A$1:$I$89,3,0)*VLOOKUP('Données projet'!$B$11,Paramètres!$A$1:$I$89,5,0)</f>
        <v>228.83951999999996</v>
      </c>
      <c r="BF41" s="13">
        <f t="shared" si="37"/>
        <v>56.031684800405138</v>
      </c>
      <c r="BG41" s="20">
        <f t="shared" si="7"/>
        <v>496.15068169403889</v>
      </c>
      <c r="BH41" s="59">
        <f t="shared" si="8"/>
        <v>742.34227498759765</v>
      </c>
      <c r="BI41" s="59">
        <f ca="1">AVERAGE(OFFSET($BH$3,0,0,'Données projet'!$E$11+1,1))-AVERAGE(OFFSET($H$3,0,0,'Données projet'!$E$11+1,1))</f>
        <v>508.3185483454435</v>
      </c>
      <c r="BJ41" s="59">
        <f t="shared" si="38"/>
        <v>487.08233034004945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5.3096444615576903</v>
      </c>
      <c r="BR41" s="21">
        <f>EXP(-LN(2)/2)*BR40+(1-EXP(-LN(2)/2))/(LN(2)/2)*BL41*BO41*VLOOKUP('Données projet'!$B$11,Paramètres!$A$1:$I$89,3,0)*0.475*44/12</f>
        <v>5.4204440907142466</v>
      </c>
      <c r="BS41" s="22">
        <f t="shared" si="9"/>
        <v>10.730088552271937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13.2</v>
      </c>
      <c r="BY41" s="12">
        <f>IF('Données projet'!$A$114&gt;35,BY40+BX41-CG40,IF(A41&lt;'Données projet'!$A$114,$BV$205^A41,IF(A41='Données projet'!$A$114,'Données projet'!$B$114,BY40+BX41-CG40)))</f>
        <v>236.59999999999997</v>
      </c>
      <c r="BZ41" s="13">
        <f>BY41*VLOOKUP('Données projet'!$B$12,Paramètres!$A$1:$I$89,3,0)*VLOOKUP('Données projet'!$B$12,Paramètres!$A$1:$I$89,5,0)</f>
        <v>191.92991999999998</v>
      </c>
      <c r="CA41" s="13">
        <f t="shared" si="39"/>
        <v>47.966379473124988</v>
      </c>
      <c r="CB41" s="20">
        <f t="shared" si="10"/>
        <v>417.81938824902596</v>
      </c>
      <c r="CC41" s="59">
        <f t="shared" si="11"/>
        <v>664.01098154258466</v>
      </c>
      <c r="CD41" s="59">
        <f ca="1">AVERAGE(OFFSET($CC$3,0,0,'Données projet'!$E$12+1,1))-AVERAGE(OFFSET($H$3,0,0,'Données projet'!$E$12+1,1))</f>
        <v>436.50252985867149</v>
      </c>
      <c r="CE41" s="59">
        <f t="shared" si="40"/>
        <v>419.00806288456329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4.4532501935645135</v>
      </c>
      <c r="CM41" s="21">
        <f>EXP(-LN(2)/2)*CM40+(1-EXP(-LN(2)/2))/(LN(2)/2)*CG41*CJ41*VLOOKUP('Données projet'!$B$12,Paramètres!$A$1:$I$89,3,0)*0.475*44/12</f>
        <v>4.546178914792594</v>
      </c>
      <c r="CN41" s="22">
        <f t="shared" si="12"/>
        <v>8.9994291083571074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13.2</v>
      </c>
      <c r="CT41" s="12">
        <f>IF('Données projet'!$A$140&gt;35,CT40+CS41-DB40,IF(A41&lt;'Données projet'!$A$140,$CQ$205^A41,IF(A41='Données projet'!$A$140,'Données projet'!$B$140,CT40+CS41-DB40)))</f>
        <v>236.59999999999997</v>
      </c>
      <c r="CU41" s="17">
        <f>CT41*VLOOKUP('Données projet'!$B$13,Paramètres!$A$1:$I$89,3,0)*VLOOKUP('Données projet'!$B$13,Paramètres!$A$1:$I$89,5,0)</f>
        <v>228.83951999999996</v>
      </c>
      <c r="CV41" s="13">
        <f t="shared" si="41"/>
        <v>56.031684800405138</v>
      </c>
      <c r="CW41" s="20">
        <f t="shared" si="13"/>
        <v>496.15068169403889</v>
      </c>
      <c r="CX41" s="59">
        <f t="shared" si="14"/>
        <v>742.34227498759765</v>
      </c>
      <c r="CY41" s="59">
        <f ca="1">AVERAGE(OFFSET($CX$3,0,0,'Données projet'!$E$13+1,1))-AVERAGE(OFFSET($H$3,0,0,'Données projet'!$E$13+1,1))</f>
        <v>508.3185483454435</v>
      </c>
      <c r="CZ41" s="59">
        <f t="shared" si="42"/>
        <v>487.08233034004945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5.3096444615576903</v>
      </c>
      <c r="DH41" s="21">
        <f>EXP(-LN(2)/2)*DH40+(1-EXP(-LN(2)/2))/(LN(2)/2)*DB41*DE41*VLOOKUP('Données projet'!$B$13,Paramètres!$A$1:$I$89,3,0)*0.475*44/12</f>
        <v>5.4204440907142466</v>
      </c>
      <c r="DI41" s="22">
        <f t="shared" si="15"/>
        <v>10.730088552271937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13.2</v>
      </c>
      <c r="DO41" s="12">
        <f>IF('Données projet'!$A$166&gt;35,DO40+DN41-DW40,IF(A41&lt;'Données projet'!$A$166,$DL$205^A41,IF(A41='Données projet'!$A$166,'Données projet'!$B$166,DO40+DN41-DW40)))</f>
        <v>236.59999999999997</v>
      </c>
      <c r="DP41" s="17">
        <f>DO41*VLOOKUP('Données projet'!$B$14,Paramètres!$A$1:$I$89,3,0)*VLOOKUP('Données projet'!$B$14,Paramètres!$A$1:$I$89,5,0)</f>
        <v>228.83951999999996</v>
      </c>
      <c r="DQ41" s="13">
        <f t="shared" si="43"/>
        <v>56.031684800405138</v>
      </c>
      <c r="DR41" s="20">
        <f t="shared" si="16"/>
        <v>496.15068169403889</v>
      </c>
      <c r="DS41" s="59">
        <f t="shared" si="17"/>
        <v>742.34227498759765</v>
      </c>
      <c r="DT41" s="59">
        <f ca="1">AVERAGE(OFFSET($DS$3,0,0,'Données projet'!$E$14+1,1))-AVERAGE(OFFSET($H$3,0,0,'Données projet'!$E$14+1,1))</f>
        <v>508.3185483454435</v>
      </c>
      <c r="DU41" s="59">
        <f t="shared" si="44"/>
        <v>487.08233034004945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5.3096444615576903</v>
      </c>
      <c r="EC41" s="21">
        <f>EXP(-LN(2)/2)*EC40+(1-EXP(-LN(2)/2))/(LN(2)/2)*DW41*DZ41*VLOOKUP('Données projet'!$B$14,Paramètres!$A$1:$I$89,3,0)*0.475*44/12</f>
        <v>5.4204440907142466</v>
      </c>
      <c r="ED41" s="22">
        <f t="shared" si="18"/>
        <v>10.730088552271937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9.875</v>
      </c>
      <c r="N42" s="13">
        <f>IF('Données projet'!$A$36&gt;35,N41+M42-V41,IF(A42&lt;'Données projet'!$A$36,$K$205^A42,IF(A42='Données projet'!$A$36,'Données projet'!$B$36,N41+M42-V41)))</f>
        <v>138.625</v>
      </c>
      <c r="O42" s="13">
        <f>N42*VLOOKUP('Données projet'!$B$9,Paramètres!$A$1:$I$89,3,0)*VLOOKUP('Données projet'!$B$9,Paramètres!$A$1:$I$89,5,0)</f>
        <v>125.42789999999999</v>
      </c>
      <c r="P42" s="13">
        <f t="shared" si="33"/>
        <v>32.937689922759176</v>
      </c>
      <c r="Q42" s="20">
        <f t="shared" si="53"/>
        <v>275.82006911547222</v>
      </c>
      <c r="R42" s="59">
        <f t="shared" si="0"/>
        <v>522.82946620557937</v>
      </c>
      <c r="S42" s="59">
        <f ca="1">AVERAGE(OFFSET($R$3,0,0,'Données projet'!$E$9+1,1))-AVERAGE(OFFSET($H$3,0,0,'Données projet'!$E$9+1,1))</f>
        <v>569.49435820174267</v>
      </c>
      <c r="T42" s="59">
        <f t="shared" si="34"/>
        <v>295.37730858134739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9.875</v>
      </c>
      <c r="AI42" s="13">
        <f>IF('Données projet'!$A$62&gt;35,AI41+AH42-AQ41,IF(A42&lt;'Données projet'!$A$62,$AF$205^A42,IF(A42='Données projet'!$A$62,'Données projet'!$B$62,AI41+AH42-AQ41)))</f>
        <v>138.625</v>
      </c>
      <c r="AJ42" s="13">
        <f>AI42*VLOOKUP('Données projet'!$B$10,Paramètres!$A$1:$I$89,3,0)*VLOOKUP('Données projet'!$B$10,Paramètres!$A$1:$I$89,5,0)</f>
        <v>140.56575000000001</v>
      </c>
      <c r="AK42" s="13">
        <f t="shared" si="35"/>
        <v>36.426580439291158</v>
      </c>
      <c r="AL42" s="20">
        <f t="shared" si="4"/>
        <v>308.26164218176535</v>
      </c>
      <c r="AM42" s="59">
        <f t="shared" si="5"/>
        <v>555.2710392718725</v>
      </c>
      <c r="AN42" s="59">
        <f ca="1">AVERAGE(OFFSET($AM$3,0,0,'Données projet'!$E$10+1,1))-AVERAGE(OFFSET($H$3,0,0,'Données projet'!$E$10+1,1))</f>
        <v>627.83896530587367</v>
      </c>
      <c r="AO42" s="59">
        <f t="shared" si="36"/>
        <v>323.54927030899489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249.79999999999995</v>
      </c>
      <c r="BE42" s="13">
        <f>BD42*VLOOKUP('Données projet'!$B$11,Paramètres!$A$1:$I$89,3,0)*VLOOKUP('Données projet'!$B$11,Paramètres!$A$1:$I$89,5,0)</f>
        <v>241.60655999999997</v>
      </c>
      <c r="BF42" s="13">
        <f t="shared" si="37"/>
        <v>58.785055361026963</v>
      </c>
      <c r="BG42" s="20">
        <f t="shared" si="7"/>
        <v>523.18206342045517</v>
      </c>
      <c r="BH42" s="59">
        <f t="shared" si="8"/>
        <v>770.19146051056225</v>
      </c>
      <c r="BI42" s="59">
        <f ca="1">AVERAGE(OFFSET($BH$3,0,0,'Données projet'!$E$11+1,1))-AVERAGE(OFFSET($H$3,0,0,'Données projet'!$E$11+1,1))</f>
        <v>508.3185483454435</v>
      </c>
      <c r="BJ42" s="59">
        <f t="shared" si="38"/>
        <v>487.08233034004945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5.1644519545343286</v>
      </c>
      <c r="BR42" s="21">
        <f>EXP(-LN(2)/2)*BR41+(1-EXP(-LN(2)/2))/(LN(2)/2)*BL42*BO42*VLOOKUP('Données projet'!$B$11,Paramètres!$A$1:$I$89,3,0)*0.475*44/12</f>
        <v>3.8328327735865937</v>
      </c>
      <c r="BS42" s="22">
        <f t="shared" si="9"/>
        <v>8.9972847281209223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13.2</v>
      </c>
      <c r="BY42" s="12">
        <f>IF('Données projet'!$A$114&gt;35,BY41+BX42-CG41,IF(A42&lt;'Données projet'!$A$114,$BV$205^A42,IF(A42='Données projet'!$A$114,'Données projet'!$B$114,BY41+BX42-CG41)))</f>
        <v>249.79999999999995</v>
      </c>
      <c r="BZ42" s="13">
        <f>BY42*VLOOKUP('Données projet'!$B$12,Paramètres!$A$1:$I$89,3,0)*VLOOKUP('Données projet'!$B$12,Paramètres!$A$1:$I$89,5,0)</f>
        <v>202.63775999999999</v>
      </c>
      <c r="CA42" s="13">
        <f t="shared" si="39"/>
        <v>50.323424734415482</v>
      </c>
      <c r="CB42" s="20">
        <f t="shared" si="10"/>
        <v>440.57406341244024</v>
      </c>
      <c r="CC42" s="59">
        <f t="shared" si="11"/>
        <v>687.58346050254738</v>
      </c>
      <c r="CD42" s="59">
        <f ca="1">AVERAGE(OFFSET($CC$3,0,0,'Données projet'!$E$12+1,1))-AVERAGE(OFFSET($H$3,0,0,'Données projet'!$E$12+1,1))</f>
        <v>436.50252985867149</v>
      </c>
      <c r="CE42" s="59">
        <f t="shared" si="40"/>
        <v>419.00806288456329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4.3314758328352418</v>
      </c>
      <c r="CM42" s="21">
        <f>EXP(-LN(2)/2)*CM41+(1-EXP(-LN(2)/2))/(LN(2)/2)*CG42*CJ42*VLOOKUP('Données projet'!$B$12,Paramètres!$A$1:$I$89,3,0)*0.475*44/12</f>
        <v>3.2146339391371432</v>
      </c>
      <c r="CN42" s="22">
        <f t="shared" si="12"/>
        <v>7.5461097719723851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13.2</v>
      </c>
      <c r="CT42" s="12">
        <f>IF('Données projet'!$A$140&gt;35,CT41+CS42-DB41,IF(A42&lt;'Données projet'!$A$140,$CQ$205^A42,IF(A42='Données projet'!$A$140,'Données projet'!$B$140,CT41+CS42-DB41)))</f>
        <v>249.79999999999995</v>
      </c>
      <c r="CU42" s="17">
        <f>CT42*VLOOKUP('Données projet'!$B$13,Paramètres!$A$1:$I$89,3,0)*VLOOKUP('Données projet'!$B$13,Paramètres!$A$1:$I$89,5,0)</f>
        <v>241.60655999999997</v>
      </c>
      <c r="CV42" s="13">
        <f t="shared" si="41"/>
        <v>58.785055361026963</v>
      </c>
      <c r="CW42" s="20">
        <f t="shared" si="13"/>
        <v>523.18206342045517</v>
      </c>
      <c r="CX42" s="59">
        <f t="shared" si="14"/>
        <v>770.19146051056225</v>
      </c>
      <c r="CY42" s="59">
        <f ca="1">AVERAGE(OFFSET($CX$3,0,0,'Données projet'!$E$13+1,1))-AVERAGE(OFFSET($H$3,0,0,'Données projet'!$E$13+1,1))</f>
        <v>508.3185483454435</v>
      </c>
      <c r="CZ42" s="59">
        <f t="shared" si="42"/>
        <v>487.08233034004945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5.1644519545343286</v>
      </c>
      <c r="DH42" s="21">
        <f>EXP(-LN(2)/2)*DH41+(1-EXP(-LN(2)/2))/(LN(2)/2)*DB42*DE42*VLOOKUP('Données projet'!$B$13,Paramètres!$A$1:$I$89,3,0)*0.475*44/12</f>
        <v>3.8328327735865937</v>
      </c>
      <c r="DI42" s="22">
        <f t="shared" si="15"/>
        <v>8.9972847281209223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13.2</v>
      </c>
      <c r="DO42" s="12">
        <f>IF('Données projet'!$A$166&gt;35,DO41+DN42-DW41,IF(A42&lt;'Données projet'!$A$166,$DL$205^A42,IF(A42='Données projet'!$A$166,'Données projet'!$B$166,DO41+DN42-DW41)))</f>
        <v>249.79999999999995</v>
      </c>
      <c r="DP42" s="17">
        <f>DO42*VLOOKUP('Données projet'!$B$14,Paramètres!$A$1:$I$89,3,0)*VLOOKUP('Données projet'!$B$14,Paramètres!$A$1:$I$89,5,0)</f>
        <v>241.60655999999997</v>
      </c>
      <c r="DQ42" s="13">
        <f t="shared" si="43"/>
        <v>58.785055361026963</v>
      </c>
      <c r="DR42" s="20">
        <f t="shared" si="16"/>
        <v>523.18206342045517</v>
      </c>
      <c r="DS42" s="59">
        <f t="shared" si="17"/>
        <v>770.19146051056225</v>
      </c>
      <c r="DT42" s="59">
        <f ca="1">AVERAGE(OFFSET($DS$3,0,0,'Données projet'!$E$14+1,1))-AVERAGE(OFFSET($H$3,0,0,'Données projet'!$E$14+1,1))</f>
        <v>508.3185483454435</v>
      </c>
      <c r="DU42" s="59">
        <f t="shared" si="44"/>
        <v>487.08233034004945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5.1644519545343286</v>
      </c>
      <c r="EC42" s="21">
        <f>EXP(-LN(2)/2)*EC41+(1-EXP(-LN(2)/2))/(LN(2)/2)*DW42*DZ42*VLOOKUP('Données projet'!$B$14,Paramètres!$A$1:$I$89,3,0)*0.475*44/12</f>
        <v>3.8328327735865937</v>
      </c>
      <c r="ED42" s="22">
        <f t="shared" si="18"/>
        <v>8.9972847281209223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9.875</v>
      </c>
      <c r="N43" s="13">
        <f>IF('Données projet'!$A$36&gt;35,N42+M43-V42,IF(A43&lt;'Données projet'!$A$36,$K$205^A43,IF(A43='Données projet'!$A$36,'Données projet'!$B$36,N42+M43-V42)))</f>
        <v>148.5</v>
      </c>
      <c r="O43" s="13">
        <f>N43*VLOOKUP('Données projet'!$B$9,Paramètres!$A$1:$I$89,3,0)*VLOOKUP('Données projet'!$B$9,Paramètres!$A$1:$I$89,5,0)</f>
        <v>134.36279999999999</v>
      </c>
      <c r="P43" s="13">
        <f t="shared" si="33"/>
        <v>35.002529438504695</v>
      </c>
      <c r="Q43" s="20">
        <f t="shared" si="53"/>
        <v>294.97794877206235</v>
      </c>
      <c r="R43" s="59">
        <f t="shared" si="0"/>
        <v>542.79096259118319</v>
      </c>
      <c r="S43" s="59">
        <f ca="1">AVERAGE(OFFSET($R$3,0,0,'Données projet'!$E$9+1,1))-AVERAGE(OFFSET($H$3,0,0,'Données projet'!$E$9+1,1))</f>
        <v>569.49435820174267</v>
      </c>
      <c r="T43" s="59">
        <f t="shared" si="34"/>
        <v>295.37730858134739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9.875</v>
      </c>
      <c r="AI43" s="13">
        <f>IF('Données projet'!$A$62&gt;35,AI42+AH43-AQ42,IF(A43&lt;'Données projet'!$A$62,$AF$205^A43,IF(A43='Données projet'!$A$62,'Données projet'!$B$62,AI42+AH43-AQ42)))</f>
        <v>148.5</v>
      </c>
      <c r="AJ43" s="13">
        <f>AI43*VLOOKUP('Données projet'!$B$10,Paramètres!$A$1:$I$89,3,0)*VLOOKUP('Données projet'!$B$10,Paramètres!$A$1:$I$89,5,0)</f>
        <v>150.57900000000001</v>
      </c>
      <c r="AK43" s="13">
        <f t="shared" si="35"/>
        <v>38.71013593121895</v>
      </c>
      <c r="AL43" s="20">
        <f t="shared" si="4"/>
        <v>329.6785784135397</v>
      </c>
      <c r="AM43" s="59">
        <f t="shared" si="5"/>
        <v>577.49159223266054</v>
      </c>
      <c r="AN43" s="59">
        <f ca="1">AVERAGE(OFFSET($AM$3,0,0,'Données projet'!$E$10+1,1))-AVERAGE(OFFSET($H$3,0,0,'Données projet'!$E$10+1,1))</f>
        <v>627.83896530587367</v>
      </c>
      <c r="AO43" s="59">
        <f t="shared" si="36"/>
        <v>323.54927030899489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254.37359999999998</v>
      </c>
      <c r="BF43" s="13">
        <f t="shared" si="37"/>
        <v>61.521534056516209</v>
      </c>
      <c r="BG43" s="20">
        <f t="shared" si="7"/>
        <v>550.1840251484324</v>
      </c>
      <c r="BH43" s="59">
        <f t="shared" si="8"/>
        <v>797.99703896755318</v>
      </c>
      <c r="BI43" s="59">
        <f ca="1">AVERAGE(OFFSET($BH$3,0,0,'Données projet'!$E$11+1,1))-AVERAGE(OFFSET($H$3,0,0,'Données projet'!$E$11+1,1))</f>
        <v>508.3185483454435</v>
      </c>
      <c r="BJ43" s="59">
        <f t="shared" si="38"/>
        <v>487.08233034004945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40</v>
      </c>
      <c r="BM43" s="16">
        <f>IF(ISNA(VLOOKUP(A43,'Données projet'!$A$87:$I$107,5,0)),0%,VLOOKUP(A43,'Données projet'!$A$87:$I$107,5,0)*VLOOKUP('Données projet'!$B$11,Paramètres!$A$1:$I$89,7,0))</f>
        <v>4.3000000000000003E-2</v>
      </c>
      <c r="BN43" s="16">
        <f>IF(ISNA(VLOOKUP(A43,'Données projet'!$A$87:$I$107,6,0)),0%,VLOOKUP(A43,'Données projet'!$A$87:$I$107,6,0)*VLOOKUP('Données projet'!$B$11,Paramètres!$A$1:$I$89,7,0))</f>
        <v>0.17200000000000001</v>
      </c>
      <c r="BO43" s="16">
        <f>IF(ISNA(VLOOKUP(A43,'Données projet'!$A$87:$I$107,7,0)),0%,VLOOKUP(A43,'Données projet'!$A$87:$I$107,7,0))</f>
        <v>0.3</v>
      </c>
      <c r="BP43" s="21">
        <f>EXP(-LN(2)/35)*BP42+(1-EXP(-LN(2)/35))/(LN(2)/35)*BL43*BM43*VLOOKUP('Données projet'!$B$11,Paramètres!$A$1:$I$89,3,0)*0.475*44/12</f>
        <v>1.8390428358649433</v>
      </c>
      <c r="BQ43" s="21">
        <f>EXP(-LN(2)/25)*BQ42+(1-EXP(-LN(2)/25))/(LN(2)/25)*Calculateur!BL43*Calculateur!BN43*VLOOKUP('Données projet'!$B$11,Paramètres!$A$1:$I$89,3,0)*0.475*44/12</f>
        <v>12.350437038210409</v>
      </c>
      <c r="BR43" s="21">
        <f>EXP(-LN(2)/2)*BR42+(1-EXP(-LN(2)/2))/(LN(2)/2)*BL43*BO43*VLOOKUP('Données projet'!$B$11,Paramètres!$A$1:$I$89,3,0)*0.475*44/12</f>
        <v>13.661172827033102</v>
      </c>
      <c r="BS43" s="22">
        <f t="shared" si="9"/>
        <v>27.850652701108451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13.2</v>
      </c>
      <c r="BX43" s="12">
        <f t="array" ref="BX43">INDEX(BW:BW,MIN(IF(ISNUMBER(BW43:BW239),ROW(BW43:BW239),"")))</f>
        <v>13.2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213.34559999999996</v>
      </c>
      <c r="CA43" s="13">
        <f t="shared" si="39"/>
        <v>52.666009577179437</v>
      </c>
      <c r="CB43" s="20">
        <f t="shared" si="10"/>
        <v>463.30355334692075</v>
      </c>
      <c r="CC43" s="59">
        <f t="shared" si="11"/>
        <v>711.11656716604159</v>
      </c>
      <c r="CD43" s="59">
        <f ca="1">AVERAGE(OFFSET($CC$3,0,0,'Données projet'!$E$12+1,1))-AVERAGE(OFFSET($H$3,0,0,'Données projet'!$E$12+1,1))</f>
        <v>436.50252985867149</v>
      </c>
      <c r="CE43" s="59">
        <f t="shared" si="40"/>
        <v>419.00806288456329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40</v>
      </c>
      <c r="CH43" s="16">
        <f>IF(ISNA(VLOOKUP(A43,'Données projet'!$A$113:$I$133,5,0)),0%,VLOOKUP(A43,'Données projet'!$A$113:$I$133,5,0)*VLOOKUP('Données projet'!$B$12,Paramètres!$A$1:$I$89,7,0))</f>
        <v>4.3000000000000003E-2</v>
      </c>
      <c r="CI43" s="16">
        <f>IF(ISNA(VLOOKUP(A43,'Données projet'!$A$113:$I$133,6,0)),0%,VLOOKUP(A43,'Données projet'!$A$113:$I$133,6,0)*VLOOKUP('Données projet'!$B$12,Paramètres!$A$1:$I$89,7,0))</f>
        <v>0.17200000000000001</v>
      </c>
      <c r="CJ43" s="16">
        <f>IF(ISNA(VLOOKUP(A43,'Données projet'!$A$113:$I$133,7,0)),0%,VLOOKUP(A43,'Données projet'!$A$113:$I$133,7,0))</f>
        <v>0.3</v>
      </c>
      <c r="CK43" s="21">
        <f>EXP(-LN(2)/35)*CK42+(1-EXP(-LN(2)/35))/(LN(2)/35)*CG43*CH43*VLOOKUP('Données projet'!$B$12,Paramètres!$A$1:$I$89,3,0)*0.475*44/12</f>
        <v>1.5424230236286622</v>
      </c>
      <c r="CL43" s="21">
        <f>EXP(-LN(2)/25)*CL42+(1-EXP(-LN(2)/25))/(LN(2)/25)*Calculateur!CG43*Calculateur!CI43*VLOOKUP('Données projet'!$B$12,Paramètres!$A$1:$I$89,3,0)*0.475*44/12</f>
        <v>10.358431064305503</v>
      </c>
      <c r="CM43" s="21">
        <f>EXP(-LN(2)/2)*CM42+(1-EXP(-LN(2)/2))/(LN(2)/2)*CG43*CJ43*VLOOKUP('Données projet'!$B$12,Paramètres!$A$1:$I$89,3,0)*0.475*44/12</f>
        <v>11.457757854930989</v>
      </c>
      <c r="CN43" s="22">
        <f t="shared" si="12"/>
        <v>23.358611942865153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13.2</v>
      </c>
      <c r="CS43" s="12">
        <f t="array" ref="CS43">INDEX(CR:CR,MIN(IF(ISNUMBER(CR43:CR239),ROW(CR43:CR239),"")))</f>
        <v>13.2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254.37359999999998</v>
      </c>
      <c r="CV43" s="13">
        <f t="shared" si="41"/>
        <v>61.521534056516209</v>
      </c>
      <c r="CW43" s="20">
        <f t="shared" si="13"/>
        <v>550.1840251484324</v>
      </c>
      <c r="CX43" s="59">
        <f t="shared" si="14"/>
        <v>797.99703896755318</v>
      </c>
      <c r="CY43" s="59">
        <f ca="1">AVERAGE(OFFSET($CX$3,0,0,'Données projet'!$E$13+1,1))-AVERAGE(OFFSET($H$3,0,0,'Données projet'!$E$13+1,1))</f>
        <v>508.3185483454435</v>
      </c>
      <c r="CZ43" s="59">
        <f t="shared" si="42"/>
        <v>487.08233034004945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40</v>
      </c>
      <c r="DC43" s="16">
        <f>IF(ISNA(VLOOKUP(A43,'Données projet'!$A$139:$I$159,5,0)),0%,VLOOKUP(A43,'Données projet'!$A$139:$I$159,5,0)*VLOOKUP('Données projet'!$B$13,Paramètres!$A$1:$I$89,7,0))</f>
        <v>4.3000000000000003E-2</v>
      </c>
      <c r="DD43" s="16">
        <f>IF(ISNA(VLOOKUP(A43,'Données projet'!$A$139:$I$159,6,0)),0%,VLOOKUP(A43,'Données projet'!$A$139:$I$159,6,0)*VLOOKUP('Données projet'!$B$13,Paramètres!$A$1:$I$89,7,0))</f>
        <v>0.17200000000000001</v>
      </c>
      <c r="DE43" s="16">
        <f>IF(ISNA(VLOOKUP(A43,'Données projet'!$A$139:$I$159,7,0)),0%,VLOOKUP(A43,'Données projet'!$A$139:$I$159,7,0))</f>
        <v>0.3</v>
      </c>
      <c r="DF43" s="21">
        <f>EXP(-LN(2)/35)*DF42+(1-EXP(-LN(2)/35))/(LN(2)/35)*DB43*DC43*VLOOKUP('Données projet'!$B$13,Paramètres!$A$1:$I$89,3,0)*0.475*44/12</f>
        <v>1.8390428358649433</v>
      </c>
      <c r="DG43" s="21">
        <f>EXP(-LN(2)/25)*DG42+(1-EXP(-LN(2)/25))/(LN(2)/25)*Calculateur!DB43*Calculateur!DD43*VLOOKUP('Données projet'!$B$13,Paramètres!$A$1:$I$89,3,0)*0.475*44/12</f>
        <v>12.350437038210409</v>
      </c>
      <c r="DH43" s="21">
        <f>EXP(-LN(2)/2)*DH42+(1-EXP(-LN(2)/2))/(LN(2)/2)*DB43*DE43*VLOOKUP('Données projet'!$B$13,Paramètres!$A$1:$I$89,3,0)*0.475*44/12</f>
        <v>13.661172827033102</v>
      </c>
      <c r="DI43" s="22">
        <f t="shared" si="15"/>
        <v>27.850652701108451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13.2</v>
      </c>
      <c r="DN43" s="12">
        <f t="array" ref="DN43">INDEX(DM:DM,MIN(IF(ISNUMBER(DM43:DM239),ROW(DM43:DM239),"")))</f>
        <v>13.2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254.37359999999998</v>
      </c>
      <c r="DQ43" s="13">
        <f t="shared" si="43"/>
        <v>61.521534056516209</v>
      </c>
      <c r="DR43" s="20">
        <f t="shared" si="16"/>
        <v>550.1840251484324</v>
      </c>
      <c r="DS43" s="59">
        <f t="shared" si="17"/>
        <v>797.99703896755318</v>
      </c>
      <c r="DT43" s="59">
        <f ca="1">AVERAGE(OFFSET($DS$3,0,0,'Données projet'!$E$14+1,1))-AVERAGE(OFFSET($H$3,0,0,'Données projet'!$E$14+1,1))</f>
        <v>508.3185483454435</v>
      </c>
      <c r="DU43" s="59">
        <f t="shared" si="44"/>
        <v>487.08233034004945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40</v>
      </c>
      <c r="DX43" s="16">
        <f>IF(ISNA(VLOOKUP(A43,'Données projet'!$A$165:$I$185,5,0)),0%,VLOOKUP(A43,'Données projet'!$A$165:$I$185,5,0)*VLOOKUP('Données projet'!$B$14,Paramètres!$A$1:$I$89,7,0))</f>
        <v>4.3000000000000003E-2</v>
      </c>
      <c r="DY43" s="16">
        <f>IF(ISNA(VLOOKUP(A43,'Données projet'!$A$165:$I$185,6,0)),0%,VLOOKUP(A43,'Données projet'!$A$165:$I$185,6,0)*VLOOKUP('Données projet'!$B$14,Paramètres!$A$1:$I$89,7,0))</f>
        <v>0.17200000000000001</v>
      </c>
      <c r="DZ43" s="16">
        <f>IF(ISNA(VLOOKUP(A43,'Données projet'!$A$165:$I$185,7,0)),0%,VLOOKUP(A43,'Données projet'!$A$165:$I$185,7,0))</f>
        <v>0.3</v>
      </c>
      <c r="EA43" s="21">
        <f>EXP(-LN(2)/35)*EA42+(1-EXP(-LN(2)/35))/(LN(2)/35)*DW43*DX43*VLOOKUP('Données projet'!$B$14,Paramètres!$A$1:$I$89,3,0)*0.475*44/12</f>
        <v>1.8390428358649433</v>
      </c>
      <c r="EB43" s="21">
        <f>EXP(-LN(2)/25)*EB42+(1-EXP(-LN(2)/25))/(LN(2)/25)*Calculateur!DW43*Calculateur!DY43*VLOOKUP('Données projet'!$B$14,Paramètres!$A$1:$I$89,3,0)*0.475*44/12</f>
        <v>12.350437038210409</v>
      </c>
      <c r="EC43" s="21">
        <f>EXP(-LN(2)/2)*EC42+(1-EXP(-LN(2)/2))/(LN(2)/2)*DW43*DZ43*VLOOKUP('Données projet'!$B$14,Paramètres!$A$1:$I$89,3,0)*0.475*44/12</f>
        <v>13.661172827033102</v>
      </c>
      <c r="ED43" s="22">
        <f t="shared" si="18"/>
        <v>27.850652701108451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9.875</v>
      </c>
      <c r="N44" s="13">
        <f>IF('Données projet'!$A$36&gt;35,N43+M44-V43,IF(A44&lt;'Données projet'!$A$36,$K$205^A44,IF(A44='Données projet'!$A$36,'Données projet'!$B$36,N43+M44-V43)))</f>
        <v>158.375</v>
      </c>
      <c r="O44" s="13">
        <f>N44*VLOOKUP('Données projet'!$B$9,Paramètres!$A$1:$I$89,3,0)*VLOOKUP('Données projet'!$B$9,Paramètres!$A$1:$I$89,5,0)</f>
        <v>143.29769999999999</v>
      </c>
      <c r="P44" s="13">
        <f t="shared" si="33"/>
        <v>37.051435567396794</v>
      </c>
      <c r="Q44" s="20">
        <f t="shared" si="53"/>
        <v>314.10807777988271</v>
      </c>
      <c r="R44" s="59">
        <f t="shared" si="0"/>
        <v>562.71076737438671</v>
      </c>
      <c r="S44" s="59">
        <f ca="1">AVERAGE(OFFSET($R$3,0,0,'Données projet'!$E$9+1,1))-AVERAGE(OFFSET($H$3,0,0,'Données projet'!$E$9+1,1))</f>
        <v>569.49435820174267</v>
      </c>
      <c r="T44" s="59">
        <f t="shared" si="34"/>
        <v>295.37730858134739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9.875</v>
      </c>
      <c r="AI44" s="13">
        <f>IF('Données projet'!$A$62&gt;35,AI43+AH44-AQ43,IF(A44&lt;'Données projet'!$A$62,$AF$205^A44,IF(A44='Données projet'!$A$62,'Données projet'!$B$62,AI43+AH44-AQ43)))</f>
        <v>158.375</v>
      </c>
      <c r="AJ44" s="13">
        <f>AI44*VLOOKUP('Données projet'!$B$10,Paramètres!$A$1:$I$89,3,0)*VLOOKUP('Données projet'!$B$10,Paramètres!$A$1:$I$89,5,0)</f>
        <v>160.59225000000001</v>
      </c>
      <c r="AK44" s="13">
        <f t="shared" si="35"/>
        <v>40.976070308877716</v>
      </c>
      <c r="AL44" s="20">
        <f t="shared" si="4"/>
        <v>351.06482453796201</v>
      </c>
      <c r="AM44" s="59">
        <f t="shared" si="5"/>
        <v>599.66751413246595</v>
      </c>
      <c r="AN44" s="59">
        <f ca="1">AVERAGE(OFFSET($AM$3,0,0,'Données projet'!$E$10+1,1))-AVERAGE(OFFSET($H$3,0,0,'Données projet'!$E$10+1,1))</f>
        <v>627.83896530587367</v>
      </c>
      <c r="AO44" s="59">
        <f t="shared" si="36"/>
        <v>323.54927030899489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234.39999999999992</v>
      </c>
      <c r="BE44" s="13">
        <f>BD44*VLOOKUP('Données projet'!$B$11,Paramètres!$A$1:$I$89,3,0)*VLOOKUP('Données projet'!$B$11,Paramètres!$A$1:$I$89,5,0)</f>
        <v>226.71167999999992</v>
      </c>
      <c r="BF44" s="13">
        <f t="shared" si="37"/>
        <v>55.571075070275043</v>
      </c>
      <c r="BG44" s="20">
        <f t="shared" si="7"/>
        <v>491.64246508072887</v>
      </c>
      <c r="BH44" s="59">
        <f t="shared" si="8"/>
        <v>740.24515467523281</v>
      </c>
      <c r="BI44" s="59">
        <f ca="1">AVERAGE(OFFSET($BH$3,0,0,'Données projet'!$E$11+1,1))-AVERAGE(OFFSET($H$3,0,0,'Données projet'!$E$11+1,1))</f>
        <v>508.3185483454435</v>
      </c>
      <c r="BJ44" s="59">
        <f t="shared" si="38"/>
        <v>487.08233034004945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1.8029803275590024</v>
      </c>
      <c r="BQ44" s="21">
        <f>EXP(-LN(2)/25)*BQ43+(1-EXP(-LN(2)/25))/(LN(2)/25)*Calculateur!BL44*Calculateur!BN44*VLOOKUP('Données projet'!$B$11,Paramètres!$A$1:$I$89,3,0)*0.475*44/12</f>
        <v>12.012713687919288</v>
      </c>
      <c r="BR44" s="21">
        <f>EXP(-LN(2)/2)*BR43+(1-EXP(-LN(2)/2))/(LN(2)/2)*BL44*BO44*VLOOKUP('Données projet'!$B$11,Paramètres!$A$1:$I$89,3,0)*0.475*44/12</f>
        <v>9.6599079449565046</v>
      </c>
      <c r="BS44" s="22">
        <f t="shared" si="9"/>
        <v>23.475601960434794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234.39999999999992</v>
      </c>
      <c r="BZ44" s="13">
        <f>BY44*VLOOKUP('Données projet'!$B$12,Paramètres!$A$1:$I$89,3,0)*VLOOKUP('Données projet'!$B$12,Paramètres!$A$1:$I$89,5,0)</f>
        <v>190.14527999999996</v>
      </c>
      <c r="CA44" s="13">
        <f t="shared" si="39"/>
        <v>47.572070767557179</v>
      </c>
      <c r="CB44" s="20">
        <f t="shared" si="10"/>
        <v>414.02438592016205</v>
      </c>
      <c r="CC44" s="59">
        <f t="shared" si="11"/>
        <v>662.62707551466599</v>
      </c>
      <c r="CD44" s="59">
        <f ca="1">AVERAGE(OFFSET($CC$3,0,0,'Données projet'!$E$12+1,1))-AVERAGE(OFFSET($H$3,0,0,'Données projet'!$E$12+1,1))</f>
        <v>436.50252985867149</v>
      </c>
      <c r="CE44" s="59">
        <f t="shared" si="40"/>
        <v>419.00806288456329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1.5121770489204538</v>
      </c>
      <c r="CL44" s="21">
        <f>EXP(-LN(2)/25)*CL43+(1-EXP(-LN(2)/25))/(LN(2)/25)*Calculateur!CG44*Calculateur!CI44*VLOOKUP('Données projet'!$B$12,Paramètres!$A$1:$I$89,3,0)*0.475*44/12</f>
        <v>10.075179222125854</v>
      </c>
      <c r="CM44" s="21">
        <f>EXP(-LN(2)/2)*CM43+(1-EXP(-LN(2)/2))/(LN(2)/2)*CG44*CJ44*VLOOKUP('Données projet'!$B$12,Paramètres!$A$1:$I$89,3,0)*0.475*44/12</f>
        <v>8.1018582764151343</v>
      </c>
      <c r="CN44" s="22">
        <f t="shared" si="12"/>
        <v>19.68921454746144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234.39999999999992</v>
      </c>
      <c r="CU44" s="17">
        <f>CT44*VLOOKUP('Données projet'!$B$13,Paramètres!$A$1:$I$89,3,0)*VLOOKUP('Données projet'!$B$13,Paramètres!$A$1:$I$89,5,0)</f>
        <v>226.71167999999992</v>
      </c>
      <c r="CV44" s="13">
        <f t="shared" si="41"/>
        <v>55.571075070275043</v>
      </c>
      <c r="CW44" s="20">
        <f t="shared" si="13"/>
        <v>491.64246508072887</v>
      </c>
      <c r="CX44" s="59">
        <f t="shared" si="14"/>
        <v>740.24515467523281</v>
      </c>
      <c r="CY44" s="59">
        <f ca="1">AVERAGE(OFFSET($CX$3,0,0,'Données projet'!$E$13+1,1))-AVERAGE(OFFSET($H$3,0,0,'Données projet'!$E$13+1,1))</f>
        <v>508.3185483454435</v>
      </c>
      <c r="CZ44" s="59">
        <f t="shared" si="42"/>
        <v>487.08233034004945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1.8029803275590024</v>
      </c>
      <c r="DG44" s="21">
        <f>EXP(-LN(2)/25)*DG43+(1-EXP(-LN(2)/25))/(LN(2)/25)*Calculateur!DB44*Calculateur!DD44*VLOOKUP('Données projet'!$B$13,Paramètres!$A$1:$I$89,3,0)*0.475*44/12</f>
        <v>12.012713687919288</v>
      </c>
      <c r="DH44" s="21">
        <f>EXP(-LN(2)/2)*DH43+(1-EXP(-LN(2)/2))/(LN(2)/2)*DB44*DE44*VLOOKUP('Données projet'!$B$13,Paramètres!$A$1:$I$89,3,0)*0.475*44/12</f>
        <v>9.6599079449565046</v>
      </c>
      <c r="DI44" s="22">
        <f t="shared" si="15"/>
        <v>23.475601960434794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11.4</v>
      </c>
      <c r="DO44" s="12">
        <f>IF('Données projet'!$A$166&gt;35,DO43+DN44-DW43,IF(A44&lt;'Données projet'!$A$166,$DL$205^A44,IF(A44='Données projet'!$A$166,'Données projet'!$B$166,DO43+DN44-DW43)))</f>
        <v>234.39999999999992</v>
      </c>
      <c r="DP44" s="17">
        <f>DO44*VLOOKUP('Données projet'!$B$14,Paramètres!$A$1:$I$89,3,0)*VLOOKUP('Données projet'!$B$14,Paramètres!$A$1:$I$89,5,0)</f>
        <v>226.71167999999992</v>
      </c>
      <c r="DQ44" s="13">
        <f t="shared" si="43"/>
        <v>55.571075070275043</v>
      </c>
      <c r="DR44" s="20">
        <f t="shared" si="16"/>
        <v>491.64246508072887</v>
      </c>
      <c r="DS44" s="59">
        <f t="shared" si="17"/>
        <v>740.24515467523281</v>
      </c>
      <c r="DT44" s="59">
        <f ca="1">AVERAGE(OFFSET($DS$3,0,0,'Données projet'!$E$14+1,1))-AVERAGE(OFFSET($H$3,0,0,'Données projet'!$E$14+1,1))</f>
        <v>508.3185483454435</v>
      </c>
      <c r="DU44" s="59">
        <f t="shared" si="44"/>
        <v>487.08233034004945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1.8029803275590024</v>
      </c>
      <c r="EB44" s="21">
        <f>EXP(-LN(2)/25)*EB43+(1-EXP(-LN(2)/25))/(LN(2)/25)*Calculateur!DW44*Calculateur!DY44*VLOOKUP('Données projet'!$B$14,Paramètres!$A$1:$I$89,3,0)*0.475*44/12</f>
        <v>12.012713687919288</v>
      </c>
      <c r="EC44" s="21">
        <f>EXP(-LN(2)/2)*EC43+(1-EXP(-LN(2)/2))/(LN(2)/2)*DW44*DZ44*VLOOKUP('Données projet'!$B$14,Paramètres!$A$1:$I$89,3,0)*0.475*44/12</f>
        <v>9.6599079449565046</v>
      </c>
      <c r="ED44" s="22">
        <f t="shared" si="18"/>
        <v>23.475601960434794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9.875</v>
      </c>
      <c r="N45" s="13">
        <f>IF('Données projet'!$A$36&gt;35,N44+M45-V44,IF(A45&lt;'Données projet'!$A$36,$K$205^A45,IF(A45='Données projet'!$A$36,'Données projet'!$B$36,N44+M45-V44)))</f>
        <v>168.25</v>
      </c>
      <c r="O45" s="13">
        <f>N45*VLOOKUP('Données projet'!$B$9,Paramètres!$A$1:$I$89,3,0)*VLOOKUP('Données projet'!$B$9,Paramètres!$A$1:$I$89,5,0)</f>
        <v>152.23259999999999</v>
      </c>
      <c r="P45" s="13">
        <f t="shared" si="33"/>
        <v>39.085514892085854</v>
      </c>
      <c r="Q45" s="20">
        <f t="shared" si="53"/>
        <v>333.21238343704948</v>
      </c>
      <c r="R45" s="59">
        <f t="shared" si="0"/>
        <v>582.59104969768418</v>
      </c>
      <c r="S45" s="59">
        <f ca="1">AVERAGE(OFFSET($R$3,0,0,'Données projet'!$E$9+1,1))-AVERAGE(OFFSET($H$3,0,0,'Données projet'!$E$9+1,1))</f>
        <v>569.49435820174267</v>
      </c>
      <c r="T45" s="59">
        <f t="shared" si="34"/>
        <v>295.37730858134739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9.875</v>
      </c>
      <c r="AI45" s="13">
        <f>IF('Données projet'!$A$62&gt;35,AI44+AH45-AQ44,IF(A45&lt;'Données projet'!$A$62,$AF$205^A45,IF(A45='Données projet'!$A$62,'Données projet'!$B$62,AI44+AH45-AQ44)))</f>
        <v>168.25</v>
      </c>
      <c r="AJ45" s="13">
        <f>AI45*VLOOKUP('Données projet'!$B$10,Paramètres!$A$1:$I$89,3,0)*VLOOKUP('Données projet'!$B$10,Paramètres!$A$1:$I$89,5,0)</f>
        <v>170.60550000000001</v>
      </c>
      <c r="AK45" s="13">
        <f t="shared" si="35"/>
        <v>43.225607368533112</v>
      </c>
      <c r="AL45" s="20">
        <f t="shared" si="4"/>
        <v>372.42251200019518</v>
      </c>
      <c r="AM45" s="59">
        <f t="shared" si="5"/>
        <v>621.80117826082994</v>
      </c>
      <c r="AN45" s="59">
        <f ca="1">AVERAGE(OFFSET($AM$3,0,0,'Données projet'!$E$10+1,1))-AVERAGE(OFFSET($H$3,0,0,'Données projet'!$E$10+1,1))</f>
        <v>627.83896530587367</v>
      </c>
      <c r="AO45" s="59">
        <f t="shared" si="36"/>
        <v>323.54927030899489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245.79999999999993</v>
      </c>
      <c r="BE45" s="13">
        <f>BD45*VLOOKUP('Données projet'!$B$11,Paramètres!$A$1:$I$89,3,0)*VLOOKUP('Données projet'!$B$11,Paramètres!$A$1:$I$89,5,0)</f>
        <v>237.73775999999995</v>
      </c>
      <c r="BF45" s="13">
        <f t="shared" si="37"/>
        <v>57.952530566790166</v>
      </c>
      <c r="BG45" s="20">
        <f t="shared" si="7"/>
        <v>514.99392273715944</v>
      </c>
      <c r="BH45" s="59">
        <f t="shared" si="8"/>
        <v>764.3725889977942</v>
      </c>
      <c r="BI45" s="59">
        <f ca="1">AVERAGE(OFFSET($BH$3,0,0,'Données projet'!$E$11+1,1))-AVERAGE(OFFSET($H$3,0,0,'Données projet'!$E$11+1,1))</f>
        <v>508.3185483454435</v>
      </c>
      <c r="BJ45" s="59">
        <f t="shared" si="38"/>
        <v>487.08233034004945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1.7676249830449828</v>
      </c>
      <c r="BQ45" s="21">
        <f>EXP(-LN(2)/25)*BQ44+(1-EXP(-LN(2)/25))/(LN(2)/25)*Calculateur!BL45*Calculateur!BN45*VLOOKUP('Données projet'!$B$11,Paramètres!$A$1:$I$89,3,0)*0.475*44/12</f>
        <v>11.684225400401978</v>
      </c>
      <c r="BR45" s="21">
        <f>EXP(-LN(2)/2)*BR44+(1-EXP(-LN(2)/2))/(LN(2)/2)*BL45*BO45*VLOOKUP('Données projet'!$B$11,Paramètres!$A$1:$I$89,3,0)*0.475*44/12</f>
        <v>6.8305864135165519</v>
      </c>
      <c r="BS45" s="22">
        <f t="shared" si="9"/>
        <v>20.282436796963513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245.79999999999993</v>
      </c>
      <c r="BZ45" s="13">
        <f>BY45*VLOOKUP('Données projet'!$B$12,Paramètres!$A$1:$I$89,3,0)*VLOOKUP('Données projet'!$B$12,Paramètres!$A$1:$I$89,5,0)</f>
        <v>199.39295999999993</v>
      </c>
      <c r="CA45" s="13">
        <f t="shared" si="39"/>
        <v>49.610735113473389</v>
      </c>
      <c r="CB45" s="20">
        <f t="shared" si="10"/>
        <v>433.68143565596597</v>
      </c>
      <c r="CC45" s="59">
        <f t="shared" si="11"/>
        <v>683.06010191660073</v>
      </c>
      <c r="CD45" s="59">
        <f ca="1">AVERAGE(OFFSET($CC$3,0,0,'Données projet'!$E$12+1,1))-AVERAGE(OFFSET($H$3,0,0,'Données projet'!$E$12+1,1))</f>
        <v>436.50252985867149</v>
      </c>
      <c r="CE45" s="59">
        <f t="shared" si="40"/>
        <v>419.00806288456329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1.4825241793280504</v>
      </c>
      <c r="CL45" s="21">
        <f>EXP(-LN(2)/25)*CL44+(1-EXP(-LN(2)/25))/(LN(2)/25)*Calculateur!CG45*Calculateur!CI45*VLOOKUP('Données projet'!$B$12,Paramètres!$A$1:$I$89,3,0)*0.475*44/12</f>
        <v>9.7996729164661751</v>
      </c>
      <c r="CM45" s="21">
        <f>EXP(-LN(2)/2)*CM44+(1-EXP(-LN(2)/2))/(LN(2)/2)*CG45*CJ45*VLOOKUP('Données projet'!$B$12,Paramètres!$A$1:$I$89,3,0)*0.475*44/12</f>
        <v>5.7288789274654954</v>
      </c>
      <c r="CN45" s="22">
        <f t="shared" si="12"/>
        <v>17.011076023259722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245.79999999999993</v>
      </c>
      <c r="CU45" s="17">
        <f>CT45*VLOOKUP('Données projet'!$B$13,Paramètres!$A$1:$I$89,3,0)*VLOOKUP('Données projet'!$B$13,Paramètres!$A$1:$I$89,5,0)</f>
        <v>237.73775999999995</v>
      </c>
      <c r="CV45" s="13">
        <f t="shared" si="41"/>
        <v>57.952530566790166</v>
      </c>
      <c r="CW45" s="20">
        <f t="shared" si="13"/>
        <v>514.99392273715944</v>
      </c>
      <c r="CX45" s="59">
        <f t="shared" si="14"/>
        <v>764.3725889977942</v>
      </c>
      <c r="CY45" s="59">
        <f ca="1">AVERAGE(OFFSET($CX$3,0,0,'Données projet'!$E$13+1,1))-AVERAGE(OFFSET($H$3,0,0,'Données projet'!$E$13+1,1))</f>
        <v>508.3185483454435</v>
      </c>
      <c r="CZ45" s="59">
        <f t="shared" si="42"/>
        <v>487.08233034004945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1.7676249830449828</v>
      </c>
      <c r="DG45" s="21">
        <f>EXP(-LN(2)/25)*DG44+(1-EXP(-LN(2)/25))/(LN(2)/25)*Calculateur!DB45*Calculateur!DD45*VLOOKUP('Données projet'!$B$13,Paramètres!$A$1:$I$89,3,0)*0.475*44/12</f>
        <v>11.684225400401978</v>
      </c>
      <c r="DH45" s="21">
        <f>EXP(-LN(2)/2)*DH44+(1-EXP(-LN(2)/2))/(LN(2)/2)*DB45*DE45*VLOOKUP('Données projet'!$B$13,Paramètres!$A$1:$I$89,3,0)*0.475*44/12</f>
        <v>6.8305864135165519</v>
      </c>
      <c r="DI45" s="22">
        <f t="shared" si="15"/>
        <v>20.282436796963513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11.4</v>
      </c>
      <c r="DO45" s="12">
        <f>IF('Données projet'!$A$166&gt;35,DO44+DN45-DW44,IF(A45&lt;'Données projet'!$A$166,$DL$205^A45,IF(A45='Données projet'!$A$166,'Données projet'!$B$166,DO44+DN45-DW44)))</f>
        <v>245.79999999999993</v>
      </c>
      <c r="DP45" s="17">
        <f>DO45*VLOOKUP('Données projet'!$B$14,Paramètres!$A$1:$I$89,3,0)*VLOOKUP('Données projet'!$B$14,Paramètres!$A$1:$I$89,5,0)</f>
        <v>237.73775999999995</v>
      </c>
      <c r="DQ45" s="13">
        <f t="shared" si="43"/>
        <v>57.952530566790166</v>
      </c>
      <c r="DR45" s="20">
        <f t="shared" si="16"/>
        <v>514.99392273715944</v>
      </c>
      <c r="DS45" s="59">
        <f t="shared" si="17"/>
        <v>764.3725889977942</v>
      </c>
      <c r="DT45" s="59">
        <f ca="1">AVERAGE(OFFSET($DS$3,0,0,'Données projet'!$E$14+1,1))-AVERAGE(OFFSET($H$3,0,0,'Données projet'!$E$14+1,1))</f>
        <v>508.3185483454435</v>
      </c>
      <c r="DU45" s="59">
        <f t="shared" si="44"/>
        <v>487.08233034004945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1.7676249830449828</v>
      </c>
      <c r="EB45" s="21">
        <f>EXP(-LN(2)/25)*EB44+(1-EXP(-LN(2)/25))/(LN(2)/25)*Calculateur!DW45*Calculateur!DY45*VLOOKUP('Données projet'!$B$14,Paramètres!$A$1:$I$89,3,0)*0.475*44/12</f>
        <v>11.684225400401978</v>
      </c>
      <c r="EC45" s="21">
        <f>EXP(-LN(2)/2)*EC44+(1-EXP(-LN(2)/2))/(LN(2)/2)*DW45*DZ45*VLOOKUP('Données projet'!$B$14,Paramètres!$A$1:$I$89,3,0)*0.475*44/12</f>
        <v>6.8305864135165519</v>
      </c>
      <c r="ED45" s="22">
        <f t="shared" si="18"/>
        <v>20.282436796963513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9.875</v>
      </c>
      <c r="N46" s="13">
        <f>IF('Données projet'!$A$36&gt;35,N45+M46-V45,IF(A46&lt;'Données projet'!$A$36,$K$205^A46,IF(A46='Données projet'!$A$36,'Données projet'!$B$36,N45+M46-V45)))</f>
        <v>178.125</v>
      </c>
      <c r="O46" s="13">
        <f>N46*VLOOKUP('Données projet'!$B$9,Paramètres!$A$1:$I$89,3,0)*VLOOKUP('Données projet'!$B$9,Paramètres!$A$1:$I$89,5,0)</f>
        <v>161.16749999999999</v>
      </c>
      <c r="P46" s="13">
        <f t="shared" si="33"/>
        <v>41.105736761364199</v>
      </c>
      <c r="Q46" s="20">
        <f t="shared" si="53"/>
        <v>352.29255402604258</v>
      </c>
      <c r="R46" s="59">
        <f t="shared" si="0"/>
        <v>602.43373549247463</v>
      </c>
      <c r="S46" s="59">
        <f ca="1">AVERAGE(OFFSET($R$3,0,0,'Données projet'!$E$9+1,1))-AVERAGE(OFFSET($H$3,0,0,'Données projet'!$E$9+1,1))</f>
        <v>569.49435820174267</v>
      </c>
      <c r="T46" s="59">
        <f t="shared" si="34"/>
        <v>295.37730858134739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9.875</v>
      </c>
      <c r="AI46" s="13">
        <f>IF('Données projet'!$A$62&gt;35,AI45+AH46-AQ45,IF(A46&lt;'Données projet'!$A$62,$AF$205^A46,IF(A46='Données projet'!$A$62,'Données projet'!$B$62,AI45+AH46-AQ45)))</f>
        <v>178.125</v>
      </c>
      <c r="AJ46" s="13">
        <f>AI46*VLOOKUP('Données projet'!$B$10,Paramètres!$A$1:$I$89,3,0)*VLOOKUP('Données projet'!$B$10,Paramètres!$A$1:$I$89,5,0)</f>
        <v>180.61875000000001</v>
      </c>
      <c r="AK46" s="13">
        <f t="shared" si="35"/>
        <v>45.459819136239204</v>
      </c>
      <c r="AL46" s="20">
        <f t="shared" si="4"/>
        <v>393.75350791228328</v>
      </c>
      <c r="AM46" s="59">
        <f t="shared" si="5"/>
        <v>643.89468937871538</v>
      </c>
      <c r="AN46" s="59">
        <f ca="1">AVERAGE(OFFSET($AM$3,0,0,'Données projet'!$E$10+1,1))-AVERAGE(OFFSET($H$3,0,0,'Données projet'!$E$10+1,1))</f>
        <v>627.83896530587367</v>
      </c>
      <c r="AO46" s="59">
        <f t="shared" si="36"/>
        <v>323.54927030899489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257.19999999999993</v>
      </c>
      <c r="BE46" s="13">
        <f>BD46*VLOOKUP('Données projet'!$B$11,Paramètres!$A$1:$I$89,3,0)*VLOOKUP('Données projet'!$B$11,Paramètres!$A$1:$I$89,5,0)</f>
        <v>248.76383999999996</v>
      </c>
      <c r="BF46" s="13">
        <f t="shared" si="37"/>
        <v>60.321159476515668</v>
      </c>
      <c r="BG46" s="20">
        <f t="shared" si="7"/>
        <v>538.32304075493141</v>
      </c>
      <c r="BH46" s="59">
        <f t="shared" si="8"/>
        <v>788.46422222136346</v>
      </c>
      <c r="BI46" s="59">
        <f ca="1">AVERAGE(OFFSET($BH$3,0,0,'Données projet'!$E$11+1,1))-AVERAGE(OFFSET($H$3,0,0,'Données projet'!$E$11+1,1))</f>
        <v>508.3185483454435</v>
      </c>
      <c r="BJ46" s="59">
        <f t="shared" si="38"/>
        <v>487.08233034004945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1.7329629352722524</v>
      </c>
      <c r="BQ46" s="21">
        <f>EXP(-LN(2)/25)*BQ45+(1-EXP(-LN(2)/25))/(LN(2)/25)*Calculateur!BL46*Calculateur!BN46*VLOOKUP('Données projet'!$B$11,Paramètres!$A$1:$I$89,3,0)*0.475*44/12</f>
        <v>11.364719642381276</v>
      </c>
      <c r="BR46" s="21">
        <f>EXP(-LN(2)/2)*BR45+(1-EXP(-LN(2)/2))/(LN(2)/2)*BL46*BO46*VLOOKUP('Données projet'!$B$11,Paramètres!$A$1:$I$89,3,0)*0.475*44/12</f>
        <v>4.8299539724782532</v>
      </c>
      <c r="BS46" s="22">
        <f t="shared" si="9"/>
        <v>17.927636550131783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257.19999999999993</v>
      </c>
      <c r="BZ46" s="13">
        <f>BY46*VLOOKUP('Données projet'!$B$12,Paramètres!$A$1:$I$89,3,0)*VLOOKUP('Données projet'!$B$12,Paramètres!$A$1:$I$89,5,0)</f>
        <v>208.64063999999996</v>
      </c>
      <c r="CA46" s="13">
        <f t="shared" si="39"/>
        <v>51.638419155451118</v>
      </c>
      <c r="CB46" s="20">
        <f t="shared" si="10"/>
        <v>453.31936136241058</v>
      </c>
      <c r="CC46" s="59">
        <f t="shared" si="11"/>
        <v>703.46054282884256</v>
      </c>
      <c r="CD46" s="59">
        <f ca="1">AVERAGE(OFFSET($CC$3,0,0,'Données projet'!$E$12+1,1))-AVERAGE(OFFSET($H$3,0,0,'Données projet'!$E$12+1,1))</f>
        <v>436.50252985867149</v>
      </c>
      <c r="CE46" s="59">
        <f t="shared" si="40"/>
        <v>419.00806288456329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1.4534527844218894</v>
      </c>
      <c r="CL46" s="21">
        <f>EXP(-LN(2)/25)*CL45+(1-EXP(-LN(2)/25))/(LN(2)/25)*Calculateur!CG46*Calculateur!CI46*VLOOKUP('Données projet'!$B$12,Paramètres!$A$1:$I$89,3,0)*0.475*44/12</f>
        <v>9.5317003452230065</v>
      </c>
      <c r="CM46" s="21">
        <f>EXP(-LN(2)/2)*CM45+(1-EXP(-LN(2)/2))/(LN(2)/2)*CG46*CJ46*VLOOKUP('Données projet'!$B$12,Paramètres!$A$1:$I$89,3,0)*0.475*44/12</f>
        <v>4.0509291382075672</v>
      </c>
      <c r="CN46" s="22">
        <f t="shared" si="12"/>
        <v>15.036082267852464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257.19999999999993</v>
      </c>
      <c r="CU46" s="17">
        <f>CT46*VLOOKUP('Données projet'!$B$13,Paramètres!$A$1:$I$89,3,0)*VLOOKUP('Données projet'!$B$13,Paramètres!$A$1:$I$89,5,0)</f>
        <v>248.76383999999996</v>
      </c>
      <c r="CV46" s="13">
        <f t="shared" si="41"/>
        <v>60.321159476515668</v>
      </c>
      <c r="CW46" s="20">
        <f t="shared" si="13"/>
        <v>538.32304075493141</v>
      </c>
      <c r="CX46" s="59">
        <f t="shared" si="14"/>
        <v>788.46422222136346</v>
      </c>
      <c r="CY46" s="59">
        <f ca="1">AVERAGE(OFFSET($CX$3,0,0,'Données projet'!$E$13+1,1))-AVERAGE(OFFSET($H$3,0,0,'Données projet'!$E$13+1,1))</f>
        <v>508.3185483454435</v>
      </c>
      <c r="CZ46" s="59">
        <f t="shared" si="42"/>
        <v>487.08233034004945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1.7329629352722524</v>
      </c>
      <c r="DG46" s="21">
        <f>EXP(-LN(2)/25)*DG45+(1-EXP(-LN(2)/25))/(LN(2)/25)*Calculateur!DB46*Calculateur!DD46*VLOOKUP('Données projet'!$B$13,Paramètres!$A$1:$I$89,3,0)*0.475*44/12</f>
        <v>11.364719642381276</v>
      </c>
      <c r="DH46" s="21">
        <f>EXP(-LN(2)/2)*DH45+(1-EXP(-LN(2)/2))/(LN(2)/2)*DB46*DE46*VLOOKUP('Données projet'!$B$13,Paramètres!$A$1:$I$89,3,0)*0.475*44/12</f>
        <v>4.8299539724782532</v>
      </c>
      <c r="DI46" s="22">
        <f t="shared" si="15"/>
        <v>17.927636550131783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11.4</v>
      </c>
      <c r="DO46" s="12">
        <f>IF('Données projet'!$A$166&gt;35,DO45+DN46-DW45,IF(A46&lt;'Données projet'!$A$166,$DL$205^A46,IF(A46='Données projet'!$A$166,'Données projet'!$B$166,DO45+DN46-DW45)))</f>
        <v>257.19999999999993</v>
      </c>
      <c r="DP46" s="17">
        <f>DO46*VLOOKUP('Données projet'!$B$14,Paramètres!$A$1:$I$89,3,0)*VLOOKUP('Données projet'!$B$14,Paramètres!$A$1:$I$89,5,0)</f>
        <v>248.76383999999996</v>
      </c>
      <c r="DQ46" s="13">
        <f t="shared" si="43"/>
        <v>60.321159476515668</v>
      </c>
      <c r="DR46" s="20">
        <f t="shared" si="16"/>
        <v>538.32304075493141</v>
      </c>
      <c r="DS46" s="59">
        <f t="shared" si="17"/>
        <v>788.46422222136346</v>
      </c>
      <c r="DT46" s="59">
        <f ca="1">AVERAGE(OFFSET($DS$3,0,0,'Données projet'!$E$14+1,1))-AVERAGE(OFFSET($H$3,0,0,'Données projet'!$E$14+1,1))</f>
        <v>508.3185483454435</v>
      </c>
      <c r="DU46" s="59">
        <f t="shared" si="44"/>
        <v>487.08233034004945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1.7329629352722524</v>
      </c>
      <c r="EB46" s="21">
        <f>EXP(-LN(2)/25)*EB45+(1-EXP(-LN(2)/25))/(LN(2)/25)*Calculateur!DW46*Calculateur!DY46*VLOOKUP('Données projet'!$B$14,Paramètres!$A$1:$I$89,3,0)*0.475*44/12</f>
        <v>11.364719642381276</v>
      </c>
      <c r="EC46" s="21">
        <f>EXP(-LN(2)/2)*EC45+(1-EXP(-LN(2)/2))/(LN(2)/2)*DW46*DZ46*VLOOKUP('Données projet'!$B$14,Paramètres!$A$1:$I$89,3,0)*0.475*44/12</f>
        <v>4.8299539724782532</v>
      </c>
      <c r="ED46" s="22">
        <f t="shared" si="18"/>
        <v>17.927636550131783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188</v>
      </c>
      <c r="L47" s="12">
        <f>VLOOKUP(A47,'Données projet'!$A$35:$I$55,9,0)</f>
        <v>9.875</v>
      </c>
      <c r="M47" s="12">
        <f t="array" ref="M47">INDEX(L:L,MIN(IF(ISNUMBER(L47:L243),ROW(L47:L243),"")))</f>
        <v>9.875</v>
      </c>
      <c r="N47" s="13">
        <f>IF('Données projet'!$A$36&gt;35,N46+M47-V46,IF(A47&lt;'Données projet'!$A$36,$K$205^A47,IF(A47='Données projet'!$A$36,'Données projet'!$B$36,N46+M47-V46)))</f>
        <v>188</v>
      </c>
      <c r="O47" s="13">
        <f>N47*VLOOKUP('Données projet'!$B$9,Paramètres!$A$1:$I$89,3,0)*VLOOKUP('Données projet'!$B$9,Paramètres!$A$1:$I$89,5,0)</f>
        <v>170.10239999999999</v>
      </c>
      <c r="P47" s="13">
        <f t="shared" si="33"/>
        <v>43.112956975087329</v>
      </c>
      <c r="Q47" s="20">
        <f t="shared" si="53"/>
        <v>371.35008006494377</v>
      </c>
      <c r="R47" s="59">
        <f t="shared" si="0"/>
        <v>622.2405488030812</v>
      </c>
      <c r="S47" s="59">
        <f ca="1">AVERAGE(OFFSET($R$3,0,0,'Données projet'!$E$9+1,1))-AVERAGE(OFFSET($H$3,0,0,'Données projet'!$E$9+1,1))</f>
        <v>569.49435820174267</v>
      </c>
      <c r="T47" s="59">
        <f t="shared" si="34"/>
        <v>295.37730858134739</v>
      </c>
      <c r="U47" s="15">
        <f>IF(ISNA(VLOOKUP(A47,'Données projet'!$A$35:$I$55,3,0)),0,VLOOKUP(A47,'Données projet'!$A$35:$I$55,3,0))</f>
        <v>2</v>
      </c>
      <c r="V47" s="15">
        <f>IF(ISNA(VLOOKUP(A47,'Données projet'!$A$35:$I$55,4,0)),0,VLOOKUP(A47,'Données projet'!$A$35:$I$55,4,0))</f>
        <v>46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0.215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9.8533210989335007</v>
      </c>
      <c r="AB47" s="21">
        <f>EXP(-LN(2)/2)*AB46+(1-EXP(-LN(2)/2))/(LN(2)/2)*V47*Y47*VLOOKUP('Données projet'!$B$9,Paramètres!$A$1:$I$89,3,0)*0.475*44/12</f>
        <v>0</v>
      </c>
      <c r="AC47" s="22">
        <f t="shared" si="3"/>
        <v>9.8533210989335007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188</v>
      </c>
      <c r="AG47" s="12">
        <f>VLOOKUP(A47,'Données projet'!$A$61:$I$81,9,0)</f>
        <v>9.875</v>
      </c>
      <c r="AH47" s="12">
        <f t="array" ref="AH47">INDEX(AG:AG,MIN(IF(ISNUMBER(AG47:AG243),ROW(AG47:AG243),"")))</f>
        <v>9.875</v>
      </c>
      <c r="AI47" s="13">
        <f>IF('Données projet'!$A$62&gt;35,AI46+AH47-AQ46,IF(A47&lt;'Données projet'!$A$62,$AF$205^A47,IF(A47='Données projet'!$A$62,'Données projet'!$B$62,AI46+AH47-AQ46)))</f>
        <v>188</v>
      </c>
      <c r="AJ47" s="13">
        <f>AI47*VLOOKUP('Données projet'!$B$10,Paramètres!$A$1:$I$89,3,0)*VLOOKUP('Données projet'!$B$10,Paramètres!$A$1:$I$89,5,0)</f>
        <v>190.63200000000001</v>
      </c>
      <c r="AK47" s="13">
        <f t="shared" si="35"/>
        <v>47.679652061560311</v>
      </c>
      <c r="AL47" s="20">
        <f t="shared" si="4"/>
        <v>415.05946067388419</v>
      </c>
      <c r="AM47" s="59">
        <f t="shared" si="5"/>
        <v>665.94992941202167</v>
      </c>
      <c r="AN47" s="59">
        <f ca="1">AVERAGE(OFFSET($AM$3,0,0,'Données projet'!$E$10+1,1))-AVERAGE(OFFSET($H$3,0,0,'Données projet'!$E$10+1,1))</f>
        <v>627.83896530587367</v>
      </c>
      <c r="AO47" s="59">
        <f t="shared" si="36"/>
        <v>323.54927030899489</v>
      </c>
      <c r="AP47" s="15">
        <f>IF(ISNA(VLOOKUP(A47,'Données projet'!$A$61:$I$81,3,0)),0,VLOOKUP(A47,'Données projet'!$A$61:$I$81,3,0))</f>
        <v>2</v>
      </c>
      <c r="AQ47" s="15">
        <f>IF(ISNA(VLOOKUP(A47,'Données projet'!$A$61:$I$81,4,0)),0,VLOOKUP(A47,'Données projet'!$A$61:$I$81,4,0))</f>
        <v>46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0.215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11.042515024666855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11.042515024666855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268.59999999999991</v>
      </c>
      <c r="BE47" s="13">
        <f>BD47*VLOOKUP('Données projet'!$B$11,Paramètres!$A$1:$I$89,3,0)*VLOOKUP('Données projet'!$B$11,Paramètres!$A$1:$I$89,5,0)</f>
        <v>259.78991999999994</v>
      </c>
      <c r="BF47" s="13">
        <f t="shared" si="37"/>
        <v>62.677595283221279</v>
      </c>
      <c r="BG47" s="20">
        <f t="shared" si="7"/>
        <v>561.63092245161022</v>
      </c>
      <c r="BH47" s="59">
        <f t="shared" si="8"/>
        <v>812.52139118974765</v>
      </c>
      <c r="BI47" s="59">
        <f ca="1">AVERAGE(OFFSET($BH$3,0,0,'Données projet'!$E$11+1,1))-AVERAGE(OFFSET($H$3,0,0,'Données projet'!$E$11+1,1))</f>
        <v>508.3185483454435</v>
      </c>
      <c r="BJ47" s="59">
        <f t="shared" si="38"/>
        <v>487.08233034004945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1.6989805891145837</v>
      </c>
      <c r="BQ47" s="21">
        <f>EXP(-LN(2)/25)*BQ46+(1-EXP(-LN(2)/25))/(LN(2)/25)*Calculateur!BL47*Calculateur!BN47*VLOOKUP('Données projet'!$B$11,Paramètres!$A$1:$I$89,3,0)*0.475*44/12</f>
        <v>11.053950786115729</v>
      </c>
      <c r="BR47" s="21">
        <f>EXP(-LN(2)/2)*BR46+(1-EXP(-LN(2)/2))/(LN(2)/2)*BL47*BO47*VLOOKUP('Données projet'!$B$11,Paramètres!$A$1:$I$89,3,0)*0.475*44/12</f>
        <v>3.4152932067582764</v>
      </c>
      <c r="BS47" s="22">
        <f t="shared" si="9"/>
        <v>16.168224581988589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268.59999999999991</v>
      </c>
      <c r="BZ47" s="13">
        <f>BY47*VLOOKUP('Données projet'!$B$12,Paramètres!$A$1:$I$89,3,0)*VLOOKUP('Données projet'!$B$12,Paramètres!$A$1:$I$89,5,0)</f>
        <v>217.88831999999996</v>
      </c>
      <c r="CA47" s="13">
        <f t="shared" si="39"/>
        <v>53.655665192423463</v>
      </c>
      <c r="CB47" s="20">
        <f t="shared" si="10"/>
        <v>472.93910754347075</v>
      </c>
      <c r="CC47" s="59">
        <f t="shared" si="11"/>
        <v>723.82957628160818</v>
      </c>
      <c r="CD47" s="59">
        <f ca="1">AVERAGE(OFFSET($CC$3,0,0,'Données projet'!$E$12+1,1))-AVERAGE(OFFSET($H$3,0,0,'Données projet'!$E$12+1,1))</f>
        <v>436.50252985867149</v>
      </c>
      <c r="CE47" s="59">
        <f t="shared" si="40"/>
        <v>419.00806288456329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1.4249514618380381</v>
      </c>
      <c r="CL47" s="21">
        <f>EXP(-LN(2)/25)*CL46+(1-EXP(-LN(2)/25))/(LN(2)/25)*Calculateur!CG47*Calculateur!CI47*VLOOKUP('Données projet'!$B$12,Paramètres!$A$1:$I$89,3,0)*0.475*44/12</f>
        <v>9.2710554980325472</v>
      </c>
      <c r="CM47" s="21">
        <f>EXP(-LN(2)/2)*CM46+(1-EXP(-LN(2)/2))/(LN(2)/2)*CG47*CJ47*VLOOKUP('Données projet'!$B$12,Paramètres!$A$1:$I$89,3,0)*0.475*44/12</f>
        <v>2.8644394637327477</v>
      </c>
      <c r="CN47" s="22">
        <f t="shared" si="12"/>
        <v>13.560446423603333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268.59999999999991</v>
      </c>
      <c r="CU47" s="17">
        <f>CT47*VLOOKUP('Données projet'!$B$13,Paramètres!$A$1:$I$89,3,0)*VLOOKUP('Données projet'!$B$13,Paramètres!$A$1:$I$89,5,0)</f>
        <v>259.78991999999994</v>
      </c>
      <c r="CV47" s="13">
        <f t="shared" si="41"/>
        <v>62.677595283221279</v>
      </c>
      <c r="CW47" s="20">
        <f t="shared" si="13"/>
        <v>561.63092245161022</v>
      </c>
      <c r="CX47" s="59">
        <f t="shared" si="14"/>
        <v>812.52139118974765</v>
      </c>
      <c r="CY47" s="59">
        <f ca="1">AVERAGE(OFFSET($CX$3,0,0,'Données projet'!$E$13+1,1))-AVERAGE(OFFSET($H$3,0,0,'Données projet'!$E$13+1,1))</f>
        <v>508.3185483454435</v>
      </c>
      <c r="CZ47" s="59">
        <f t="shared" si="42"/>
        <v>487.08233034004945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1.6989805891145837</v>
      </c>
      <c r="DG47" s="21">
        <f>EXP(-LN(2)/25)*DG46+(1-EXP(-LN(2)/25))/(LN(2)/25)*Calculateur!DB47*Calculateur!DD47*VLOOKUP('Données projet'!$B$13,Paramètres!$A$1:$I$89,3,0)*0.475*44/12</f>
        <v>11.053950786115729</v>
      </c>
      <c r="DH47" s="21">
        <f>EXP(-LN(2)/2)*DH46+(1-EXP(-LN(2)/2))/(LN(2)/2)*DB47*DE47*VLOOKUP('Données projet'!$B$13,Paramètres!$A$1:$I$89,3,0)*0.475*44/12</f>
        <v>3.4152932067582764</v>
      </c>
      <c r="DI47" s="22">
        <f t="shared" si="15"/>
        <v>16.168224581988589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11.4</v>
      </c>
      <c r="DO47" s="12">
        <f>IF('Données projet'!$A$166&gt;35,DO46+DN47-DW46,IF(A47&lt;'Données projet'!$A$166,$DL$205^A47,IF(A47='Données projet'!$A$166,'Données projet'!$B$166,DO46+DN47-DW46)))</f>
        <v>268.59999999999991</v>
      </c>
      <c r="DP47" s="17">
        <f>DO47*VLOOKUP('Données projet'!$B$14,Paramètres!$A$1:$I$89,3,0)*VLOOKUP('Données projet'!$B$14,Paramètres!$A$1:$I$89,5,0)</f>
        <v>259.78991999999994</v>
      </c>
      <c r="DQ47" s="13">
        <f t="shared" si="43"/>
        <v>62.677595283221279</v>
      </c>
      <c r="DR47" s="20">
        <f t="shared" si="16"/>
        <v>561.63092245161022</v>
      </c>
      <c r="DS47" s="59">
        <f t="shared" si="17"/>
        <v>812.52139118974765</v>
      </c>
      <c r="DT47" s="59">
        <f ca="1">AVERAGE(OFFSET($DS$3,0,0,'Données projet'!$E$14+1,1))-AVERAGE(OFFSET($H$3,0,0,'Données projet'!$E$14+1,1))</f>
        <v>508.3185483454435</v>
      </c>
      <c r="DU47" s="59">
        <f t="shared" si="44"/>
        <v>487.08233034004945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1.6989805891145837</v>
      </c>
      <c r="EB47" s="21">
        <f>EXP(-LN(2)/25)*EB46+(1-EXP(-LN(2)/25))/(LN(2)/25)*Calculateur!DW47*Calculateur!DY47*VLOOKUP('Données projet'!$B$14,Paramètres!$A$1:$I$89,3,0)*0.475*44/12</f>
        <v>11.053950786115729</v>
      </c>
      <c r="EC47" s="21">
        <f>EXP(-LN(2)/2)*EC46+(1-EXP(-LN(2)/2))/(LN(2)/2)*DW47*DZ47*VLOOKUP('Données projet'!$B$14,Paramètres!$A$1:$I$89,3,0)*0.475*44/12</f>
        <v>3.4152932067582764</v>
      </c>
      <c r="ED47" s="22">
        <f t="shared" si="18"/>
        <v>16.168224581988589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11.25</v>
      </c>
      <c r="N48" s="13">
        <f>IF('Données projet'!$A$36&gt;35,N47+M48-V47,IF(A48&lt;'Données projet'!$A$36,$K$205^A48,IF(A48='Données projet'!$A$36,'Données projet'!$B$36,N47+M48-V47)))</f>
        <v>153.25</v>
      </c>
      <c r="O48" s="13">
        <f>N48*VLOOKUP('Données projet'!$B$9,Paramètres!$A$1:$I$89,3,0)*VLOOKUP('Données projet'!$B$9,Paramètres!$A$1:$I$89,5,0)</f>
        <v>138.66059999999999</v>
      </c>
      <c r="P48" s="13">
        <f t="shared" si="33"/>
        <v>35.989996302499641</v>
      </c>
      <c r="Q48" s="20">
        <f t="shared" si="53"/>
        <v>304.18312189352014</v>
      </c>
      <c r="R48" s="59">
        <f t="shared" si="0"/>
        <v>555.80987944435424</v>
      </c>
      <c r="S48" s="59">
        <f ca="1">AVERAGE(OFFSET($R$3,0,0,'Données projet'!$E$9+1,1))-AVERAGE(OFFSET($H$3,0,0,'Données projet'!$E$9+1,1))</f>
        <v>569.49435820174267</v>
      </c>
      <c r="T48" s="59">
        <f t="shared" si="34"/>
        <v>295.37730858134739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9.5838815153195274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9.5838815153195274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11.25</v>
      </c>
      <c r="AI48" s="13">
        <f>IF('Données projet'!$A$62&gt;35,AI47+AH48-AQ47,IF(A48&lt;'Données projet'!$A$62,$AF$205^A48,IF(A48='Données projet'!$A$62,'Données projet'!$B$62,AI47+AH48-AQ47)))</f>
        <v>153.25</v>
      </c>
      <c r="AJ48" s="13">
        <f>AI48*VLOOKUP('Données projet'!$B$10,Paramètres!$A$1:$I$89,3,0)*VLOOKUP('Données projet'!$B$10,Paramètres!$A$1:$I$89,5,0)</f>
        <v>155.3955</v>
      </c>
      <c r="AK48" s="13">
        <f t="shared" si="35"/>
        <v>39.802199194817561</v>
      </c>
      <c r="AL48" s="20">
        <f t="shared" si="4"/>
        <v>339.96932609764059</v>
      </c>
      <c r="AM48" s="59">
        <f t="shared" si="5"/>
        <v>591.59608364847475</v>
      </c>
      <c r="AN48" s="59">
        <f ca="1">AVERAGE(OFFSET($AM$3,0,0,'Données projet'!$E$10+1,1))-AVERAGE(OFFSET($H$3,0,0,'Données projet'!$E$10+1,1))</f>
        <v>627.83896530587367</v>
      </c>
      <c r="AO48" s="59">
        <f t="shared" si="36"/>
        <v>323.54927030899489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10.740556870616713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10.740556870616713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280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279.99999999999989</v>
      </c>
      <c r="BE48" s="13">
        <f>BD48*VLOOKUP('Données projet'!$B$11,Paramètres!$A$1:$I$89,3,0)*VLOOKUP('Données projet'!$B$11,Paramètres!$A$1:$I$89,5,0)</f>
        <v>270.81599999999992</v>
      </c>
      <c r="BF48" s="13">
        <f t="shared" si="37"/>
        <v>65.022414656032311</v>
      </c>
      <c r="BG48" s="20">
        <f t="shared" si="7"/>
        <v>584.91857219258952</v>
      </c>
      <c r="BH48" s="59">
        <f t="shared" si="8"/>
        <v>836.54532974342362</v>
      </c>
      <c r="BI48" s="59">
        <f ca="1">AVERAGE(OFFSET($BH$3,0,0,'Données projet'!$E$11+1,1))-AVERAGE(OFFSET($H$3,0,0,'Données projet'!$E$11+1,1))</f>
        <v>508.3185483454435</v>
      </c>
      <c r="BJ48" s="59">
        <f t="shared" si="38"/>
        <v>487.08233034004945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0.129</v>
      </c>
      <c r="BN48" s="16">
        <f>IF(ISNA(VLOOKUP(A48,'Données projet'!$A$87:$I$107,6,0)),0%,VLOOKUP(A48,'Données projet'!$A$87:$I$107,6,0)*VLOOKUP('Données projet'!$B$11,Paramètres!$A$1:$I$89,7,0))</f>
        <v>8.6000000000000007E-2</v>
      </c>
      <c r="BO48" s="16">
        <f>IF(ISNA(VLOOKUP(A48,'Données projet'!$A$87:$I$107,7,0)),0%,VLOOKUP(A48,'Données projet'!$A$87:$I$107,7,0))</f>
        <v>0.3</v>
      </c>
      <c r="BP48" s="21">
        <f>EXP(-LN(2)/35)*BP47+(1-EXP(-LN(2)/35))/(LN(2)/35)*BL48*BM48*VLOOKUP('Données projet'!$B$11,Paramètres!$A$1:$I$89,3,0)*0.475*44/12</f>
        <v>5.2517981459745213</v>
      </c>
      <c r="BQ48" s="21">
        <f>EXP(-LN(2)/25)*BQ47+(1-EXP(-LN(2)/25))/(LN(2)/25)*Calculateur!BL48*Calculateur!BN48*VLOOKUP('Données projet'!$B$11,Paramètres!$A$1:$I$89,3,0)*0.475*44/12</f>
        <v>13.13302229110424</v>
      </c>
      <c r="BR48" s="21">
        <f>EXP(-LN(2)/2)*BR47+(1-EXP(-LN(2)/2))/(LN(2)/2)*BL48*BO48*VLOOKUP('Données projet'!$B$11,Paramètres!$A$1:$I$89,3,0)*0.475*44/12</f>
        <v>9.5330949943285113</v>
      </c>
      <c r="BS48" s="22">
        <f t="shared" si="9"/>
        <v>27.917915431407273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280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279.99999999999989</v>
      </c>
      <c r="BZ48" s="13">
        <f>BY48*VLOOKUP('Données projet'!$B$12,Paramètres!$A$1:$I$89,3,0)*VLOOKUP('Données projet'!$B$12,Paramètres!$A$1:$I$89,5,0)</f>
        <v>227.13599999999991</v>
      </c>
      <c r="CA48" s="13">
        <f t="shared" si="39"/>
        <v>55.662966886685133</v>
      </c>
      <c r="CB48" s="20">
        <f t="shared" si="10"/>
        <v>492.54153399430976</v>
      </c>
      <c r="CC48" s="59">
        <f t="shared" si="11"/>
        <v>744.16829154514392</v>
      </c>
      <c r="CD48" s="59">
        <f ca="1">AVERAGE(OFFSET($CC$3,0,0,'Données projet'!$E$12+1,1))-AVERAGE(OFFSET($H$3,0,0,'Données projet'!$E$12+1,1))</f>
        <v>436.50252985867149</v>
      </c>
      <c r="CE48" s="59">
        <f t="shared" si="40"/>
        <v>419.00806288456329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0.129</v>
      </c>
      <c r="CI48" s="16">
        <f>IF(ISNA(VLOOKUP(A48,'Données projet'!$A$113:$I$133,6,0)),0%,VLOOKUP(A48,'Données projet'!$A$113:$I$133,6,0)*VLOOKUP('Données projet'!$B$12,Paramètres!$A$1:$I$89,7,0))</f>
        <v>8.6000000000000007E-2</v>
      </c>
      <c r="CJ48" s="16">
        <f>IF(ISNA(VLOOKUP(A48,'Données projet'!$A$113:$I$133,7,0)),0%,VLOOKUP(A48,'Données projet'!$A$113:$I$133,7,0))</f>
        <v>0.3</v>
      </c>
      <c r="CK48" s="21">
        <f>EXP(-LN(2)/35)*CK47+(1-EXP(-LN(2)/35))/(LN(2)/35)*CG48*CH48*VLOOKUP('Données projet'!$B$12,Paramètres!$A$1:$I$89,3,0)*0.475*44/12</f>
        <v>4.4047339288818579</v>
      </c>
      <c r="CL48" s="21">
        <f>EXP(-LN(2)/25)*CL47+(1-EXP(-LN(2)/25))/(LN(2)/25)*Calculateur!CG48*Calculateur!CI48*VLOOKUP('Données projet'!$B$12,Paramètres!$A$1:$I$89,3,0)*0.475*44/12</f>
        <v>11.014792889313235</v>
      </c>
      <c r="CM48" s="21">
        <f>EXP(-LN(2)/2)*CM47+(1-EXP(-LN(2)/2))/(LN(2)/2)*CG48*CJ48*VLOOKUP('Données projet'!$B$12,Paramètres!$A$1:$I$89,3,0)*0.475*44/12</f>
        <v>7.9954990275013316</v>
      </c>
      <c r="CN48" s="22">
        <f t="shared" si="12"/>
        <v>23.415025845696423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280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279.99999999999989</v>
      </c>
      <c r="CU48" s="17">
        <f>CT48*VLOOKUP('Données projet'!$B$13,Paramètres!$A$1:$I$89,3,0)*VLOOKUP('Données projet'!$B$13,Paramètres!$A$1:$I$89,5,0)</f>
        <v>270.81599999999992</v>
      </c>
      <c r="CV48" s="13">
        <f t="shared" si="41"/>
        <v>65.022414656032311</v>
      </c>
      <c r="CW48" s="20">
        <f t="shared" si="13"/>
        <v>584.91857219258952</v>
      </c>
      <c r="CX48" s="59">
        <f t="shared" si="14"/>
        <v>836.54532974342362</v>
      </c>
      <c r="CY48" s="59">
        <f ca="1">AVERAGE(OFFSET($CX$3,0,0,'Données projet'!$E$13+1,1))-AVERAGE(OFFSET($H$3,0,0,'Données projet'!$E$13+1,1))</f>
        <v>508.3185483454435</v>
      </c>
      <c r="CZ48" s="59">
        <f t="shared" si="42"/>
        <v>487.08233034004945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8.6000000000000007E-2</v>
      </c>
      <c r="DE48" s="16">
        <f>IF(ISNA(VLOOKUP(A48,'Données projet'!$A$139:$I$159,7,0)),0%,VLOOKUP(A48,'Données projet'!$A$139:$I$159,7,0))</f>
        <v>0.3</v>
      </c>
      <c r="DF48" s="21">
        <f>EXP(-LN(2)/35)*DF47+(1-EXP(-LN(2)/35))/(LN(2)/35)*DB48*DC48*VLOOKUP('Données projet'!$B$13,Paramètres!$A$1:$I$89,3,0)*0.475*44/12</f>
        <v>5.2517981459745213</v>
      </c>
      <c r="DG48" s="21">
        <f>EXP(-LN(2)/25)*DG47+(1-EXP(-LN(2)/25))/(LN(2)/25)*Calculateur!DB48*Calculateur!DD48*VLOOKUP('Données projet'!$B$13,Paramètres!$A$1:$I$89,3,0)*0.475*44/12</f>
        <v>13.13302229110424</v>
      </c>
      <c r="DH48" s="21">
        <f>EXP(-LN(2)/2)*DH47+(1-EXP(-LN(2)/2))/(LN(2)/2)*DB48*DE48*VLOOKUP('Données projet'!$B$13,Paramètres!$A$1:$I$89,3,0)*0.475*44/12</f>
        <v>9.5330949943285113</v>
      </c>
      <c r="DI48" s="22">
        <f t="shared" si="15"/>
        <v>27.917915431407273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280</v>
      </c>
      <c r="DM48" s="12">
        <f>VLOOKUP(A48,'Données projet'!$A$165:$I$185,9,0)</f>
        <v>11.4</v>
      </c>
      <c r="DN48" s="12">
        <f t="array" ref="DN48">INDEX(DM:DM,MIN(IF(ISNUMBER(DM48:DM244),ROW(DM48:DM244),"")))</f>
        <v>11.4</v>
      </c>
      <c r="DO48" s="12">
        <f>IF('Données projet'!$A$166&gt;35,DO47+DN48-DW47,IF(A48&lt;'Données projet'!$A$166,$DL$205^A48,IF(A48='Données projet'!$A$166,'Données projet'!$B$166,DO47+DN48-DW47)))</f>
        <v>279.99999999999989</v>
      </c>
      <c r="DP48" s="17">
        <f>DO48*VLOOKUP('Données projet'!$B$14,Paramètres!$A$1:$I$89,3,0)*VLOOKUP('Données projet'!$B$14,Paramètres!$A$1:$I$89,5,0)</f>
        <v>270.81599999999992</v>
      </c>
      <c r="DQ48" s="13">
        <f t="shared" si="43"/>
        <v>65.022414656032311</v>
      </c>
      <c r="DR48" s="20">
        <f t="shared" si="16"/>
        <v>584.91857219258952</v>
      </c>
      <c r="DS48" s="59">
        <f t="shared" si="17"/>
        <v>836.54532974342362</v>
      </c>
      <c r="DT48" s="59">
        <f ca="1">AVERAGE(OFFSET($DS$3,0,0,'Données projet'!$E$14+1,1))-AVERAGE(OFFSET($H$3,0,0,'Données projet'!$E$14+1,1))</f>
        <v>508.3185483454435</v>
      </c>
      <c r="DU48" s="59">
        <f t="shared" si="44"/>
        <v>487.08233034004945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26</v>
      </c>
      <c r="DX48" s="16">
        <f>IF(ISNA(VLOOKUP(A48,'Données projet'!$A$165:$I$185,5,0)),0%,VLOOKUP(A48,'Données projet'!$A$165:$I$185,5,0)*VLOOKUP('Données projet'!$B$14,Paramètres!$A$1:$I$89,7,0))</f>
        <v>0.129</v>
      </c>
      <c r="DY48" s="16">
        <f>IF(ISNA(VLOOKUP(A48,'Données projet'!$A$165:$I$185,6,0)),0%,VLOOKUP(A48,'Données projet'!$A$165:$I$185,6,0)*VLOOKUP('Données projet'!$B$14,Paramètres!$A$1:$I$89,7,0))</f>
        <v>8.6000000000000007E-2</v>
      </c>
      <c r="DZ48" s="16">
        <f>IF(ISNA(VLOOKUP(A48,'Données projet'!$A$165:$I$185,7,0)),0%,VLOOKUP(A48,'Données projet'!$A$165:$I$185,7,0))</f>
        <v>0.3</v>
      </c>
      <c r="EA48" s="21">
        <f>EXP(-LN(2)/35)*EA47+(1-EXP(-LN(2)/35))/(LN(2)/35)*DW48*DX48*VLOOKUP('Données projet'!$B$14,Paramètres!$A$1:$I$89,3,0)*0.475*44/12</f>
        <v>5.2517981459745213</v>
      </c>
      <c r="EB48" s="21">
        <f>EXP(-LN(2)/25)*EB47+(1-EXP(-LN(2)/25))/(LN(2)/25)*Calculateur!DW48*Calculateur!DY48*VLOOKUP('Données projet'!$B$14,Paramètres!$A$1:$I$89,3,0)*0.475*44/12</f>
        <v>13.13302229110424</v>
      </c>
      <c r="EC48" s="21">
        <f>EXP(-LN(2)/2)*EC47+(1-EXP(-LN(2)/2))/(LN(2)/2)*DW48*DZ48*VLOOKUP('Données projet'!$B$14,Paramètres!$A$1:$I$89,3,0)*0.475*44/12</f>
        <v>9.5330949943285113</v>
      </c>
      <c r="ED48" s="22">
        <f t="shared" si="18"/>
        <v>27.917915431407273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11.25</v>
      </c>
      <c r="N49" s="13">
        <f>IF('Données projet'!$A$36&gt;35,N48+M49-V48,IF(A49&lt;'Données projet'!$A$36,$K$205^A49,IF(A49='Données projet'!$A$36,'Données projet'!$B$36,N48+M49-V48)))</f>
        <v>164.5</v>
      </c>
      <c r="O49" s="13">
        <f>N49*VLOOKUP('Données projet'!$B$9,Paramètres!$A$1:$I$89,3,0)*VLOOKUP('Données projet'!$B$9,Paramètres!$A$1:$I$89,5,0)</f>
        <v>148.83959999999999</v>
      </c>
      <c r="P49" s="13">
        <f t="shared" si="33"/>
        <v>38.314761484407484</v>
      </c>
      <c r="Q49" s="20">
        <f t="shared" si="53"/>
        <v>325.96051291867633</v>
      </c>
      <c r="R49" s="59">
        <f t="shared" si="0"/>
        <v>578.31078631740195</v>
      </c>
      <c r="S49" s="59">
        <f ca="1">AVERAGE(OFFSET($R$3,0,0,'Données projet'!$E$9+1,1))-AVERAGE(OFFSET($H$3,0,0,'Données projet'!$E$9+1,1))</f>
        <v>569.49435820174267</v>
      </c>
      <c r="T49" s="59">
        <f t="shared" si="34"/>
        <v>295.37730858134739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9.3218097712886898</v>
      </c>
      <c r="AB49" s="21">
        <f>EXP(-LN(2)/2)*AB48+(1-EXP(-LN(2)/2))/(LN(2)/2)*V49*Y49*VLOOKUP('Données projet'!$B$9,Paramètres!$A$1:$I$89,3,0)*0.475*44/12</f>
        <v>0</v>
      </c>
      <c r="AC49" s="22">
        <f t="shared" si="3"/>
        <v>9.3218097712886898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11.25</v>
      </c>
      <c r="AI49" s="13">
        <f>IF('Données projet'!$A$62&gt;35,AI48+AH49-AQ48,IF(A49&lt;'Données projet'!$A$62,$AF$205^A49,IF(A49='Données projet'!$A$62,'Données projet'!$B$62,AI48+AH49-AQ48)))</f>
        <v>164.5</v>
      </c>
      <c r="AJ49" s="13">
        <f>AI49*VLOOKUP('Données projet'!$B$10,Paramètres!$A$1:$I$89,3,0)*VLOOKUP('Données projet'!$B$10,Paramètres!$A$1:$I$89,5,0)</f>
        <v>166.803</v>
      </c>
      <c r="AK49" s="13">
        <f t="shared" si="35"/>
        <v>42.373212708510096</v>
      </c>
      <c r="AL49" s="20">
        <f t="shared" si="4"/>
        <v>364.31523713398838</v>
      </c>
      <c r="AM49" s="59">
        <f t="shared" si="5"/>
        <v>616.66551053271405</v>
      </c>
      <c r="AN49" s="59">
        <f ca="1">AVERAGE(OFFSET($AM$3,0,0,'Données projet'!$E$10+1,1))-AVERAGE(OFFSET($H$3,0,0,'Données projet'!$E$10+1,1))</f>
        <v>627.83896530587367</v>
      </c>
      <c r="AO49" s="59">
        <f t="shared" si="36"/>
        <v>323.54927030899489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10.446855778168361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10.446855778168361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263.7999999999999</v>
      </c>
      <c r="BE49" s="13">
        <f>BD49*VLOOKUP('Données projet'!$B$11,Paramètres!$A$1:$I$89,3,0)*VLOOKUP('Données projet'!$B$11,Paramètres!$A$1:$I$89,5,0)</f>
        <v>255.14735999999991</v>
      </c>
      <c r="BF49" s="13">
        <f t="shared" si="37"/>
        <v>61.686859728645651</v>
      </c>
      <c r="BG49" s="20">
        <f t="shared" si="7"/>
        <v>551.81959936072428</v>
      </c>
      <c r="BH49" s="59">
        <f t="shared" si="8"/>
        <v>804.16987275944996</v>
      </c>
      <c r="BI49" s="59">
        <f ca="1">AVERAGE(OFFSET($BH$3,0,0,'Données projet'!$E$11+1,1))-AVERAGE(OFFSET($H$3,0,0,'Données projet'!$E$11+1,1))</f>
        <v>508.3185483454435</v>
      </c>
      <c r="BJ49" s="59">
        <f t="shared" si="38"/>
        <v>487.08233034004945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5.1488135876125325</v>
      </c>
      <c r="BQ49" s="21">
        <f>EXP(-LN(2)/25)*BQ48+(1-EXP(-LN(2)/25))/(LN(2)/25)*Calculateur!BL49*Calculateur!BN49*VLOOKUP('Données projet'!$B$11,Paramètres!$A$1:$I$89,3,0)*0.475*44/12</f>
        <v>12.773899105918368</v>
      </c>
      <c r="BR49" s="21">
        <f>EXP(-LN(2)/2)*BR48+(1-EXP(-LN(2)/2))/(LN(2)/2)*BL49*BO49*VLOOKUP('Données projet'!$B$11,Paramètres!$A$1:$I$89,3,0)*0.475*44/12</f>
        <v>6.7409161161852227</v>
      </c>
      <c r="BS49" s="22">
        <f t="shared" si="9"/>
        <v>24.663628809716123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9.8000000000000007</v>
      </c>
      <c r="BY49" s="12">
        <f>IF('Données projet'!$A$114&gt;35,BY48+BX49-CG48,IF(A49&lt;'Données projet'!$A$114,$BV$205^A49,IF(A49='Données projet'!$A$114,'Données projet'!$B$114,BY48+BX49-CG48)))</f>
        <v>263.7999999999999</v>
      </c>
      <c r="BZ49" s="13">
        <f>BY49*VLOOKUP('Données projet'!$B$12,Paramètres!$A$1:$I$89,3,0)*VLOOKUP('Données projet'!$B$12,Paramètres!$A$1:$I$89,5,0)</f>
        <v>213.99455999999995</v>
      </c>
      <c r="CA49" s="13">
        <f t="shared" si="39"/>
        <v>52.807537963382018</v>
      </c>
      <c r="CB49" s="20">
        <f t="shared" si="10"/>
        <v>464.68032061955699</v>
      </c>
      <c r="CC49" s="59">
        <f t="shared" si="11"/>
        <v>717.03059401828261</v>
      </c>
      <c r="CD49" s="59">
        <f ca="1">AVERAGE(OFFSET($CC$3,0,0,'Données projet'!$E$12+1,1))-AVERAGE(OFFSET($H$3,0,0,'Données projet'!$E$12+1,1))</f>
        <v>436.50252985867149</v>
      </c>
      <c r="CE49" s="59">
        <f t="shared" si="40"/>
        <v>419.00806288456329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4.3183597831588996</v>
      </c>
      <c r="CL49" s="21">
        <f>EXP(-LN(2)/25)*CL48+(1-EXP(-LN(2)/25))/(LN(2)/25)*Calculateur!CG49*Calculateur!CI49*VLOOKUP('Données projet'!$B$12,Paramètres!$A$1:$I$89,3,0)*0.475*44/12</f>
        <v>10.713592798512181</v>
      </c>
      <c r="CM49" s="21">
        <f>EXP(-LN(2)/2)*CM48+(1-EXP(-LN(2)/2))/(LN(2)/2)*CG49*CJ49*VLOOKUP('Données projet'!$B$12,Paramètres!$A$1:$I$89,3,0)*0.475*44/12</f>
        <v>5.6536715813166376</v>
      </c>
      <c r="CN49" s="22">
        <f t="shared" si="12"/>
        <v>20.685624162987718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9.8000000000000007</v>
      </c>
      <c r="CT49" s="12">
        <f>IF('Données projet'!$A$140&gt;35,CT48+CS49-DB48,IF(A49&lt;'Données projet'!$A$140,$CQ$205^A49,IF(A49='Données projet'!$A$140,'Données projet'!$B$140,CT48+CS49-DB48)))</f>
        <v>263.7999999999999</v>
      </c>
      <c r="CU49" s="17">
        <f>CT49*VLOOKUP('Données projet'!$B$13,Paramètres!$A$1:$I$89,3,0)*VLOOKUP('Données projet'!$B$13,Paramètres!$A$1:$I$89,5,0)</f>
        <v>255.14735999999991</v>
      </c>
      <c r="CV49" s="13">
        <f t="shared" si="41"/>
        <v>61.686859728645651</v>
      </c>
      <c r="CW49" s="20">
        <f t="shared" si="13"/>
        <v>551.81959936072428</v>
      </c>
      <c r="CX49" s="59">
        <f t="shared" si="14"/>
        <v>804.16987275944996</v>
      </c>
      <c r="CY49" s="59">
        <f ca="1">AVERAGE(OFFSET($CX$3,0,0,'Données projet'!$E$13+1,1))-AVERAGE(OFFSET($H$3,0,0,'Données projet'!$E$13+1,1))</f>
        <v>508.3185483454435</v>
      </c>
      <c r="CZ49" s="59">
        <f t="shared" si="42"/>
        <v>487.08233034004945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5.1488135876125325</v>
      </c>
      <c r="DG49" s="21">
        <f>EXP(-LN(2)/25)*DG48+(1-EXP(-LN(2)/25))/(LN(2)/25)*Calculateur!DB49*Calculateur!DD49*VLOOKUP('Données projet'!$B$13,Paramètres!$A$1:$I$89,3,0)*0.475*44/12</f>
        <v>12.773899105918368</v>
      </c>
      <c r="DH49" s="21">
        <f>EXP(-LN(2)/2)*DH48+(1-EXP(-LN(2)/2))/(LN(2)/2)*DB49*DE49*VLOOKUP('Données projet'!$B$13,Paramètres!$A$1:$I$89,3,0)*0.475*44/12</f>
        <v>6.7409161161852227</v>
      </c>
      <c r="DI49" s="22">
        <f t="shared" si="15"/>
        <v>24.663628809716123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9.8000000000000007</v>
      </c>
      <c r="DO49" s="12">
        <f>IF('Données projet'!$A$166&gt;35,DO48+DN49-DW48,IF(A49&lt;'Données projet'!$A$166,$DL$205^A49,IF(A49='Données projet'!$A$166,'Données projet'!$B$166,DO48+DN49-DW48)))</f>
        <v>263.7999999999999</v>
      </c>
      <c r="DP49" s="17">
        <f>DO49*VLOOKUP('Données projet'!$B$14,Paramètres!$A$1:$I$89,3,0)*VLOOKUP('Données projet'!$B$14,Paramètres!$A$1:$I$89,5,0)</f>
        <v>255.14735999999991</v>
      </c>
      <c r="DQ49" s="13">
        <f t="shared" si="43"/>
        <v>61.686859728645651</v>
      </c>
      <c r="DR49" s="20">
        <f t="shared" si="16"/>
        <v>551.81959936072428</v>
      </c>
      <c r="DS49" s="59">
        <f t="shared" si="17"/>
        <v>804.16987275944996</v>
      </c>
      <c r="DT49" s="59">
        <f ca="1">AVERAGE(OFFSET($DS$3,0,0,'Données projet'!$E$14+1,1))-AVERAGE(OFFSET($H$3,0,0,'Données projet'!$E$14+1,1))</f>
        <v>508.3185483454435</v>
      </c>
      <c r="DU49" s="59">
        <f t="shared" si="44"/>
        <v>487.08233034004945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5.1488135876125325</v>
      </c>
      <c r="EB49" s="21">
        <f>EXP(-LN(2)/25)*EB48+(1-EXP(-LN(2)/25))/(LN(2)/25)*Calculateur!DW49*Calculateur!DY49*VLOOKUP('Données projet'!$B$14,Paramètres!$A$1:$I$89,3,0)*0.475*44/12</f>
        <v>12.773899105918368</v>
      </c>
      <c r="EC49" s="21">
        <f>EXP(-LN(2)/2)*EC48+(1-EXP(-LN(2)/2))/(LN(2)/2)*DW49*DZ49*VLOOKUP('Données projet'!$B$14,Paramètres!$A$1:$I$89,3,0)*0.475*44/12</f>
        <v>6.7409161161852227</v>
      </c>
      <c r="ED49" s="22">
        <f t="shared" si="18"/>
        <v>24.663628809716123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11.25</v>
      </c>
      <c r="N50" s="13">
        <f>IF('Données projet'!$A$36&gt;35,N49+M50-V49,IF(A50&lt;'Données projet'!$A$36,$K$205^A50,IF(A50='Données projet'!$A$36,'Données projet'!$B$36,N49+M50-V49)))</f>
        <v>175.75</v>
      </c>
      <c r="O50" s="13">
        <f>N50*VLOOKUP('Données projet'!$B$9,Paramètres!$A$1:$I$89,3,0)*VLOOKUP('Données projet'!$B$9,Paramètres!$A$1:$I$89,5,0)</f>
        <v>159.01859999999999</v>
      </c>
      <c r="P50" s="13">
        <f t="shared" si="33"/>
        <v>40.62107869517753</v>
      </c>
      <c r="Q50" s="20">
        <f t="shared" si="53"/>
        <v>347.70577372743418</v>
      </c>
      <c r="R50" s="59">
        <f t="shared" si="0"/>
        <v>600.76701159162963</v>
      </c>
      <c r="S50" s="59">
        <f ca="1">AVERAGE(OFFSET($R$3,0,0,'Données projet'!$E$9+1,1))-AVERAGE(OFFSET($H$3,0,0,'Données projet'!$E$9+1,1))</f>
        <v>569.49435820174267</v>
      </c>
      <c r="T50" s="59">
        <f t="shared" si="34"/>
        <v>295.37730858134739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9.0669043928801294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9.0669043928801294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11.25</v>
      </c>
      <c r="AI50" s="13">
        <f>IF('Données projet'!$A$62&gt;35,AI49+AH50-AQ49,IF(A50&lt;'Données projet'!$A$62,$AF$205^A50,IF(A50='Données projet'!$A$62,'Données projet'!$B$62,AI49+AH50-AQ49)))</f>
        <v>175.75</v>
      </c>
      <c r="AJ50" s="13">
        <f>AI50*VLOOKUP('Données projet'!$B$10,Paramètres!$A$1:$I$89,3,0)*VLOOKUP('Données projet'!$B$10,Paramètres!$A$1:$I$89,5,0)</f>
        <v>178.2105</v>
      </c>
      <c r="AK50" s="13">
        <f t="shared" si="35"/>
        <v>44.923824168926657</v>
      </c>
      <c r="AL50" s="20">
        <f t="shared" si="4"/>
        <v>388.62561459421386</v>
      </c>
      <c r="AM50" s="59">
        <f t="shared" si="5"/>
        <v>641.68685245840925</v>
      </c>
      <c r="AN50" s="59">
        <f ca="1">AVERAGE(OFFSET($AM$3,0,0,'Données projet'!$E$10+1,1))-AVERAGE(OFFSET($H$3,0,0,'Données projet'!$E$10+1,1))</f>
        <v>627.83896530587367</v>
      </c>
      <c r="AO50" s="59">
        <f t="shared" si="36"/>
        <v>323.54927030899489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10.161185957538079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10.161185957538079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273.59999999999991</v>
      </c>
      <c r="BE50" s="13">
        <f>BD50*VLOOKUP('Données projet'!$B$11,Paramètres!$A$1:$I$89,3,0)*VLOOKUP('Données projet'!$B$11,Paramètres!$A$1:$I$89,5,0)</f>
        <v>264.62591999999995</v>
      </c>
      <c r="BF50" s="13">
        <f t="shared" si="37"/>
        <v>63.707422801198604</v>
      </c>
      <c r="BG50" s="20">
        <f t="shared" si="7"/>
        <v>571.84723871208746</v>
      </c>
      <c r="BH50" s="59">
        <f t="shared" si="8"/>
        <v>824.90847657628285</v>
      </c>
      <c r="BI50" s="59">
        <f ca="1">AVERAGE(OFFSET($BH$3,0,0,'Données projet'!$E$11+1,1))-AVERAGE(OFFSET($H$3,0,0,'Données projet'!$E$11+1,1))</f>
        <v>508.3185483454435</v>
      </c>
      <c r="BJ50" s="59">
        <f t="shared" si="38"/>
        <v>487.08233034004945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5.0478484936256436</v>
      </c>
      <c r="BQ50" s="21">
        <f>EXP(-LN(2)/25)*BQ49+(1-EXP(-LN(2)/25))/(LN(2)/25)*Calculateur!BL50*Calculateur!BN50*VLOOKUP('Données projet'!$B$11,Paramètres!$A$1:$I$89,3,0)*0.475*44/12</f>
        <v>12.42459616311687</v>
      </c>
      <c r="BR50" s="21">
        <f>EXP(-LN(2)/2)*BR49+(1-EXP(-LN(2)/2))/(LN(2)/2)*BL50*BO50*VLOOKUP('Données projet'!$B$11,Paramètres!$A$1:$I$89,3,0)*0.475*44/12</f>
        <v>4.7665474971642565</v>
      </c>
      <c r="BS50" s="22">
        <f t="shared" si="9"/>
        <v>22.238992153906771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9.8000000000000007</v>
      </c>
      <c r="BY50" s="12">
        <f>IF('Données projet'!$A$114&gt;35,BY49+BX50-CG49,IF(A50&lt;'Données projet'!$A$114,$BV$205^A50,IF(A50='Données projet'!$A$114,'Données projet'!$B$114,BY49+BX50-CG49)))</f>
        <v>273.59999999999991</v>
      </c>
      <c r="BZ50" s="13">
        <f>BY50*VLOOKUP('Données projet'!$B$12,Paramètres!$A$1:$I$89,3,0)*VLOOKUP('Données projet'!$B$12,Paramètres!$A$1:$I$89,5,0)</f>
        <v>221.94431999999995</v>
      </c>
      <c r="CA50" s="13">
        <f t="shared" si="39"/>
        <v>54.537257414665724</v>
      </c>
      <c r="CB50" s="20">
        <f t="shared" si="10"/>
        <v>481.53874733054272</v>
      </c>
      <c r="CC50" s="59">
        <f t="shared" si="11"/>
        <v>734.59998519473811</v>
      </c>
      <c r="CD50" s="59">
        <f ca="1">AVERAGE(OFFSET($CC$3,0,0,'Données projet'!$E$12+1,1))-AVERAGE(OFFSET($H$3,0,0,'Données projet'!$E$12+1,1))</f>
        <v>436.50252985867149</v>
      </c>
      <c r="CE50" s="59">
        <f t="shared" si="40"/>
        <v>419.00806288456329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4.2336793817505409</v>
      </c>
      <c r="CL50" s="21">
        <f>EXP(-LN(2)/25)*CL49+(1-EXP(-LN(2)/25))/(LN(2)/25)*Calculateur!CG50*Calculateur!CI50*VLOOKUP('Données projet'!$B$12,Paramètres!$A$1:$I$89,3,0)*0.475*44/12</f>
        <v>10.420629040033507</v>
      </c>
      <c r="CM50" s="21">
        <f>EXP(-LN(2)/2)*CM49+(1-EXP(-LN(2)/2))/(LN(2)/2)*CG50*CJ50*VLOOKUP('Données projet'!$B$12,Paramètres!$A$1:$I$89,3,0)*0.475*44/12</f>
        <v>3.9977495137506662</v>
      </c>
      <c r="CN50" s="22">
        <f t="shared" si="12"/>
        <v>18.652057935534714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9.8000000000000007</v>
      </c>
      <c r="CT50" s="12">
        <f>IF('Données projet'!$A$140&gt;35,CT49+CS50-DB49,IF(A50&lt;'Données projet'!$A$140,$CQ$205^A50,IF(A50='Données projet'!$A$140,'Données projet'!$B$140,CT49+CS50-DB49)))</f>
        <v>273.59999999999991</v>
      </c>
      <c r="CU50" s="17">
        <f>CT50*VLOOKUP('Données projet'!$B$13,Paramètres!$A$1:$I$89,3,0)*VLOOKUP('Données projet'!$B$13,Paramètres!$A$1:$I$89,5,0)</f>
        <v>264.62591999999995</v>
      </c>
      <c r="CV50" s="13">
        <f t="shared" si="41"/>
        <v>63.707422801198604</v>
      </c>
      <c r="CW50" s="20">
        <f t="shared" si="13"/>
        <v>571.84723871208746</v>
      </c>
      <c r="CX50" s="59">
        <f t="shared" si="14"/>
        <v>824.90847657628285</v>
      </c>
      <c r="CY50" s="59">
        <f ca="1">AVERAGE(OFFSET($CX$3,0,0,'Données projet'!$E$13+1,1))-AVERAGE(OFFSET($H$3,0,0,'Données projet'!$E$13+1,1))</f>
        <v>508.3185483454435</v>
      </c>
      <c r="CZ50" s="59">
        <f t="shared" si="42"/>
        <v>487.08233034004945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5.0478484936256436</v>
      </c>
      <c r="DG50" s="21">
        <f>EXP(-LN(2)/25)*DG49+(1-EXP(-LN(2)/25))/(LN(2)/25)*Calculateur!DB50*Calculateur!DD50*VLOOKUP('Données projet'!$B$13,Paramètres!$A$1:$I$89,3,0)*0.475*44/12</f>
        <v>12.42459616311687</v>
      </c>
      <c r="DH50" s="21">
        <f>EXP(-LN(2)/2)*DH49+(1-EXP(-LN(2)/2))/(LN(2)/2)*DB50*DE50*VLOOKUP('Données projet'!$B$13,Paramètres!$A$1:$I$89,3,0)*0.475*44/12</f>
        <v>4.7665474971642565</v>
      </c>
      <c r="DI50" s="22">
        <f t="shared" si="15"/>
        <v>22.238992153906771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9.8000000000000007</v>
      </c>
      <c r="DO50" s="12">
        <f>IF('Données projet'!$A$166&gt;35,DO49+DN50-DW49,IF(A50&lt;'Données projet'!$A$166,$DL$205^A50,IF(A50='Données projet'!$A$166,'Données projet'!$B$166,DO49+DN50-DW49)))</f>
        <v>273.59999999999991</v>
      </c>
      <c r="DP50" s="17">
        <f>DO50*VLOOKUP('Données projet'!$B$14,Paramètres!$A$1:$I$89,3,0)*VLOOKUP('Données projet'!$B$14,Paramètres!$A$1:$I$89,5,0)</f>
        <v>264.62591999999995</v>
      </c>
      <c r="DQ50" s="13">
        <f t="shared" si="43"/>
        <v>63.707422801198604</v>
      </c>
      <c r="DR50" s="20">
        <f t="shared" si="16"/>
        <v>571.84723871208746</v>
      </c>
      <c r="DS50" s="59">
        <f t="shared" si="17"/>
        <v>824.90847657628285</v>
      </c>
      <c r="DT50" s="59">
        <f ca="1">AVERAGE(OFFSET($DS$3,0,0,'Données projet'!$E$14+1,1))-AVERAGE(OFFSET($H$3,0,0,'Données projet'!$E$14+1,1))</f>
        <v>508.3185483454435</v>
      </c>
      <c r="DU50" s="59">
        <f t="shared" si="44"/>
        <v>487.08233034004945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5.0478484936256436</v>
      </c>
      <c r="EB50" s="21">
        <f>EXP(-LN(2)/25)*EB49+(1-EXP(-LN(2)/25))/(LN(2)/25)*Calculateur!DW50*Calculateur!DY50*VLOOKUP('Données projet'!$B$14,Paramètres!$A$1:$I$89,3,0)*0.475*44/12</f>
        <v>12.42459616311687</v>
      </c>
      <c r="EC50" s="21">
        <f>EXP(-LN(2)/2)*EC49+(1-EXP(-LN(2)/2))/(LN(2)/2)*DW50*DZ50*VLOOKUP('Données projet'!$B$14,Paramètres!$A$1:$I$89,3,0)*0.475*44/12</f>
        <v>4.7665474971642565</v>
      </c>
      <c r="ED50" s="22">
        <f t="shared" si="18"/>
        <v>22.238992153906771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11.25</v>
      </c>
      <c r="N51" s="13">
        <f>IF('Données projet'!$A$36&gt;35,N50+M51-V50,IF(A51&lt;'Données projet'!$A$36,$K$205^A51,IF(A51='Données projet'!$A$36,'Données projet'!$B$36,N50+M51-V50)))</f>
        <v>187</v>
      </c>
      <c r="O51" s="13">
        <f>N51*VLOOKUP('Données projet'!$B$9,Paramètres!$A$1:$I$89,3,0)*VLOOKUP('Données projet'!$B$9,Paramètres!$A$1:$I$89,5,0)</f>
        <v>169.19759999999999</v>
      </c>
      <c r="P51" s="13">
        <f t="shared" si="33"/>
        <v>42.910263223432885</v>
      </c>
      <c r="Q51" s="20">
        <f t="shared" si="53"/>
        <v>369.42119511414558</v>
      </c>
      <c r="R51" s="59">
        <f t="shared" si="0"/>
        <v>623.18106379981327</v>
      </c>
      <c r="S51" s="59">
        <f ca="1">AVERAGE(OFFSET($R$3,0,0,'Données projet'!$E$9+1,1))-AVERAGE(OFFSET($H$3,0,0,'Données projet'!$E$9+1,1))</f>
        <v>569.49435820174267</v>
      </c>
      <c r="T51" s="59">
        <f t="shared" si="34"/>
        <v>295.37730858134739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8.8189694154490432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8.8189694154490432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11.25</v>
      </c>
      <c r="AI51" s="13">
        <f>IF('Données projet'!$A$62&gt;35,AI50+AH51-AQ50,IF(A51&lt;'Données projet'!$A$62,$AF$205^A51,IF(A51='Données projet'!$A$62,'Données projet'!$B$62,AI50+AH51-AQ50)))</f>
        <v>187</v>
      </c>
      <c r="AJ51" s="13">
        <f>AI51*VLOOKUP('Données projet'!$B$10,Paramètres!$A$1:$I$89,3,0)*VLOOKUP('Données projet'!$B$10,Paramètres!$A$1:$I$89,5,0)</f>
        <v>189.61799999999999</v>
      </c>
      <c r="AK51" s="13">
        <f t="shared" si="35"/>
        <v>47.4554881852685</v>
      </c>
      <c r="AL51" s="20">
        <f t="shared" si="4"/>
        <v>412.90299192267594</v>
      </c>
      <c r="AM51" s="59">
        <f t="shared" si="5"/>
        <v>666.66286060834364</v>
      </c>
      <c r="AN51" s="59">
        <f ca="1">AVERAGE(OFFSET($AM$3,0,0,'Données projet'!$E$10+1,1))-AVERAGE(OFFSET($H$3,0,0,'Données projet'!$E$10+1,1))</f>
        <v>627.83896530587367</v>
      </c>
      <c r="AO51" s="59">
        <f t="shared" si="36"/>
        <v>323.54927030899489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9.8833277931756545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9.8833277931756545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283.39999999999992</v>
      </c>
      <c r="BE51" s="13">
        <f>BD51*VLOOKUP('Données projet'!$B$11,Paramètres!$A$1:$I$89,3,0)*VLOOKUP('Données projet'!$B$11,Paramètres!$A$1:$I$89,5,0)</f>
        <v>274.10447999999991</v>
      </c>
      <c r="BF51" s="13">
        <f t="shared" si="37"/>
        <v>65.719577181765516</v>
      </c>
      <c r="BG51" s="20">
        <f t="shared" si="7"/>
        <v>591.86023292490802</v>
      </c>
      <c r="BH51" s="59">
        <f t="shared" si="8"/>
        <v>845.62010161057572</v>
      </c>
      <c r="BI51" s="59">
        <f ca="1">AVERAGE(OFFSET($BH$3,0,0,'Données projet'!$E$11+1,1))-AVERAGE(OFFSET($H$3,0,0,'Données projet'!$E$11+1,1))</f>
        <v>508.3185483454435</v>
      </c>
      <c r="BJ51" s="59">
        <f t="shared" si="38"/>
        <v>487.08233034004945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4.9488632635492111</v>
      </c>
      <c r="BQ51" s="21">
        <f>EXP(-LN(2)/25)*BQ50+(1-EXP(-LN(2)/25))/(LN(2)/25)*Calculateur!BL51*Calculateur!BN51*VLOOKUP('Données projet'!$B$11,Paramètres!$A$1:$I$89,3,0)*0.475*44/12</f>
        <v>12.084844927655324</v>
      </c>
      <c r="BR51" s="21">
        <f>EXP(-LN(2)/2)*BR50+(1-EXP(-LN(2)/2))/(LN(2)/2)*BL51*BO51*VLOOKUP('Données projet'!$B$11,Paramètres!$A$1:$I$89,3,0)*0.475*44/12</f>
        <v>3.3704580580926118</v>
      </c>
      <c r="BS51" s="22">
        <f t="shared" si="9"/>
        <v>20.404166249297148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9.8000000000000007</v>
      </c>
      <c r="BY51" s="12">
        <f>IF('Données projet'!$A$114&gt;35,BY50+BX51-CG50,IF(A51&lt;'Données projet'!$A$114,$BV$205^A51,IF(A51='Données projet'!$A$114,'Données projet'!$B$114,BY50+BX51-CG50)))</f>
        <v>283.39999999999992</v>
      </c>
      <c r="BZ51" s="13">
        <f>BY51*VLOOKUP('Données projet'!$B$12,Paramètres!$A$1:$I$89,3,0)*VLOOKUP('Données projet'!$B$12,Paramètres!$A$1:$I$89,5,0)</f>
        <v>229.89407999999995</v>
      </c>
      <c r="CA51" s="13">
        <f t="shared" si="39"/>
        <v>56.259778536787771</v>
      </c>
      <c r="CB51" s="20">
        <f t="shared" si="10"/>
        <v>498.38463695157185</v>
      </c>
      <c r="CC51" s="59">
        <f t="shared" si="11"/>
        <v>752.14450563723949</v>
      </c>
      <c r="CD51" s="59">
        <f ca="1">AVERAGE(OFFSET($CC$3,0,0,'Données projet'!$E$12+1,1))-AVERAGE(OFFSET($H$3,0,0,'Données projet'!$E$12+1,1))</f>
        <v>436.50252985867149</v>
      </c>
      <c r="CE51" s="59">
        <f t="shared" si="40"/>
        <v>419.00806288456329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4.1506595113638554</v>
      </c>
      <c r="CL51" s="21">
        <f>EXP(-LN(2)/25)*CL50+(1-EXP(-LN(2)/25))/(LN(2)/25)*Calculateur!CG51*Calculateur!CI51*VLOOKUP('Données projet'!$B$12,Paramètres!$A$1:$I$89,3,0)*0.475*44/12</f>
        <v>10.135676390936727</v>
      </c>
      <c r="CM51" s="21">
        <f>EXP(-LN(2)/2)*CM50+(1-EXP(-LN(2)/2))/(LN(2)/2)*CG51*CJ51*VLOOKUP('Données projet'!$B$12,Paramètres!$A$1:$I$89,3,0)*0.475*44/12</f>
        <v>2.8268357906583192</v>
      </c>
      <c r="CN51" s="22">
        <f t="shared" si="12"/>
        <v>17.1131716929589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9.8000000000000007</v>
      </c>
      <c r="CT51" s="12">
        <f>IF('Données projet'!$A$140&gt;35,CT50+CS51-DB50,IF(A51&lt;'Données projet'!$A$140,$CQ$205^A51,IF(A51='Données projet'!$A$140,'Données projet'!$B$140,CT50+CS51-DB50)))</f>
        <v>283.39999999999992</v>
      </c>
      <c r="CU51" s="17">
        <f>CT51*VLOOKUP('Données projet'!$B$13,Paramètres!$A$1:$I$89,3,0)*VLOOKUP('Données projet'!$B$13,Paramètres!$A$1:$I$89,5,0)</f>
        <v>274.10447999999991</v>
      </c>
      <c r="CV51" s="13">
        <f t="shared" si="41"/>
        <v>65.719577181765516</v>
      </c>
      <c r="CW51" s="20">
        <f t="shared" si="13"/>
        <v>591.86023292490802</v>
      </c>
      <c r="CX51" s="59">
        <f t="shared" si="14"/>
        <v>845.62010161057572</v>
      </c>
      <c r="CY51" s="59">
        <f ca="1">AVERAGE(OFFSET($CX$3,0,0,'Données projet'!$E$13+1,1))-AVERAGE(OFFSET($H$3,0,0,'Données projet'!$E$13+1,1))</f>
        <v>508.3185483454435</v>
      </c>
      <c r="CZ51" s="59">
        <f t="shared" si="42"/>
        <v>487.08233034004945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4.9488632635492111</v>
      </c>
      <c r="DG51" s="21">
        <f>EXP(-LN(2)/25)*DG50+(1-EXP(-LN(2)/25))/(LN(2)/25)*Calculateur!DB51*Calculateur!DD51*VLOOKUP('Données projet'!$B$13,Paramètres!$A$1:$I$89,3,0)*0.475*44/12</f>
        <v>12.084844927655324</v>
      </c>
      <c r="DH51" s="21">
        <f>EXP(-LN(2)/2)*DH50+(1-EXP(-LN(2)/2))/(LN(2)/2)*DB51*DE51*VLOOKUP('Données projet'!$B$13,Paramètres!$A$1:$I$89,3,0)*0.475*44/12</f>
        <v>3.3704580580926118</v>
      </c>
      <c r="DI51" s="22">
        <f t="shared" si="15"/>
        <v>20.404166249297148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9.8000000000000007</v>
      </c>
      <c r="DO51" s="12">
        <f>IF('Données projet'!$A$166&gt;35,DO50+DN51-DW50,IF(A51&lt;'Données projet'!$A$166,$DL$205^A51,IF(A51='Données projet'!$A$166,'Données projet'!$B$166,DO50+DN51-DW50)))</f>
        <v>283.39999999999992</v>
      </c>
      <c r="DP51" s="17">
        <f>DO51*VLOOKUP('Données projet'!$B$14,Paramètres!$A$1:$I$89,3,0)*VLOOKUP('Données projet'!$B$14,Paramètres!$A$1:$I$89,5,0)</f>
        <v>274.10447999999991</v>
      </c>
      <c r="DQ51" s="13">
        <f t="shared" si="43"/>
        <v>65.719577181765516</v>
      </c>
      <c r="DR51" s="20">
        <f t="shared" si="16"/>
        <v>591.86023292490802</v>
      </c>
      <c r="DS51" s="59">
        <f t="shared" si="17"/>
        <v>845.62010161057572</v>
      </c>
      <c r="DT51" s="59">
        <f ca="1">AVERAGE(OFFSET($DS$3,0,0,'Données projet'!$E$14+1,1))-AVERAGE(OFFSET($H$3,0,0,'Données projet'!$E$14+1,1))</f>
        <v>508.3185483454435</v>
      </c>
      <c r="DU51" s="59">
        <f t="shared" si="44"/>
        <v>487.08233034004945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4.9488632635492111</v>
      </c>
      <c r="EB51" s="21">
        <f>EXP(-LN(2)/25)*EB50+(1-EXP(-LN(2)/25))/(LN(2)/25)*Calculateur!DW51*Calculateur!DY51*VLOOKUP('Données projet'!$B$14,Paramètres!$A$1:$I$89,3,0)*0.475*44/12</f>
        <v>12.084844927655324</v>
      </c>
      <c r="EC51" s="21">
        <f>EXP(-LN(2)/2)*EC50+(1-EXP(-LN(2)/2))/(LN(2)/2)*DW51*DZ51*VLOOKUP('Données projet'!$B$14,Paramètres!$A$1:$I$89,3,0)*0.475*44/12</f>
        <v>3.3704580580926118</v>
      </c>
      <c r="ED51" s="22">
        <f t="shared" si="18"/>
        <v>20.404166249297148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11.25</v>
      </c>
      <c r="N52" s="13">
        <f>IF('Données projet'!$A$36&gt;35,N51+M52-V51,IF(A52&lt;'Données projet'!$A$36,$K$205^A52,IF(A52='Données projet'!$A$36,'Données projet'!$B$36,N51+M52-V51)))</f>
        <v>198.25</v>
      </c>
      <c r="O52" s="13">
        <f>N52*VLOOKUP('Données projet'!$B$9,Paramètres!$A$1:$I$89,3,0)*VLOOKUP('Données projet'!$B$9,Paramètres!$A$1:$I$89,5,0)</f>
        <v>179.3766</v>
      </c>
      <c r="P52" s="13">
        <f t="shared" si="33"/>
        <v>45.18346315973151</v>
      </c>
      <c r="Q52" s="20">
        <f t="shared" si="53"/>
        <v>391.10877666986568</v>
      </c>
      <c r="R52" s="59">
        <f t="shared" si="0"/>
        <v>645.5551564941577</v>
      </c>
      <c r="S52" s="59">
        <f ca="1">AVERAGE(OFFSET($R$3,0,0,'Données projet'!$E$9+1,1))-AVERAGE(OFFSET($H$3,0,0,'Données projet'!$E$9+1,1))</f>
        <v>569.49435820174267</v>
      </c>
      <c r="T52" s="59">
        <f t="shared" si="34"/>
        <v>295.37730858134739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8.5778142330141431</v>
      </c>
      <c r="AB52" s="21">
        <f>EXP(-LN(2)/2)*AB51+(1-EXP(-LN(2)/2))/(LN(2)/2)*V52*Y52*VLOOKUP('Données projet'!$B$9,Paramètres!$A$1:$I$89,3,0)*0.475*44/12</f>
        <v>0</v>
      </c>
      <c r="AC52" s="22">
        <f t="shared" si="3"/>
        <v>8.5778142330141431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11.25</v>
      </c>
      <c r="AI52" s="13">
        <f>IF('Données projet'!$A$62&gt;35,AI51+AH52-AQ51,IF(A52&lt;'Données projet'!$A$62,$AF$205^A52,IF(A52='Données projet'!$A$62,'Données projet'!$B$62,AI51+AH52-AQ51)))</f>
        <v>198.25</v>
      </c>
      <c r="AJ52" s="13">
        <f>AI52*VLOOKUP('Données projet'!$B$10,Paramètres!$A$1:$I$89,3,0)*VLOOKUP('Données projet'!$B$10,Paramètres!$A$1:$I$89,5,0)</f>
        <v>201.02550000000002</v>
      </c>
      <c r="AK52" s="13">
        <f t="shared" si="35"/>
        <v>49.969474458390742</v>
      </c>
      <c r="AL52" s="20">
        <f t="shared" si="4"/>
        <v>437.14958051503055</v>
      </c>
      <c r="AM52" s="59">
        <f t="shared" si="5"/>
        <v>691.59596033932257</v>
      </c>
      <c r="AN52" s="59">
        <f ca="1">AVERAGE(OFFSET($AM$3,0,0,'Données projet'!$E$10+1,1))-AVERAGE(OFFSET($H$3,0,0,'Données projet'!$E$10+1,1))</f>
        <v>627.83896530587367</v>
      </c>
      <c r="AO52" s="59">
        <f t="shared" si="36"/>
        <v>323.54927030899489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9.6130676749296455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9.6130676749296455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293.19999999999993</v>
      </c>
      <c r="BE52" s="13">
        <f>BD52*VLOOKUP('Données projet'!$B$11,Paramètres!$A$1:$I$89,3,0)*VLOOKUP('Données projet'!$B$11,Paramètres!$A$1:$I$89,5,0)</f>
        <v>283.58303999999993</v>
      </c>
      <c r="BF52" s="13">
        <f t="shared" si="37"/>
        <v>67.723646968605209</v>
      </c>
      <c r="BG52" s="20">
        <f t="shared" si="7"/>
        <v>611.85914647032064</v>
      </c>
      <c r="BH52" s="59">
        <f t="shared" si="8"/>
        <v>866.3055262946126</v>
      </c>
      <c r="BI52" s="59">
        <f ca="1">AVERAGE(OFFSET($BH$3,0,0,'Données projet'!$E$11+1,1))-AVERAGE(OFFSET($H$3,0,0,'Données projet'!$E$11+1,1))</f>
        <v>508.3185483454435</v>
      </c>
      <c r="BJ52" s="59">
        <f t="shared" si="38"/>
        <v>487.08233034004945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4.8518190734595485</v>
      </c>
      <c r="BQ52" s="21">
        <f>EXP(-LN(2)/25)*BQ51+(1-EXP(-LN(2)/25))/(LN(2)/25)*Calculateur!BL52*Calculateur!BN52*VLOOKUP('Données projet'!$B$11,Paramètres!$A$1:$I$89,3,0)*0.475*44/12</f>
        <v>11.754384207594214</v>
      </c>
      <c r="BR52" s="21">
        <f>EXP(-LN(2)/2)*BR51+(1-EXP(-LN(2)/2))/(LN(2)/2)*BL52*BO52*VLOOKUP('Données projet'!$B$11,Paramètres!$A$1:$I$89,3,0)*0.475*44/12</f>
        <v>2.3832737485821287</v>
      </c>
      <c r="BS52" s="22">
        <f t="shared" si="9"/>
        <v>18.989477029635893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9.8000000000000007</v>
      </c>
      <c r="BY52" s="12">
        <f>IF('Données projet'!$A$114&gt;35,BY51+BX52-CG51,IF(A52&lt;'Données projet'!$A$114,$BV$205^A52,IF(A52='Données projet'!$A$114,'Données projet'!$B$114,BY51+BX52-CG51)))</f>
        <v>293.19999999999993</v>
      </c>
      <c r="BZ52" s="13">
        <f>BY52*VLOOKUP('Données projet'!$B$12,Paramètres!$A$1:$I$89,3,0)*VLOOKUP('Données projet'!$B$12,Paramètres!$A$1:$I$89,5,0)</f>
        <v>237.84383999999997</v>
      </c>
      <c r="CA52" s="13">
        <f t="shared" si="39"/>
        <v>57.975378776698456</v>
      </c>
      <c r="CB52" s="20">
        <f t="shared" si="10"/>
        <v>515.21847270274975</v>
      </c>
      <c r="CC52" s="59">
        <f t="shared" si="11"/>
        <v>769.66485252704172</v>
      </c>
      <c r="CD52" s="59">
        <f ca="1">AVERAGE(OFFSET($CC$3,0,0,'Données projet'!$E$12+1,1))-AVERAGE(OFFSET($H$3,0,0,'Données projet'!$E$12+1,1))</f>
        <v>436.50252985867149</v>
      </c>
      <c r="CE52" s="59">
        <f t="shared" si="40"/>
        <v>419.00806288456329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4.0692676099983318</v>
      </c>
      <c r="CL52" s="21">
        <f>EXP(-LN(2)/25)*CL51+(1-EXP(-LN(2)/25))/(LN(2)/25)*Calculateur!CG52*Calculateur!CI52*VLOOKUP('Données projet'!$B$12,Paramètres!$A$1:$I$89,3,0)*0.475*44/12</f>
        <v>9.8585157870145057</v>
      </c>
      <c r="CM52" s="21">
        <f>EXP(-LN(2)/2)*CM51+(1-EXP(-LN(2)/2))/(LN(2)/2)*CG52*CJ52*VLOOKUP('Données projet'!$B$12,Paramètres!$A$1:$I$89,3,0)*0.475*44/12</f>
        <v>1.9988747568753333</v>
      </c>
      <c r="CN52" s="22">
        <f t="shared" si="12"/>
        <v>15.926658153888171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9.8000000000000007</v>
      </c>
      <c r="CT52" s="12">
        <f>IF('Données projet'!$A$140&gt;35,CT51+CS52-DB51,IF(A52&lt;'Données projet'!$A$140,$CQ$205^A52,IF(A52='Données projet'!$A$140,'Données projet'!$B$140,CT51+CS52-DB51)))</f>
        <v>293.19999999999993</v>
      </c>
      <c r="CU52" s="17">
        <f>CT52*VLOOKUP('Données projet'!$B$13,Paramètres!$A$1:$I$89,3,0)*VLOOKUP('Données projet'!$B$13,Paramètres!$A$1:$I$89,5,0)</f>
        <v>283.58303999999993</v>
      </c>
      <c r="CV52" s="13">
        <f t="shared" si="41"/>
        <v>67.723646968605209</v>
      </c>
      <c r="CW52" s="20">
        <f t="shared" si="13"/>
        <v>611.85914647032064</v>
      </c>
      <c r="CX52" s="59">
        <f t="shared" si="14"/>
        <v>866.3055262946126</v>
      </c>
      <c r="CY52" s="59">
        <f ca="1">AVERAGE(OFFSET($CX$3,0,0,'Données projet'!$E$13+1,1))-AVERAGE(OFFSET($H$3,0,0,'Données projet'!$E$13+1,1))</f>
        <v>508.3185483454435</v>
      </c>
      <c r="CZ52" s="59">
        <f t="shared" si="42"/>
        <v>487.08233034004945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4.8518190734595485</v>
      </c>
      <c r="DG52" s="21">
        <f>EXP(-LN(2)/25)*DG51+(1-EXP(-LN(2)/25))/(LN(2)/25)*Calculateur!DB52*Calculateur!DD52*VLOOKUP('Données projet'!$B$13,Paramètres!$A$1:$I$89,3,0)*0.475*44/12</f>
        <v>11.754384207594214</v>
      </c>
      <c r="DH52" s="21">
        <f>EXP(-LN(2)/2)*DH51+(1-EXP(-LN(2)/2))/(LN(2)/2)*DB52*DE52*VLOOKUP('Données projet'!$B$13,Paramètres!$A$1:$I$89,3,0)*0.475*44/12</f>
        <v>2.3832737485821287</v>
      </c>
      <c r="DI52" s="22">
        <f t="shared" si="15"/>
        <v>18.989477029635893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9.8000000000000007</v>
      </c>
      <c r="DO52" s="12">
        <f>IF('Données projet'!$A$166&gt;35,DO51+DN52-DW51,IF(A52&lt;'Données projet'!$A$166,$DL$205^A52,IF(A52='Données projet'!$A$166,'Données projet'!$B$166,DO51+DN52-DW51)))</f>
        <v>293.19999999999993</v>
      </c>
      <c r="DP52" s="17">
        <f>DO52*VLOOKUP('Données projet'!$B$14,Paramètres!$A$1:$I$89,3,0)*VLOOKUP('Données projet'!$B$14,Paramètres!$A$1:$I$89,5,0)</f>
        <v>283.58303999999993</v>
      </c>
      <c r="DQ52" s="13">
        <f t="shared" si="43"/>
        <v>67.723646968605209</v>
      </c>
      <c r="DR52" s="20">
        <f t="shared" si="16"/>
        <v>611.85914647032064</v>
      </c>
      <c r="DS52" s="59">
        <f t="shared" si="17"/>
        <v>866.3055262946126</v>
      </c>
      <c r="DT52" s="59">
        <f ca="1">AVERAGE(OFFSET($DS$3,0,0,'Données projet'!$E$14+1,1))-AVERAGE(OFFSET($H$3,0,0,'Données projet'!$E$14+1,1))</f>
        <v>508.3185483454435</v>
      </c>
      <c r="DU52" s="59">
        <f t="shared" si="44"/>
        <v>487.08233034004945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4.8518190734595485</v>
      </c>
      <c r="EB52" s="21">
        <f>EXP(-LN(2)/25)*EB51+(1-EXP(-LN(2)/25))/(LN(2)/25)*Calculateur!DW52*Calculateur!DY52*VLOOKUP('Données projet'!$B$14,Paramètres!$A$1:$I$89,3,0)*0.475*44/12</f>
        <v>11.754384207594214</v>
      </c>
      <c r="EC52" s="21">
        <f>EXP(-LN(2)/2)*EC51+(1-EXP(-LN(2)/2))/(LN(2)/2)*DW52*DZ52*VLOOKUP('Données projet'!$B$14,Paramètres!$A$1:$I$89,3,0)*0.475*44/12</f>
        <v>2.3832737485821287</v>
      </c>
      <c r="ED52" s="22">
        <f t="shared" si="18"/>
        <v>18.989477029635893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11.25</v>
      </c>
      <c r="N53" s="13">
        <f>IF('Données projet'!$A$36&gt;35,N52+M53-V52,IF(A53&lt;'Données projet'!$A$36,$K$205^A53,IF(A53='Données projet'!$A$36,'Données projet'!$B$36,N52+M53-V52)))</f>
        <v>209.5</v>
      </c>
      <c r="O53" s="13">
        <f>N53*VLOOKUP('Données projet'!$B$9,Paramètres!$A$1:$I$89,3,0)*VLOOKUP('Données projet'!$B$9,Paramètres!$A$1:$I$89,5,0)</f>
        <v>189.5556</v>
      </c>
      <c r="P53" s="13">
        <f t="shared" si="33"/>
        <v>47.441688934734636</v>
      </c>
      <c r="Q53" s="20">
        <f t="shared" si="53"/>
        <v>412.77027822799613</v>
      </c>
      <c r="R53" s="59">
        <f t="shared" si="0"/>
        <v>667.89125975746629</v>
      </c>
      <c r="S53" s="59">
        <f ca="1">AVERAGE(OFFSET($R$3,0,0,'Données projet'!$E$9+1,1))-AVERAGE(OFFSET($H$3,0,0,'Données projet'!$E$9+1,1))</f>
        <v>569.49435820174267</v>
      </c>
      <c r="T53" s="59">
        <f t="shared" si="34"/>
        <v>295.37730858134739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8.3432534517247259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8.3432534517247259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11.25</v>
      </c>
      <c r="AI53" s="13">
        <f>IF('Données projet'!$A$62&gt;35,AI52+AH53-AQ52,IF(A53&lt;'Données projet'!$A$62,$AF$205^A53,IF(A53='Données projet'!$A$62,'Données projet'!$B$62,AI52+AH53-AQ52)))</f>
        <v>209.5</v>
      </c>
      <c r="AJ53" s="13">
        <f>AI53*VLOOKUP('Données projet'!$B$10,Paramètres!$A$1:$I$89,3,0)*VLOOKUP('Données projet'!$B$10,Paramètres!$A$1:$I$89,5,0)</f>
        <v>212.43300000000002</v>
      </c>
      <c r="AK53" s="13">
        <f t="shared" si="35"/>
        <v>52.466900447770541</v>
      </c>
      <c r="AL53" s="20">
        <f t="shared" si="4"/>
        <v>461.36732661320042</v>
      </c>
      <c r="AM53" s="59">
        <f t="shared" si="5"/>
        <v>716.48830814267058</v>
      </c>
      <c r="AN53" s="59">
        <f ca="1">AVERAGE(OFFSET($AM$3,0,0,'Données projet'!$E$10+1,1))-AVERAGE(OFFSET($H$3,0,0,'Données projet'!$E$10+1,1))</f>
        <v>627.83896530587367</v>
      </c>
      <c r="AO53" s="59">
        <f t="shared" si="36"/>
        <v>323.54927030899489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9.3501978338294371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9.3501978338294371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303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302.99999999999994</v>
      </c>
      <c r="BE53" s="13">
        <f>BD53*VLOOKUP('Données projet'!$B$11,Paramètres!$A$1:$I$89,3,0)*VLOOKUP('Données projet'!$B$11,Paramètres!$A$1:$I$89,5,0)</f>
        <v>293.06159999999994</v>
      </c>
      <c r="BF53" s="13">
        <f t="shared" si="37"/>
        <v>69.719933365116546</v>
      </c>
      <c r="BG53" s="20">
        <f t="shared" si="7"/>
        <v>631.84450394424459</v>
      </c>
      <c r="BH53" s="59">
        <f t="shared" si="8"/>
        <v>886.96548547371469</v>
      </c>
      <c r="BI53" s="59">
        <f ca="1">AVERAGE(OFFSET($BH$3,0,0,'Données projet'!$E$11+1,1))-AVERAGE(OFFSET($H$3,0,0,'Données projet'!$E$11+1,1))</f>
        <v>508.3185483454435</v>
      </c>
      <c r="BJ53" s="59">
        <f t="shared" si="38"/>
        <v>487.08233034004945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0.215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0.3</v>
      </c>
      <c r="BP53" s="21">
        <f>EXP(-LN(2)/35)*BP52+(1-EXP(-LN(2)/35))/(LN(2)/35)*BL53*BM53*VLOOKUP('Données projet'!$B$11,Paramètres!$A$1:$I$89,3,0)*0.475*44/12</f>
        <v>9.5841653048919095</v>
      </c>
      <c r="BQ53" s="21">
        <f>EXP(-LN(2)/25)*BQ52+(1-EXP(-LN(2)/25))/(LN(2)/25)*Calculateur!BL53*Calculateur!BN53*VLOOKUP('Données projet'!$B$11,Paramètres!$A$1:$I$89,3,0)*0.475*44/12</f>
        <v>11.432959953301349</v>
      </c>
      <c r="BR53" s="21">
        <f>EXP(-LN(2)/2)*BR52+(1-EXP(-LN(2)/2))/(LN(2)/2)*BL53*BO53*VLOOKUP('Données projet'!$B$11,Paramètres!$A$1:$I$89,3,0)*0.475*44/12</f>
        <v>7.4344781894261951</v>
      </c>
      <c r="BS53" s="22">
        <f t="shared" si="9"/>
        <v>28.451603447619455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303</v>
      </c>
      <c r="BW53" s="12">
        <f>VLOOKUP(A53,'Données projet'!$A$113:$I$133,9,0)</f>
        <v>9.8000000000000007</v>
      </c>
      <c r="BX53" s="12">
        <f t="array" ref="BX53">INDEX(BW:BW,MIN(IF(ISNUMBER(BW53:BW249),ROW(BW53:BW249),"")))</f>
        <v>9.8000000000000007</v>
      </c>
      <c r="BY53" s="12">
        <f>IF('Données projet'!$A$114&gt;35,BY52+BX53-CG52,IF(A53&lt;'Données projet'!$A$114,$BV$205^A53,IF(A53='Données projet'!$A$114,'Données projet'!$B$114,BY52+BX53-CG52)))</f>
        <v>302.99999999999994</v>
      </c>
      <c r="BZ53" s="13">
        <f>BY53*VLOOKUP('Données projet'!$B$12,Paramètres!$A$1:$I$89,3,0)*VLOOKUP('Données projet'!$B$12,Paramètres!$A$1:$I$89,5,0)</f>
        <v>245.79359999999997</v>
      </c>
      <c r="CA53" s="13">
        <f t="shared" si="39"/>
        <v>59.684315982017168</v>
      </c>
      <c r="CB53" s="20">
        <f t="shared" si="10"/>
        <v>532.04070366867984</v>
      </c>
      <c r="CC53" s="59">
        <f t="shared" si="11"/>
        <v>787.16168519814994</v>
      </c>
      <c r="CD53" s="59">
        <f ca="1">AVERAGE(OFFSET($CC$3,0,0,'Données projet'!$E$12+1,1))-AVERAGE(OFFSET($H$3,0,0,'Données projet'!$E$12+1,1))</f>
        <v>436.50252985867149</v>
      </c>
      <c r="CE53" s="59">
        <f t="shared" si="40"/>
        <v>419.00806288456329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0.215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0.3</v>
      </c>
      <c r="CK53" s="21">
        <f>EXP(-LN(2)/35)*CK52+(1-EXP(-LN(2)/35))/(LN(2)/35)*CG53*CH53*VLOOKUP('Données projet'!$B$12,Paramètres!$A$1:$I$89,3,0)*0.475*44/12</f>
        <v>8.0383321911996681</v>
      </c>
      <c r="CL53" s="21">
        <f>EXP(-LN(2)/25)*CL52+(1-EXP(-LN(2)/25))/(LN(2)/25)*Calculateur!CG53*Calculateur!CI53*VLOOKUP('Données projet'!$B$12,Paramètres!$A$1:$I$89,3,0)*0.475*44/12</f>
        <v>9.5889341543817803</v>
      </c>
      <c r="CM53" s="21">
        <f>EXP(-LN(2)/2)*CM52+(1-EXP(-LN(2)/2))/(LN(2)/2)*CG53*CJ53*VLOOKUP('Données projet'!$B$12,Paramètres!$A$1:$I$89,3,0)*0.475*44/12</f>
        <v>6.2353688040348736</v>
      </c>
      <c r="CN53" s="22">
        <f t="shared" si="12"/>
        <v>23.86263514961632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303</v>
      </c>
      <c r="CR53" s="12">
        <f>VLOOKUP(A53,'Données projet'!$A$139:$I$159,9,0)</f>
        <v>9.8000000000000007</v>
      </c>
      <c r="CS53" s="12">
        <f t="array" ref="CS53">INDEX(CR:CR,MIN(IF(ISNUMBER(CR53:CR249),ROW(CR53:CR249),"")))</f>
        <v>9.8000000000000007</v>
      </c>
      <c r="CT53" s="12">
        <f>IF('Données projet'!$A$140&gt;35,CT52+CS53-DB52,IF(A53&lt;'Données projet'!$A$140,$CQ$205^A53,IF(A53='Données projet'!$A$140,'Données projet'!$B$140,CT52+CS53-DB52)))</f>
        <v>302.99999999999994</v>
      </c>
      <c r="CU53" s="17">
        <f>CT53*VLOOKUP('Données projet'!$B$13,Paramètres!$A$1:$I$89,3,0)*VLOOKUP('Données projet'!$B$13,Paramètres!$A$1:$I$89,5,0)</f>
        <v>293.06159999999994</v>
      </c>
      <c r="CV53" s="13">
        <f t="shared" si="41"/>
        <v>69.719933365116546</v>
      </c>
      <c r="CW53" s="20">
        <f t="shared" si="13"/>
        <v>631.84450394424459</v>
      </c>
      <c r="CX53" s="59">
        <f t="shared" si="14"/>
        <v>886.96548547371469</v>
      </c>
      <c r="CY53" s="59">
        <f ca="1">AVERAGE(OFFSET($CX$3,0,0,'Données projet'!$E$13+1,1))-AVERAGE(OFFSET($H$3,0,0,'Données projet'!$E$13+1,1))</f>
        <v>508.3185483454435</v>
      </c>
      <c r="CZ53" s="59">
        <f t="shared" si="42"/>
        <v>487.08233034004945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0.215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0.3</v>
      </c>
      <c r="DF53" s="21">
        <f>EXP(-LN(2)/35)*DF52+(1-EXP(-LN(2)/35))/(LN(2)/35)*DB53*DC53*VLOOKUP('Données projet'!$B$13,Paramètres!$A$1:$I$89,3,0)*0.475*44/12</f>
        <v>9.5841653048919095</v>
      </c>
      <c r="DG53" s="21">
        <f>EXP(-LN(2)/25)*DG52+(1-EXP(-LN(2)/25))/(LN(2)/25)*Calculateur!DB53*Calculateur!DD53*VLOOKUP('Données projet'!$B$13,Paramètres!$A$1:$I$89,3,0)*0.475*44/12</f>
        <v>11.432959953301349</v>
      </c>
      <c r="DH53" s="21">
        <f>EXP(-LN(2)/2)*DH52+(1-EXP(-LN(2)/2))/(LN(2)/2)*DB53*DE53*VLOOKUP('Données projet'!$B$13,Paramètres!$A$1:$I$89,3,0)*0.475*44/12</f>
        <v>7.4344781894261951</v>
      </c>
      <c r="DI53" s="22">
        <f t="shared" si="15"/>
        <v>28.451603447619455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303</v>
      </c>
      <c r="DM53" s="12">
        <f>VLOOKUP(A53,'Données projet'!$A$165:$I$185,9,0)</f>
        <v>9.8000000000000007</v>
      </c>
      <c r="DN53" s="12">
        <f t="array" ref="DN53">INDEX(DM:DM,MIN(IF(ISNUMBER(DM53:DM249),ROW(DM53:DM249),"")))</f>
        <v>9.8000000000000007</v>
      </c>
      <c r="DO53" s="12">
        <f>IF('Données projet'!$A$166&gt;35,DO52+DN53-DW52,IF(A53&lt;'Données projet'!$A$166,$DL$205^A53,IF(A53='Données projet'!$A$166,'Données projet'!$B$166,DO52+DN53-DW52)))</f>
        <v>302.99999999999994</v>
      </c>
      <c r="DP53" s="17">
        <f>DO53*VLOOKUP('Données projet'!$B$14,Paramètres!$A$1:$I$89,3,0)*VLOOKUP('Données projet'!$B$14,Paramètres!$A$1:$I$89,5,0)</f>
        <v>293.06159999999994</v>
      </c>
      <c r="DQ53" s="13">
        <f t="shared" si="43"/>
        <v>69.719933365116546</v>
      </c>
      <c r="DR53" s="20">
        <f t="shared" si="16"/>
        <v>631.84450394424459</v>
      </c>
      <c r="DS53" s="59">
        <f t="shared" si="17"/>
        <v>886.96548547371469</v>
      </c>
      <c r="DT53" s="59">
        <f ca="1">AVERAGE(OFFSET($DS$3,0,0,'Données projet'!$E$14+1,1))-AVERAGE(OFFSET($H$3,0,0,'Données projet'!$E$14+1,1))</f>
        <v>508.3185483454435</v>
      </c>
      <c r="DU53" s="59">
        <f t="shared" si="44"/>
        <v>487.08233034004945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0.215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0.3</v>
      </c>
      <c r="EA53" s="21">
        <f>EXP(-LN(2)/35)*EA52+(1-EXP(-LN(2)/35))/(LN(2)/35)*DW53*DX53*VLOOKUP('Données projet'!$B$14,Paramètres!$A$1:$I$89,3,0)*0.475*44/12</f>
        <v>9.5841653048919095</v>
      </c>
      <c r="EB53" s="21">
        <f>EXP(-LN(2)/25)*EB52+(1-EXP(-LN(2)/25))/(LN(2)/25)*Calculateur!DW53*Calculateur!DY53*VLOOKUP('Données projet'!$B$14,Paramètres!$A$1:$I$89,3,0)*0.475*44/12</f>
        <v>11.432959953301349</v>
      </c>
      <c r="EC53" s="21">
        <f>EXP(-LN(2)/2)*EC52+(1-EXP(-LN(2)/2))/(LN(2)/2)*DW53*DZ53*VLOOKUP('Données projet'!$B$14,Paramètres!$A$1:$I$89,3,0)*0.475*44/12</f>
        <v>7.4344781894261951</v>
      </c>
      <c r="ED53" s="22">
        <f t="shared" si="18"/>
        <v>28.451603447619455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11.25</v>
      </c>
      <c r="N54" s="13">
        <f>IF('Données projet'!$A$36&gt;35,N53+M54-V53,IF(A54&lt;'Données projet'!$A$36,$K$205^A54,IF(A54='Données projet'!$A$36,'Données projet'!$B$36,N53+M54-V53)))</f>
        <v>220.75</v>
      </c>
      <c r="O54" s="13">
        <f>N54*VLOOKUP('Données projet'!$B$9,Paramètres!$A$1:$I$89,3,0)*VLOOKUP('Données projet'!$B$9,Paramètres!$A$1:$I$89,5,0)</f>
        <v>199.7346</v>
      </c>
      <c r="P54" s="13">
        <f t="shared" si="33"/>
        <v>49.685836331348902</v>
      </c>
      <c r="Q54" s="20">
        <f t="shared" si="53"/>
        <v>434.40725994376595</v>
      </c>
      <c r="R54" s="59">
        <f t="shared" si="0"/>
        <v>690.19114034701283</v>
      </c>
      <c r="S54" s="59">
        <f ca="1">AVERAGE(OFFSET($R$3,0,0,'Données projet'!$E$9+1,1))-AVERAGE(OFFSET($H$3,0,0,'Données projet'!$E$9+1,1))</f>
        <v>569.49435820174267</v>
      </c>
      <c r="T54" s="59">
        <f t="shared" si="34"/>
        <v>295.37730858134739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8.1151067473346838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8.1151067473346838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11.25</v>
      </c>
      <c r="AI54" s="13">
        <f>IF('Données projet'!$A$62&gt;35,AI53+AH54-AQ53,IF(A54&lt;'Données projet'!$A$62,$AF$205^A54,IF(A54='Données projet'!$A$62,'Données projet'!$B$62,AI53+AH54-AQ53)))</f>
        <v>220.75</v>
      </c>
      <c r="AJ54" s="13">
        <f>AI54*VLOOKUP('Données projet'!$B$10,Paramètres!$A$1:$I$89,3,0)*VLOOKUP('Données projet'!$B$10,Paramètres!$A$1:$I$89,5,0)</f>
        <v>223.84050000000002</v>
      </c>
      <c r="AK54" s="13">
        <f t="shared" si="35"/>
        <v>54.948756821186457</v>
      </c>
      <c r="AL54" s="20">
        <f t="shared" si="4"/>
        <v>485.55795563023315</v>
      </c>
      <c r="AM54" s="59">
        <f t="shared" si="5"/>
        <v>741.34183603347992</v>
      </c>
      <c r="AN54" s="59">
        <f ca="1">AVERAGE(OFFSET($AM$3,0,0,'Données projet'!$E$10+1,1))-AVERAGE(OFFSET($H$3,0,0,'Données projet'!$E$10+1,1))</f>
        <v>627.83896530587367</v>
      </c>
      <c r="AO54" s="59">
        <f t="shared" si="36"/>
        <v>323.54927030899489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9.0945161823578378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9.0945161823578378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8.4</v>
      </c>
      <c r="BD54" s="12">
        <f>IF('Données projet'!$A$88&gt;35,BD53+BC54-BL53,IF(A54&lt;'Données projet'!$A$88,$BA$205^A54,IF(A54='Données projet'!$A$88,'Données projet'!$B$88,BD53+BC54-BL53)))</f>
        <v>290.39999999999992</v>
      </c>
      <c r="BE54" s="13">
        <f>BD54*VLOOKUP('Données projet'!$B$11,Paramètres!$A$1:$I$89,3,0)*VLOOKUP('Données projet'!$B$11,Paramètres!$A$1:$I$89,5,0)</f>
        <v>280.87487999999991</v>
      </c>
      <c r="BF54" s="13">
        <f t="shared" si="37"/>
        <v>67.151862592195855</v>
      </c>
      <c r="BG54" s="20">
        <f t="shared" si="7"/>
        <v>606.14657668140751</v>
      </c>
      <c r="BH54" s="59">
        <f t="shared" si="8"/>
        <v>861.93045708465434</v>
      </c>
      <c r="BI54" s="59">
        <f ca="1">AVERAGE(OFFSET($BH$3,0,0,'Données projet'!$E$11+1,1))-AVERAGE(OFFSET($H$3,0,0,'Données projet'!$E$11+1,1))</f>
        <v>508.3185483454435</v>
      </c>
      <c r="BJ54" s="59">
        <f t="shared" si="38"/>
        <v>487.08233034004945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9.3962256690265935</v>
      </c>
      <c r="BQ54" s="21">
        <f>EXP(-LN(2)/25)*BQ53+(1-EXP(-LN(2)/25))/(LN(2)/25)*Calculateur!BL54*Calculateur!BN54*VLOOKUP('Données projet'!$B$11,Paramètres!$A$1:$I$89,3,0)*0.475*44/12</f>
        <v>11.12032506214509</v>
      </c>
      <c r="BR54" s="21">
        <f>EXP(-LN(2)/2)*BR53+(1-EXP(-LN(2)/2))/(LN(2)/2)*BL54*BO54*VLOOKUP('Données projet'!$B$11,Paramètres!$A$1:$I$89,3,0)*0.475*44/12</f>
        <v>5.2569699423267489</v>
      </c>
      <c r="BS54" s="22">
        <f t="shared" si="9"/>
        <v>25.773520673498432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8.4</v>
      </c>
      <c r="BY54" s="12">
        <f>IF('Données projet'!$A$114&gt;35,BY53+BX54-CG53,IF(A54&lt;'Données projet'!$A$114,$BV$205^A54,IF(A54='Données projet'!$A$114,'Données projet'!$B$114,BY53+BX54-CG53)))</f>
        <v>290.39999999999992</v>
      </c>
      <c r="BZ54" s="13">
        <f>BY54*VLOOKUP('Données projet'!$B$12,Paramètres!$A$1:$I$89,3,0)*VLOOKUP('Données projet'!$B$12,Paramètres!$A$1:$I$89,5,0)</f>
        <v>235.57247999999993</v>
      </c>
      <c r="CA54" s="13">
        <f t="shared" si="39"/>
        <v>57.485898111011707</v>
      </c>
      <c r="CB54" s="20">
        <f t="shared" si="10"/>
        <v>510.41000854334516</v>
      </c>
      <c r="CC54" s="59">
        <f t="shared" si="11"/>
        <v>766.19388894659198</v>
      </c>
      <c r="CD54" s="59">
        <f ca="1">AVERAGE(OFFSET($CC$3,0,0,'Données projet'!$E$12+1,1))-AVERAGE(OFFSET($H$3,0,0,'Données projet'!$E$12+1,1))</f>
        <v>436.50252985867149</v>
      </c>
      <c r="CE54" s="59">
        <f t="shared" si="40"/>
        <v>419.00806288456329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7.8807053998287584</v>
      </c>
      <c r="CL54" s="21">
        <f>EXP(-LN(2)/25)*CL53+(1-EXP(-LN(2)/25))/(LN(2)/25)*Calculateur!CG54*Calculateur!CI54*VLOOKUP('Données projet'!$B$12,Paramètres!$A$1:$I$89,3,0)*0.475*44/12</f>
        <v>9.3267242456700785</v>
      </c>
      <c r="CM54" s="21">
        <f>EXP(-LN(2)/2)*CM53+(1-EXP(-LN(2)/2))/(LN(2)/2)*CG54*CJ54*VLOOKUP('Données projet'!$B$12,Paramètres!$A$1:$I$89,3,0)*0.475*44/12</f>
        <v>4.4090715645321126</v>
      </c>
      <c r="CN54" s="22">
        <f t="shared" si="12"/>
        <v>21.61650121003095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8.4</v>
      </c>
      <c r="CT54" s="12">
        <f>IF('Données projet'!$A$140&gt;35,CT53+CS54-DB53,IF(A54&lt;'Données projet'!$A$140,$CQ$205^A54,IF(A54='Données projet'!$A$140,'Données projet'!$B$140,CT53+CS54-DB53)))</f>
        <v>290.39999999999992</v>
      </c>
      <c r="CU54" s="17">
        <f>CT54*VLOOKUP('Données projet'!$B$13,Paramètres!$A$1:$I$89,3,0)*VLOOKUP('Données projet'!$B$13,Paramètres!$A$1:$I$89,5,0)</f>
        <v>280.87487999999991</v>
      </c>
      <c r="CV54" s="13">
        <f t="shared" si="41"/>
        <v>67.151862592195855</v>
      </c>
      <c r="CW54" s="20">
        <f t="shared" si="13"/>
        <v>606.14657668140751</v>
      </c>
      <c r="CX54" s="59">
        <f t="shared" si="14"/>
        <v>861.93045708465434</v>
      </c>
      <c r="CY54" s="59">
        <f ca="1">AVERAGE(OFFSET($CX$3,0,0,'Données projet'!$E$13+1,1))-AVERAGE(OFFSET($H$3,0,0,'Données projet'!$E$13+1,1))</f>
        <v>508.3185483454435</v>
      </c>
      <c r="CZ54" s="59">
        <f t="shared" si="42"/>
        <v>487.08233034004945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9.3962256690265935</v>
      </c>
      <c r="DG54" s="21">
        <f>EXP(-LN(2)/25)*DG53+(1-EXP(-LN(2)/25))/(LN(2)/25)*Calculateur!DB54*Calculateur!DD54*VLOOKUP('Données projet'!$B$13,Paramètres!$A$1:$I$89,3,0)*0.475*44/12</f>
        <v>11.12032506214509</v>
      </c>
      <c r="DH54" s="21">
        <f>EXP(-LN(2)/2)*DH53+(1-EXP(-LN(2)/2))/(LN(2)/2)*DB54*DE54*VLOOKUP('Données projet'!$B$13,Paramètres!$A$1:$I$89,3,0)*0.475*44/12</f>
        <v>5.2569699423267489</v>
      </c>
      <c r="DI54" s="22">
        <f t="shared" si="15"/>
        <v>25.773520673498432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8.4</v>
      </c>
      <c r="DO54" s="12">
        <f>IF('Données projet'!$A$166&gt;35,DO53+DN54-DW53,IF(A54&lt;'Données projet'!$A$166,$DL$205^A54,IF(A54='Données projet'!$A$166,'Données projet'!$B$166,DO53+DN54-DW53)))</f>
        <v>290.39999999999992</v>
      </c>
      <c r="DP54" s="17">
        <f>DO54*VLOOKUP('Données projet'!$B$14,Paramètres!$A$1:$I$89,3,0)*VLOOKUP('Données projet'!$B$14,Paramètres!$A$1:$I$89,5,0)</f>
        <v>280.87487999999991</v>
      </c>
      <c r="DQ54" s="13">
        <f t="shared" si="43"/>
        <v>67.151862592195855</v>
      </c>
      <c r="DR54" s="20">
        <f t="shared" si="16"/>
        <v>606.14657668140751</v>
      </c>
      <c r="DS54" s="59">
        <f t="shared" si="17"/>
        <v>861.93045708465434</v>
      </c>
      <c r="DT54" s="59">
        <f ca="1">AVERAGE(OFFSET($DS$3,0,0,'Données projet'!$E$14+1,1))-AVERAGE(OFFSET($H$3,0,0,'Données projet'!$E$14+1,1))</f>
        <v>508.3185483454435</v>
      </c>
      <c r="DU54" s="59">
        <f t="shared" si="44"/>
        <v>487.08233034004945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9.3962256690265935</v>
      </c>
      <c r="EB54" s="21">
        <f>EXP(-LN(2)/25)*EB53+(1-EXP(-LN(2)/25))/(LN(2)/25)*Calculateur!DW54*Calculateur!DY54*VLOOKUP('Données projet'!$B$14,Paramètres!$A$1:$I$89,3,0)*0.475*44/12</f>
        <v>11.12032506214509</v>
      </c>
      <c r="EC54" s="21">
        <f>EXP(-LN(2)/2)*EC53+(1-EXP(-LN(2)/2))/(LN(2)/2)*DW54*DZ54*VLOOKUP('Données projet'!$B$14,Paramètres!$A$1:$I$89,3,0)*0.475*44/12</f>
        <v>5.2569699423267489</v>
      </c>
      <c r="ED54" s="22">
        <f t="shared" si="18"/>
        <v>25.773520673498432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232</v>
      </c>
      <c r="L55" s="12">
        <f>VLOOKUP(A55,'Données projet'!$A$35:$I$55,9,0)</f>
        <v>11.25</v>
      </c>
      <c r="M55" s="12">
        <f t="array" ref="M55">INDEX(L:L,MIN(IF(ISNUMBER(L55:L251),ROW(L55:L251),"")))</f>
        <v>11.25</v>
      </c>
      <c r="N55" s="13">
        <f>IF('Données projet'!$A$36&gt;35,N54+M55-V54,IF(A55&lt;'Données projet'!$A$36,$K$205^A55,IF(A55='Données projet'!$A$36,'Données projet'!$B$36,N54+M55-V54)))</f>
        <v>232</v>
      </c>
      <c r="O55" s="13">
        <f>N55*VLOOKUP('Données projet'!$B$9,Paramètres!$A$1:$I$89,3,0)*VLOOKUP('Données projet'!$B$9,Paramètres!$A$1:$I$89,5,0)</f>
        <v>209.9136</v>
      </c>
      <c r="P55" s="13">
        <f t="shared" si="33"/>
        <v>51.916704672341318</v>
      </c>
      <c r="Q55" s="20">
        <f t="shared" si="53"/>
        <v>456.02111397099435</v>
      </c>
      <c r="R55" s="59">
        <f t="shared" si="0"/>
        <v>712.45639343457765</v>
      </c>
      <c r="S55" s="59">
        <f ca="1">AVERAGE(OFFSET($R$3,0,0,'Données projet'!$E$9+1,1))-AVERAGE(OFFSET($H$3,0,0,'Données projet'!$E$9+1,1))</f>
        <v>569.49435820174267</v>
      </c>
      <c r="T55" s="59">
        <f t="shared" si="34"/>
        <v>295.37730858134739</v>
      </c>
      <c r="U55" s="15">
        <f>IF(ISNA(VLOOKUP(A55,'Données projet'!$A$35:$I$55,3,0)),0,VLOOKUP(A55,'Données projet'!$A$35:$I$55,3,0))</f>
        <v>3</v>
      </c>
      <c r="V55" s="15">
        <f>IF(ISNA(VLOOKUP(A55,'Données projet'!$A$35:$I$55,4,0)),0,VLOOKUP(A55,'Données projet'!$A$35:$I$55,4,0))</f>
        <v>63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0.215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21.387964579461087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21.387964579461087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232</v>
      </c>
      <c r="AG55" s="12">
        <f>VLOOKUP(A55,'Données projet'!$A$61:$I$81,9,0)</f>
        <v>11.25</v>
      </c>
      <c r="AH55" s="12">
        <f t="array" ref="AH55">INDEX(AG:AG,MIN(IF(ISNUMBER(AG55:AG251),ROW(AG55:AG251),"")))</f>
        <v>11.25</v>
      </c>
      <c r="AI55" s="13">
        <f>IF('Données projet'!$A$62&gt;35,AI54+AH55-AQ54,IF(A55&lt;'Données projet'!$A$62,$AF$205^A55,IF(A55='Données projet'!$A$62,'Données projet'!$B$62,AI54+AH55-AQ54)))</f>
        <v>232</v>
      </c>
      <c r="AJ55" s="13">
        <f>AI55*VLOOKUP('Données projet'!$B$10,Paramètres!$A$1:$I$89,3,0)*VLOOKUP('Données projet'!$B$10,Paramètres!$A$1:$I$89,5,0)</f>
        <v>235.24800000000002</v>
      </c>
      <c r="AK55" s="13">
        <f t="shared" si="35"/>
        <v>57.41592756883739</v>
      </c>
      <c r="AL55" s="20">
        <f t="shared" si="4"/>
        <v>509.72300718239177</v>
      </c>
      <c r="AM55" s="59">
        <f t="shared" si="5"/>
        <v>766.15828664597507</v>
      </c>
      <c r="AN55" s="59">
        <f ca="1">AVERAGE(OFFSET($AM$3,0,0,'Données projet'!$E$10+1,1))-AVERAGE(OFFSET($H$3,0,0,'Données projet'!$E$10+1,1))</f>
        <v>627.83896530587367</v>
      </c>
      <c r="AO55" s="59">
        <f t="shared" si="36"/>
        <v>323.54927030899489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63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0.215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23.969270649396051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23.969270649396051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8.4</v>
      </c>
      <c r="BD55" s="12">
        <f>IF('Données projet'!$A$88&gt;35,BD54+BC55-BL54,IF(A55&lt;'Données projet'!$A$88,$BA$205^A55,IF(A55='Données projet'!$A$88,'Données projet'!$B$88,BD54+BC55-BL54)))</f>
        <v>298.7999999999999</v>
      </c>
      <c r="BE55" s="13">
        <f>BD55*VLOOKUP('Données projet'!$B$11,Paramètres!$A$1:$I$89,3,0)*VLOOKUP('Données projet'!$B$11,Paramètres!$A$1:$I$89,5,0)</f>
        <v>288.99935999999991</v>
      </c>
      <c r="BF55" s="13">
        <f t="shared" si="37"/>
        <v>68.865316675290003</v>
      </c>
      <c r="BG55" s="20">
        <f t="shared" si="7"/>
        <v>623.28097854279656</v>
      </c>
      <c r="BH55" s="59">
        <f t="shared" si="8"/>
        <v>879.71625800637992</v>
      </c>
      <c r="BI55" s="59">
        <f ca="1">AVERAGE(OFFSET($BH$3,0,0,'Données projet'!$E$11+1,1))-AVERAGE(OFFSET($H$3,0,0,'Données projet'!$E$11+1,1))</f>
        <v>508.3185483454435</v>
      </c>
      <c r="BJ55" s="59">
        <f t="shared" si="38"/>
        <v>487.08233034004945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9.2119714147887386</v>
      </c>
      <c r="BQ55" s="21">
        <f>EXP(-LN(2)/25)*BQ54+(1-EXP(-LN(2)/25))/(LN(2)/25)*Calculateur!BL55*Calculateur!BN55*VLOOKUP('Données projet'!$B$11,Paramètres!$A$1:$I$89,3,0)*0.475*44/12</f>
        <v>10.816239188528254</v>
      </c>
      <c r="BR55" s="21">
        <f>EXP(-LN(2)/2)*BR54+(1-EXP(-LN(2)/2))/(LN(2)/2)*BL55*BO55*VLOOKUP('Données projet'!$B$11,Paramètres!$A$1:$I$89,3,0)*0.475*44/12</f>
        <v>3.717239094713098</v>
      </c>
      <c r="BS55" s="22">
        <f t="shared" si="9"/>
        <v>23.74544969803009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8.4</v>
      </c>
      <c r="BY55" s="12">
        <f>IF('Données projet'!$A$114&gt;35,BY54+BX55-CG54,IF(A55&lt;'Données projet'!$A$114,$BV$205^A55,IF(A55='Données projet'!$A$114,'Données projet'!$B$114,BY54+BX55-CG54)))</f>
        <v>298.7999999999999</v>
      </c>
      <c r="BZ55" s="13">
        <f>BY55*VLOOKUP('Données projet'!$B$12,Paramètres!$A$1:$I$89,3,0)*VLOOKUP('Données projet'!$B$12,Paramètres!$A$1:$I$89,5,0)</f>
        <v>242.38655999999992</v>
      </c>
      <c r="CA55" s="13">
        <f t="shared" si="39"/>
        <v>58.952714414184484</v>
      </c>
      <c r="CB55" s="20">
        <f t="shared" si="10"/>
        <v>524.83256960470442</v>
      </c>
      <c r="CC55" s="59">
        <f t="shared" si="11"/>
        <v>781.26784906828777</v>
      </c>
      <c r="CD55" s="59">
        <f ca="1">AVERAGE(OFFSET($CC$3,0,0,'Données projet'!$E$12+1,1))-AVERAGE(OFFSET($H$3,0,0,'Données projet'!$E$12+1,1))</f>
        <v>436.50252985867149</v>
      </c>
      <c r="CE55" s="59">
        <f t="shared" si="40"/>
        <v>419.00806288456329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7.7261695736937828</v>
      </c>
      <c r="CL55" s="21">
        <f>EXP(-LN(2)/25)*CL54+(1-EXP(-LN(2)/25))/(LN(2)/25)*Calculateur!CG55*Calculateur!CI55*VLOOKUP('Données projet'!$B$12,Paramètres!$A$1:$I$89,3,0)*0.475*44/12</f>
        <v>9.0716844807011192</v>
      </c>
      <c r="CM55" s="21">
        <f>EXP(-LN(2)/2)*CM54+(1-EXP(-LN(2)/2))/(LN(2)/2)*CG55*CJ55*VLOOKUP('Données projet'!$B$12,Paramètres!$A$1:$I$89,3,0)*0.475*44/12</f>
        <v>3.1176844020174377</v>
      </c>
      <c r="CN55" s="22">
        <f t="shared" si="12"/>
        <v>19.915538456412342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8.4</v>
      </c>
      <c r="CT55" s="12">
        <f>IF('Données projet'!$A$140&gt;35,CT54+CS55-DB54,IF(A55&lt;'Données projet'!$A$140,$CQ$205^A55,IF(A55='Données projet'!$A$140,'Données projet'!$B$140,CT54+CS55-DB54)))</f>
        <v>298.7999999999999</v>
      </c>
      <c r="CU55" s="17">
        <f>CT55*VLOOKUP('Données projet'!$B$13,Paramètres!$A$1:$I$89,3,0)*VLOOKUP('Données projet'!$B$13,Paramètres!$A$1:$I$89,5,0)</f>
        <v>288.99935999999991</v>
      </c>
      <c r="CV55" s="13">
        <f t="shared" si="41"/>
        <v>68.865316675290003</v>
      </c>
      <c r="CW55" s="20">
        <f t="shared" si="13"/>
        <v>623.28097854279656</v>
      </c>
      <c r="CX55" s="59">
        <f t="shared" si="14"/>
        <v>879.71625800637992</v>
      </c>
      <c r="CY55" s="59">
        <f ca="1">AVERAGE(OFFSET($CX$3,0,0,'Données projet'!$E$13+1,1))-AVERAGE(OFFSET($H$3,0,0,'Données projet'!$E$13+1,1))</f>
        <v>508.3185483454435</v>
      </c>
      <c r="CZ55" s="59">
        <f t="shared" si="42"/>
        <v>487.08233034004945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9.2119714147887386</v>
      </c>
      <c r="DG55" s="21">
        <f>EXP(-LN(2)/25)*DG54+(1-EXP(-LN(2)/25))/(LN(2)/25)*Calculateur!DB55*Calculateur!DD55*VLOOKUP('Données projet'!$B$13,Paramètres!$A$1:$I$89,3,0)*0.475*44/12</f>
        <v>10.816239188528254</v>
      </c>
      <c r="DH55" s="21">
        <f>EXP(-LN(2)/2)*DH54+(1-EXP(-LN(2)/2))/(LN(2)/2)*DB55*DE55*VLOOKUP('Données projet'!$B$13,Paramètres!$A$1:$I$89,3,0)*0.475*44/12</f>
        <v>3.717239094713098</v>
      </c>
      <c r="DI55" s="22">
        <f t="shared" si="15"/>
        <v>23.74544969803009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8.4</v>
      </c>
      <c r="DO55" s="12">
        <f>IF('Données projet'!$A$166&gt;35,DO54+DN55-DW54,IF(A55&lt;'Données projet'!$A$166,$DL$205^A55,IF(A55='Données projet'!$A$166,'Données projet'!$B$166,DO54+DN55-DW54)))</f>
        <v>298.7999999999999</v>
      </c>
      <c r="DP55" s="17">
        <f>DO55*VLOOKUP('Données projet'!$B$14,Paramètres!$A$1:$I$89,3,0)*VLOOKUP('Données projet'!$B$14,Paramètres!$A$1:$I$89,5,0)</f>
        <v>288.99935999999991</v>
      </c>
      <c r="DQ55" s="13">
        <f t="shared" si="43"/>
        <v>68.865316675290003</v>
      </c>
      <c r="DR55" s="20">
        <f t="shared" si="16"/>
        <v>623.28097854279656</v>
      </c>
      <c r="DS55" s="59">
        <f t="shared" si="17"/>
        <v>879.71625800637992</v>
      </c>
      <c r="DT55" s="59">
        <f ca="1">AVERAGE(OFFSET($DS$3,0,0,'Données projet'!$E$14+1,1))-AVERAGE(OFFSET($H$3,0,0,'Données projet'!$E$14+1,1))</f>
        <v>508.3185483454435</v>
      </c>
      <c r="DU55" s="59">
        <f t="shared" si="44"/>
        <v>487.08233034004945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9.2119714147887386</v>
      </c>
      <c r="EB55" s="21">
        <f>EXP(-LN(2)/25)*EB54+(1-EXP(-LN(2)/25))/(LN(2)/25)*Calculateur!DW55*Calculateur!DY55*VLOOKUP('Données projet'!$B$14,Paramètres!$A$1:$I$89,3,0)*0.475*44/12</f>
        <v>10.816239188528254</v>
      </c>
      <c r="EC55" s="21">
        <f>EXP(-LN(2)/2)*EC54+(1-EXP(-LN(2)/2))/(LN(2)/2)*DW55*DZ55*VLOOKUP('Données projet'!$B$14,Paramètres!$A$1:$I$89,3,0)*0.475*44/12</f>
        <v>3.717239094713098</v>
      </c>
      <c r="ED55" s="22">
        <f t="shared" si="18"/>
        <v>23.74544969803009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10.125</v>
      </c>
      <c r="N56" s="13">
        <f>IF('Données projet'!$A$36&gt;35,N55+M56-V55,IF(A56&lt;'Données projet'!$A$36,$K$205^A56,IF(A56='Données projet'!$A$36,'Données projet'!$B$36,N55+M56-V55)))</f>
        <v>179.125</v>
      </c>
      <c r="O56" s="13">
        <f>N56*VLOOKUP('Données projet'!$B$9,Paramètres!$A$1:$I$89,3,0)*VLOOKUP('Données projet'!$B$9,Paramètres!$A$1:$I$89,5,0)</f>
        <v>162.07230000000001</v>
      </c>
      <c r="P56" s="13">
        <f t="shared" si="33"/>
        <v>41.309577807279609</v>
      </c>
      <c r="Q56" s="20">
        <f t="shared" si="53"/>
        <v>354.223437181012</v>
      </c>
      <c r="R56" s="59">
        <f t="shared" si="0"/>
        <v>611.29881538754523</v>
      </c>
      <c r="S56" s="59">
        <f ca="1">AVERAGE(OFFSET($R$3,0,0,'Données projet'!$E$9+1,1))-AVERAGE(OFFSET($H$3,0,0,'Données projet'!$E$9+1,1))</f>
        <v>569.49435820174267</v>
      </c>
      <c r="T56" s="59">
        <f t="shared" si="34"/>
        <v>295.37730858134739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20.803109563291549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20.803109563291549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10.125</v>
      </c>
      <c r="AI56" s="13">
        <f>IF('Données projet'!$A$62&gt;35,AI55+AH56-AQ55,IF(A56&lt;'Données projet'!$A$62,$AF$205^A56,IF(A56='Données projet'!$A$62,'Données projet'!$B$62,AI55+AH56-AQ55)))</f>
        <v>179.125</v>
      </c>
      <c r="AJ56" s="13">
        <f>AI56*VLOOKUP('Données projet'!$B$10,Paramètres!$A$1:$I$89,3,0)*VLOOKUP('Données projet'!$B$10,Paramètres!$A$1:$I$89,5,0)</f>
        <v>181.63275000000002</v>
      </c>
      <c r="AK56" s="13">
        <f t="shared" si="35"/>
        <v>45.685251832742189</v>
      </c>
      <c r="AL56" s="20">
        <f t="shared" si="4"/>
        <v>395.91218652535935</v>
      </c>
      <c r="AM56" s="59">
        <f t="shared" si="5"/>
        <v>652.98756473189258</v>
      </c>
      <c r="AN56" s="59">
        <f ca="1">AVERAGE(OFFSET($AM$3,0,0,'Données projet'!$E$10+1,1))-AVERAGE(OFFSET($H$3,0,0,'Données projet'!$E$10+1,1))</f>
        <v>627.83896530587367</v>
      </c>
      <c r="AO56" s="59">
        <f t="shared" si="36"/>
        <v>323.54927030899489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23.313829682999156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23.313829682999156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8.4</v>
      </c>
      <c r="BD56" s="12">
        <f>IF('Données projet'!$A$88&gt;35,BD55+BC56-BL55,IF(A56&lt;'Données projet'!$A$88,$BA$205^A56,IF(A56='Données projet'!$A$88,'Données projet'!$B$88,BD55+BC56-BL55)))</f>
        <v>307.19999999999987</v>
      </c>
      <c r="BE56" s="13">
        <f>BD56*VLOOKUP('Données projet'!$B$11,Paramètres!$A$1:$I$89,3,0)*VLOOKUP('Données projet'!$B$11,Paramètres!$A$1:$I$89,5,0)</f>
        <v>297.12383999999986</v>
      </c>
      <c r="BF56" s="13">
        <f t="shared" si="37"/>
        <v>70.573172225675918</v>
      </c>
      <c r="BG56" s="20">
        <f t="shared" si="7"/>
        <v>640.40562962638535</v>
      </c>
      <c r="BH56" s="59">
        <f t="shared" si="8"/>
        <v>897.48100783291852</v>
      </c>
      <c r="BI56" s="59">
        <f ca="1">AVERAGE(OFFSET($BH$3,0,0,'Données projet'!$E$11+1,1))-AVERAGE(OFFSET($H$3,0,0,'Données projet'!$E$11+1,1))</f>
        <v>508.3185483454435</v>
      </c>
      <c r="BJ56" s="59">
        <f t="shared" si="38"/>
        <v>487.08233034004945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9.0313302740924897</v>
      </c>
      <c r="BQ56" s="21">
        <f>EXP(-LN(2)/25)*BQ55+(1-EXP(-LN(2)/25))/(LN(2)/25)*Calculateur!BL56*Calculateur!BN56*VLOOKUP('Données projet'!$B$11,Paramètres!$A$1:$I$89,3,0)*0.475*44/12</f>
        <v>10.520468559116651</v>
      </c>
      <c r="BR56" s="21">
        <f>EXP(-LN(2)/2)*BR55+(1-EXP(-LN(2)/2))/(LN(2)/2)*BL56*BO56*VLOOKUP('Données projet'!$B$11,Paramètres!$A$1:$I$89,3,0)*0.475*44/12</f>
        <v>2.6284849711633749</v>
      </c>
      <c r="BS56" s="22">
        <f t="shared" si="9"/>
        <v>22.180283804372515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8.4</v>
      </c>
      <c r="BY56" s="12">
        <f>IF('Données projet'!$A$114&gt;35,BY55+BX56-CG55,IF(A56&lt;'Données projet'!$A$114,$BV$205^A56,IF(A56='Données projet'!$A$114,'Données projet'!$B$114,BY55+BX56-CG55)))</f>
        <v>307.19999999999987</v>
      </c>
      <c r="BZ56" s="13">
        <f>BY56*VLOOKUP('Données projet'!$B$12,Paramètres!$A$1:$I$89,3,0)*VLOOKUP('Données projet'!$B$12,Paramètres!$A$1:$I$89,5,0)</f>
        <v>249.20063999999991</v>
      </c>
      <c r="CA56" s="13">
        <f t="shared" si="39"/>
        <v>60.414738047899995</v>
      </c>
      <c r="CB56" s="20">
        <f t="shared" si="10"/>
        <v>539.24678343342566</v>
      </c>
      <c r="CC56" s="59">
        <f t="shared" si="11"/>
        <v>796.32216163995895</v>
      </c>
      <c r="CD56" s="59">
        <f ca="1">AVERAGE(OFFSET($CC$3,0,0,'Données projet'!$E$12+1,1))-AVERAGE(OFFSET($H$3,0,0,'Données projet'!$E$12+1,1))</f>
        <v>436.50252985867149</v>
      </c>
      <c r="CE56" s="59">
        <f t="shared" si="40"/>
        <v>419.00806288456329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7.5746641008517672</v>
      </c>
      <c r="CL56" s="21">
        <f>EXP(-LN(2)/25)*CL55+(1-EXP(-LN(2)/25))/(LN(2)/25)*Calculateur!CG56*Calculateur!CI56*VLOOKUP('Données projet'!$B$12,Paramètres!$A$1:$I$89,3,0)*0.475*44/12</f>
        <v>8.8236187915171946</v>
      </c>
      <c r="CM56" s="21">
        <f>EXP(-LN(2)/2)*CM55+(1-EXP(-LN(2)/2))/(LN(2)/2)*CG56*CJ56*VLOOKUP('Données projet'!$B$12,Paramètres!$A$1:$I$89,3,0)*0.475*44/12</f>
        <v>2.2045357822660567</v>
      </c>
      <c r="CN56" s="22">
        <f t="shared" si="12"/>
        <v>18.602818674635017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8.4</v>
      </c>
      <c r="CT56" s="12">
        <f>IF('Données projet'!$A$140&gt;35,CT55+CS56-DB55,IF(A56&lt;'Données projet'!$A$140,$CQ$205^A56,IF(A56='Données projet'!$A$140,'Données projet'!$B$140,CT55+CS56-DB55)))</f>
        <v>307.19999999999987</v>
      </c>
      <c r="CU56" s="17">
        <f>CT56*VLOOKUP('Données projet'!$B$13,Paramètres!$A$1:$I$89,3,0)*VLOOKUP('Données projet'!$B$13,Paramètres!$A$1:$I$89,5,0)</f>
        <v>297.12383999999986</v>
      </c>
      <c r="CV56" s="13">
        <f t="shared" si="41"/>
        <v>70.573172225675918</v>
      </c>
      <c r="CW56" s="20">
        <f t="shared" si="13"/>
        <v>640.40562962638535</v>
      </c>
      <c r="CX56" s="59">
        <f t="shared" si="14"/>
        <v>897.48100783291852</v>
      </c>
      <c r="CY56" s="59">
        <f ca="1">AVERAGE(OFFSET($CX$3,0,0,'Données projet'!$E$13+1,1))-AVERAGE(OFFSET($H$3,0,0,'Données projet'!$E$13+1,1))</f>
        <v>508.3185483454435</v>
      </c>
      <c r="CZ56" s="59">
        <f t="shared" si="42"/>
        <v>487.08233034004945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9.0313302740924897</v>
      </c>
      <c r="DG56" s="21">
        <f>EXP(-LN(2)/25)*DG55+(1-EXP(-LN(2)/25))/(LN(2)/25)*Calculateur!DB56*Calculateur!DD56*VLOOKUP('Données projet'!$B$13,Paramètres!$A$1:$I$89,3,0)*0.475*44/12</f>
        <v>10.520468559116651</v>
      </c>
      <c r="DH56" s="21">
        <f>EXP(-LN(2)/2)*DH55+(1-EXP(-LN(2)/2))/(LN(2)/2)*DB56*DE56*VLOOKUP('Données projet'!$B$13,Paramètres!$A$1:$I$89,3,0)*0.475*44/12</f>
        <v>2.6284849711633749</v>
      </c>
      <c r="DI56" s="22">
        <f t="shared" si="15"/>
        <v>22.180283804372515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8.4</v>
      </c>
      <c r="DO56" s="12">
        <f>IF('Données projet'!$A$166&gt;35,DO55+DN56-DW55,IF(A56&lt;'Données projet'!$A$166,$DL$205^A56,IF(A56='Données projet'!$A$166,'Données projet'!$B$166,DO55+DN56-DW55)))</f>
        <v>307.19999999999987</v>
      </c>
      <c r="DP56" s="17">
        <f>DO56*VLOOKUP('Données projet'!$B$14,Paramètres!$A$1:$I$89,3,0)*VLOOKUP('Données projet'!$B$14,Paramètres!$A$1:$I$89,5,0)</f>
        <v>297.12383999999986</v>
      </c>
      <c r="DQ56" s="13">
        <f t="shared" si="43"/>
        <v>70.573172225675918</v>
      </c>
      <c r="DR56" s="20">
        <f t="shared" si="16"/>
        <v>640.40562962638535</v>
      </c>
      <c r="DS56" s="59">
        <f t="shared" si="17"/>
        <v>897.48100783291852</v>
      </c>
      <c r="DT56" s="59">
        <f ca="1">AVERAGE(OFFSET($DS$3,0,0,'Données projet'!$E$14+1,1))-AVERAGE(OFFSET($H$3,0,0,'Données projet'!$E$14+1,1))</f>
        <v>508.3185483454435</v>
      </c>
      <c r="DU56" s="59">
        <f t="shared" si="44"/>
        <v>487.08233034004945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9.0313302740924897</v>
      </c>
      <c r="EB56" s="21">
        <f>EXP(-LN(2)/25)*EB55+(1-EXP(-LN(2)/25))/(LN(2)/25)*Calculateur!DW56*Calculateur!DY56*VLOOKUP('Données projet'!$B$14,Paramètres!$A$1:$I$89,3,0)*0.475*44/12</f>
        <v>10.520468559116651</v>
      </c>
      <c r="EC56" s="21">
        <f>EXP(-LN(2)/2)*EC55+(1-EXP(-LN(2)/2))/(LN(2)/2)*DW56*DZ56*VLOOKUP('Données projet'!$B$14,Paramètres!$A$1:$I$89,3,0)*0.475*44/12</f>
        <v>2.6284849711633749</v>
      </c>
      <c r="ED56" s="22">
        <f t="shared" si="18"/>
        <v>22.180283804372515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10.125</v>
      </c>
      <c r="N57" s="13">
        <f>IF('Données projet'!$A$36&gt;35,N56+M57-V56,IF(A57&lt;'Données projet'!$A$36,$K$205^A57,IF(A57='Données projet'!$A$36,'Données projet'!$B$36,N56+M57-V56)))</f>
        <v>189.25</v>
      </c>
      <c r="O57" s="13">
        <f>N57*VLOOKUP('Données projet'!$B$9,Paramètres!$A$1:$I$89,3,0)*VLOOKUP('Données projet'!$B$9,Paramètres!$A$1:$I$89,5,0)</f>
        <v>171.23339999999999</v>
      </c>
      <c r="P57" s="13">
        <f t="shared" si="33"/>
        <v>43.366147824369882</v>
      </c>
      <c r="Q57" s="20">
        <f t="shared" si="53"/>
        <v>373.76087912744418</v>
      </c>
      <c r="R57" s="59">
        <f t="shared" si="0"/>
        <v>631.46525179478351</v>
      </c>
      <c r="S57" s="59">
        <f ca="1">AVERAGE(OFFSET($R$3,0,0,'Données projet'!$E$9+1,1))-AVERAGE(OFFSET($H$3,0,0,'Données projet'!$E$9+1,1))</f>
        <v>569.49435820174267</v>
      </c>
      <c r="T57" s="59">
        <f t="shared" si="34"/>
        <v>295.37730858134739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20.234247438295355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20.234247438295355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10.125</v>
      </c>
      <c r="AI57" s="13">
        <f>IF('Données projet'!$A$62&gt;35,AI56+AH57-AQ56,IF(A57&lt;'Données projet'!$A$62,$AF$205^A57,IF(A57='Données projet'!$A$62,'Données projet'!$B$62,AI56+AH57-AQ56)))</f>
        <v>189.25</v>
      </c>
      <c r="AJ57" s="13">
        <f>AI57*VLOOKUP('Données projet'!$B$10,Paramètres!$A$1:$I$89,3,0)*VLOOKUP('Données projet'!$B$10,Paramètres!$A$1:$I$89,5,0)</f>
        <v>191.89950000000002</v>
      </c>
      <c r="AK57" s="13">
        <f t="shared" si="35"/>
        <v>47.959661887978321</v>
      </c>
      <c r="AL57" s="20">
        <f t="shared" si="4"/>
        <v>417.75470695489565</v>
      </c>
      <c r="AM57" s="59">
        <f t="shared" si="5"/>
        <v>675.45907962223498</v>
      </c>
      <c r="AN57" s="59">
        <f ca="1">AVERAGE(OFFSET($AM$3,0,0,'Données projet'!$E$10+1,1))-AVERAGE(OFFSET($H$3,0,0,'Données projet'!$E$10+1,1))</f>
        <v>627.83896530587367</v>
      </c>
      <c r="AO57" s="59">
        <f t="shared" si="36"/>
        <v>323.54927030899489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22.676311784296526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22.676311784296526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8.4</v>
      </c>
      <c r="BD57" s="12">
        <f>IF('Données projet'!$A$88&gt;35,BD56+BC57-BL56,IF(A57&lt;'Données projet'!$A$88,$BA$205^A57,IF(A57='Données projet'!$A$88,'Données projet'!$B$88,BD56+BC57-BL56)))</f>
        <v>315.59999999999985</v>
      </c>
      <c r="BE57" s="13">
        <f>BD57*VLOOKUP('Données projet'!$B$11,Paramètres!$A$1:$I$89,3,0)*VLOOKUP('Données projet'!$B$11,Paramètres!$A$1:$I$89,5,0)</f>
        <v>305.24831999999986</v>
      </c>
      <c r="BF57" s="13">
        <f t="shared" si="37"/>
        <v>72.275599918697424</v>
      </c>
      <c r="BG57" s="20">
        <f t="shared" si="7"/>
        <v>657.52082719173109</v>
      </c>
      <c r="BH57" s="59">
        <f t="shared" si="8"/>
        <v>915.22519985907047</v>
      </c>
      <c r="BI57" s="59">
        <f ca="1">AVERAGE(OFFSET($BH$3,0,0,'Données projet'!$E$11+1,1))-AVERAGE(OFFSET($H$3,0,0,'Données projet'!$E$11+1,1))</f>
        <v>508.3185483454435</v>
      </c>
      <c r="BJ57" s="59">
        <f t="shared" si="38"/>
        <v>487.08233034004945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8.854231395985078</v>
      </c>
      <c r="BQ57" s="21">
        <f>EXP(-LN(2)/25)*BQ56+(1-EXP(-LN(2)/25))/(LN(2)/25)*Calculateur!BL57*Calculateur!BN57*VLOOKUP('Données projet'!$B$11,Paramètres!$A$1:$I$89,3,0)*0.475*44/12</f>
        <v>10.232785793120209</v>
      </c>
      <c r="BR57" s="21">
        <f>EXP(-LN(2)/2)*BR56+(1-EXP(-LN(2)/2))/(LN(2)/2)*BL57*BO57*VLOOKUP('Données projet'!$B$11,Paramètres!$A$1:$I$89,3,0)*0.475*44/12</f>
        <v>1.8586195473565492</v>
      </c>
      <c r="BS57" s="22">
        <f t="shared" si="9"/>
        <v>20.945636736461839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8.4</v>
      </c>
      <c r="BY57" s="12">
        <f>IF('Données projet'!$A$114&gt;35,BY56+BX57-CG56,IF(A57&lt;'Données projet'!$A$114,$BV$205^A57,IF(A57='Données projet'!$A$114,'Données projet'!$B$114,BY56+BX57-CG56)))</f>
        <v>315.59999999999985</v>
      </c>
      <c r="BZ57" s="13">
        <f>BY57*VLOOKUP('Données projet'!$B$12,Paramètres!$A$1:$I$89,3,0)*VLOOKUP('Données projet'!$B$12,Paramètres!$A$1:$I$89,5,0)</f>
        <v>256.0147199999999</v>
      </c>
      <c r="CA57" s="13">
        <f t="shared" si="39"/>
        <v>61.87211512017457</v>
      </c>
      <c r="CB57" s="20">
        <f t="shared" si="10"/>
        <v>553.65290450097052</v>
      </c>
      <c r="CC57" s="59">
        <f t="shared" si="11"/>
        <v>811.35727716830979</v>
      </c>
      <c r="CD57" s="59">
        <f ca="1">AVERAGE(OFFSET($CC$3,0,0,'Données projet'!$E$12+1,1))-AVERAGE(OFFSET($H$3,0,0,'Données projet'!$E$12+1,1))</f>
        <v>436.50252985867149</v>
      </c>
      <c r="CE57" s="59">
        <f t="shared" si="40"/>
        <v>419.00806288456329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7.4261295579229696</v>
      </c>
      <c r="CL57" s="21">
        <f>EXP(-LN(2)/25)*CL56+(1-EXP(-LN(2)/25))/(LN(2)/25)*Calculateur!CG57*Calculateur!CI57*VLOOKUP('Données projet'!$B$12,Paramètres!$A$1:$I$89,3,0)*0.475*44/12</f>
        <v>8.5823364716492119</v>
      </c>
      <c r="CM57" s="21">
        <f>EXP(-LN(2)/2)*CM56+(1-EXP(-LN(2)/2))/(LN(2)/2)*CG57*CJ57*VLOOKUP('Données projet'!$B$12,Paramètres!$A$1:$I$89,3,0)*0.475*44/12</f>
        <v>1.5588422010087191</v>
      </c>
      <c r="CN57" s="22">
        <f t="shared" si="12"/>
        <v>17.567308230580903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8.4</v>
      </c>
      <c r="CT57" s="12">
        <f>IF('Données projet'!$A$140&gt;35,CT56+CS57-DB56,IF(A57&lt;'Données projet'!$A$140,$CQ$205^A57,IF(A57='Données projet'!$A$140,'Données projet'!$B$140,CT56+CS57-DB56)))</f>
        <v>315.59999999999985</v>
      </c>
      <c r="CU57" s="17">
        <f>CT57*VLOOKUP('Données projet'!$B$13,Paramètres!$A$1:$I$89,3,0)*VLOOKUP('Données projet'!$B$13,Paramètres!$A$1:$I$89,5,0)</f>
        <v>305.24831999999986</v>
      </c>
      <c r="CV57" s="13">
        <f t="shared" si="41"/>
        <v>72.275599918697424</v>
      </c>
      <c r="CW57" s="20">
        <f t="shared" si="13"/>
        <v>657.52082719173109</v>
      </c>
      <c r="CX57" s="59">
        <f t="shared" si="14"/>
        <v>915.22519985907047</v>
      </c>
      <c r="CY57" s="59">
        <f ca="1">AVERAGE(OFFSET($CX$3,0,0,'Données projet'!$E$13+1,1))-AVERAGE(OFFSET($H$3,0,0,'Données projet'!$E$13+1,1))</f>
        <v>508.3185483454435</v>
      </c>
      <c r="CZ57" s="59">
        <f t="shared" si="42"/>
        <v>487.08233034004945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8.854231395985078</v>
      </c>
      <c r="DG57" s="21">
        <f>EXP(-LN(2)/25)*DG56+(1-EXP(-LN(2)/25))/(LN(2)/25)*Calculateur!DB57*Calculateur!DD57*VLOOKUP('Données projet'!$B$13,Paramètres!$A$1:$I$89,3,0)*0.475*44/12</f>
        <v>10.232785793120209</v>
      </c>
      <c r="DH57" s="21">
        <f>EXP(-LN(2)/2)*DH56+(1-EXP(-LN(2)/2))/(LN(2)/2)*DB57*DE57*VLOOKUP('Données projet'!$B$13,Paramètres!$A$1:$I$89,3,0)*0.475*44/12</f>
        <v>1.8586195473565492</v>
      </c>
      <c r="DI57" s="22">
        <f t="shared" si="15"/>
        <v>20.945636736461839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8.4</v>
      </c>
      <c r="DO57" s="12">
        <f>IF('Données projet'!$A$166&gt;35,DO56+DN57-DW56,IF(A57&lt;'Données projet'!$A$166,$DL$205^A57,IF(A57='Données projet'!$A$166,'Données projet'!$B$166,DO56+DN57-DW56)))</f>
        <v>315.59999999999985</v>
      </c>
      <c r="DP57" s="17">
        <f>DO57*VLOOKUP('Données projet'!$B$14,Paramètres!$A$1:$I$89,3,0)*VLOOKUP('Données projet'!$B$14,Paramètres!$A$1:$I$89,5,0)</f>
        <v>305.24831999999986</v>
      </c>
      <c r="DQ57" s="13">
        <f t="shared" si="43"/>
        <v>72.275599918697424</v>
      </c>
      <c r="DR57" s="20">
        <f t="shared" si="16"/>
        <v>657.52082719173109</v>
      </c>
      <c r="DS57" s="59">
        <f t="shared" si="17"/>
        <v>915.22519985907047</v>
      </c>
      <c r="DT57" s="59">
        <f ca="1">AVERAGE(OFFSET($DS$3,0,0,'Données projet'!$E$14+1,1))-AVERAGE(OFFSET($H$3,0,0,'Données projet'!$E$14+1,1))</f>
        <v>508.3185483454435</v>
      </c>
      <c r="DU57" s="59">
        <f t="shared" si="44"/>
        <v>487.08233034004945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8.854231395985078</v>
      </c>
      <c r="EB57" s="21">
        <f>EXP(-LN(2)/25)*EB56+(1-EXP(-LN(2)/25))/(LN(2)/25)*Calculateur!DW57*Calculateur!DY57*VLOOKUP('Données projet'!$B$14,Paramètres!$A$1:$I$89,3,0)*0.475*44/12</f>
        <v>10.232785793120209</v>
      </c>
      <c r="EC57" s="21">
        <f>EXP(-LN(2)/2)*EC56+(1-EXP(-LN(2)/2))/(LN(2)/2)*DW57*DZ57*VLOOKUP('Données projet'!$B$14,Paramètres!$A$1:$I$89,3,0)*0.475*44/12</f>
        <v>1.8586195473565492</v>
      </c>
      <c r="ED57" s="22">
        <f t="shared" si="18"/>
        <v>20.945636736461839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10.125</v>
      </c>
      <c r="N58" s="13">
        <f>IF('Données projet'!$A$36&gt;35,N57+M58-V57,IF(A58&lt;'Données projet'!$A$36,$K$205^A58,IF(A58='Données projet'!$A$36,'Données projet'!$B$36,N57+M58-V57)))</f>
        <v>199.375</v>
      </c>
      <c r="O58" s="13">
        <f>N58*VLOOKUP('Données projet'!$B$9,Paramètres!$A$1:$I$89,3,0)*VLOOKUP('Données projet'!$B$9,Paramètres!$A$1:$I$89,5,0)</f>
        <v>180.39449999999999</v>
      </c>
      <c r="P58" s="13">
        <f t="shared" si="33"/>
        <v>45.409943962080618</v>
      </c>
      <c r="Q58" s="20">
        <f t="shared" si="53"/>
        <v>393.27607323395705</v>
      </c>
      <c r="R58" s="59">
        <f t="shared" si="0"/>
        <v>651.59852871442843</v>
      </c>
      <c r="S58" s="59">
        <f ca="1">AVERAGE(OFFSET($R$3,0,0,'Données projet'!$E$9+1,1))-AVERAGE(OFFSET($H$3,0,0,'Données projet'!$E$9+1,1))</f>
        <v>569.49435820174267</v>
      </c>
      <c r="T58" s="59">
        <f t="shared" si="34"/>
        <v>295.37730858134739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19.680940878022341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19.680940878022341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10.125</v>
      </c>
      <c r="AI58" s="13">
        <f>IF('Données projet'!$A$62&gt;35,AI57+AH58-AQ57,IF(A58&lt;'Données projet'!$A$62,$AF$205^A58,IF(A58='Données projet'!$A$62,'Données projet'!$B$62,AI57+AH58-AQ57)))</f>
        <v>199.375</v>
      </c>
      <c r="AJ58" s="13">
        <f>AI58*VLOOKUP('Données projet'!$B$10,Paramètres!$A$1:$I$89,3,0)*VLOOKUP('Données projet'!$B$10,Paramètres!$A$1:$I$89,5,0)</f>
        <v>202.16625000000002</v>
      </c>
      <c r="AK58" s="13">
        <f t="shared" si="35"/>
        <v>50.219945003959403</v>
      </c>
      <c r="AL58" s="20">
        <f t="shared" si="4"/>
        <v>439.5726229652293</v>
      </c>
      <c r="AM58" s="59">
        <f t="shared" si="5"/>
        <v>697.89507844570062</v>
      </c>
      <c r="AN58" s="59">
        <f ca="1">AVERAGE(OFFSET($AM$3,0,0,'Données projet'!$E$10+1,1))-AVERAGE(OFFSET($H$3,0,0,'Données projet'!$E$10+1,1))</f>
        <v>627.83896530587367</v>
      </c>
      <c r="AO58" s="59">
        <f t="shared" si="36"/>
        <v>323.54927030899489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22.056226846059527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22.056226846059527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324</v>
      </c>
      <c r="BB58" s="12">
        <f>VLOOKUP(A58,'Données projet'!$A$87:$I$107,9,0)</f>
        <v>8.4</v>
      </c>
      <c r="BC58" s="12">
        <f t="array" ref="BC58">INDEX(BB:BB,MIN(IF(ISNUMBER(BB58:BB254),ROW(BB58:BB254),"")))</f>
        <v>8.4</v>
      </c>
      <c r="BD58" s="12">
        <f>IF('Données projet'!$A$88&gt;35,BD57+BC58-BL57,IF(A58&lt;'Données projet'!$A$88,$BA$205^A58,IF(A58='Données projet'!$A$88,'Données projet'!$B$88,BD57+BC58-BL57)))</f>
        <v>323.99999999999983</v>
      </c>
      <c r="BE58" s="13">
        <f>BD58*VLOOKUP('Données projet'!$B$11,Paramètres!$A$1:$I$89,3,0)*VLOOKUP('Données projet'!$B$11,Paramètres!$A$1:$I$89,5,0)</f>
        <v>313.37279999999981</v>
      </c>
      <c r="BF58" s="13">
        <f t="shared" si="37"/>
        <v>73.972760827003654</v>
      </c>
      <c r="BG58" s="20">
        <f t="shared" si="7"/>
        <v>674.62685177369769</v>
      </c>
      <c r="BH58" s="59">
        <f t="shared" si="8"/>
        <v>932.94930725416907</v>
      </c>
      <c r="BI58" s="59">
        <f ca="1">AVERAGE(OFFSET($BH$3,0,0,'Données projet'!$E$11+1,1))-AVERAGE(OFFSET($H$3,0,0,'Données projet'!$E$11+1,1))</f>
        <v>508.3185483454435</v>
      </c>
      <c r="BJ58" s="59">
        <f t="shared" si="38"/>
        <v>487.08233034004945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18</v>
      </c>
      <c r="BM58" s="16">
        <f>IF(ISNA(VLOOKUP(A58,'Données projet'!$A$87:$I$107,5,0)),0%,VLOOKUP(A58,'Données projet'!$A$87:$I$107,5,0)*VLOOKUP('Données projet'!$B$11,Paramètres!$A$1:$I$89,7,0))</f>
        <v>0.30099999999999999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0.2</v>
      </c>
      <c r="BP58" s="21">
        <f>EXP(-LN(2)/35)*BP57+(1-EXP(-LN(2)/35))/(LN(2)/35)*BL58*BM58*VLOOKUP('Données projet'!$B$11,Paramètres!$A$1:$I$89,3,0)*0.475*44/12</f>
        <v>14.473590251832274</v>
      </c>
      <c r="BQ58" s="21">
        <f>EXP(-LN(2)/25)*BQ57+(1-EXP(-LN(2)/25))/(LN(2)/25)*Calculateur!BL58*Calculateur!BN58*VLOOKUP('Données projet'!$B$11,Paramètres!$A$1:$I$89,3,0)*0.475*44/12</f>
        <v>9.9529697274885205</v>
      </c>
      <c r="BR58" s="21">
        <f>EXP(-LN(2)/2)*BR57+(1-EXP(-LN(2)/2))/(LN(2)/2)*BL58*BO58*VLOOKUP('Données projet'!$B$11,Paramètres!$A$1:$I$89,3,0)*0.475*44/12</f>
        <v>4.5995277200844811</v>
      </c>
      <c r="BS58" s="22">
        <f t="shared" si="9"/>
        <v>29.026087699405274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324</v>
      </c>
      <c r="BW58" s="12">
        <f>VLOOKUP(A58,'Données projet'!$A$113:$I$133,9,0)</f>
        <v>8.4</v>
      </c>
      <c r="BX58" s="12">
        <f t="array" ref="BX58">INDEX(BW:BW,MIN(IF(ISNUMBER(BW58:BW254),ROW(BW58:BW254),"")))</f>
        <v>8.4</v>
      </c>
      <c r="BY58" s="12">
        <f>IF('Données projet'!$A$114&gt;35,BY57+BX58-CG57,IF(A58&lt;'Données projet'!$A$114,$BV$205^A58,IF(A58='Données projet'!$A$114,'Données projet'!$B$114,BY57+BX58-CG57)))</f>
        <v>323.99999999999983</v>
      </c>
      <c r="BZ58" s="13">
        <f>BY58*VLOOKUP('Données projet'!$B$12,Paramètres!$A$1:$I$89,3,0)*VLOOKUP('Données projet'!$B$12,Paramètres!$A$1:$I$89,5,0)</f>
        <v>262.82879999999989</v>
      </c>
      <c r="CA58" s="13">
        <f t="shared" si="39"/>
        <v>63.324983518559428</v>
      </c>
      <c r="CB58" s="20">
        <f t="shared" si="10"/>
        <v>568.05117296149081</v>
      </c>
      <c r="CC58" s="59">
        <f t="shared" si="11"/>
        <v>826.37362844196218</v>
      </c>
      <c r="CD58" s="59">
        <f ca="1">AVERAGE(OFFSET($CC$3,0,0,'Données projet'!$E$12+1,1))-AVERAGE(OFFSET($H$3,0,0,'Données projet'!$E$12+1,1))</f>
        <v>436.50252985867149</v>
      </c>
      <c r="CE58" s="59">
        <f t="shared" si="40"/>
        <v>419.00806288456329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18</v>
      </c>
      <c r="CH58" s="16">
        <f>IF(ISNA(VLOOKUP(A58,'Données projet'!$A$113:$I$133,5,0)),0%,VLOOKUP(A58,'Données projet'!$A$113:$I$133,5,0)*VLOOKUP('Données projet'!$B$12,Paramètres!$A$1:$I$89,7,0))</f>
        <v>0.30099999999999999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0.2</v>
      </c>
      <c r="CK58" s="21">
        <f>EXP(-LN(2)/35)*CK57+(1-EXP(-LN(2)/35))/(LN(2)/35)*CG58*CH58*VLOOKUP('Données projet'!$B$12,Paramètres!$A$1:$I$89,3,0)*0.475*44/12</f>
        <v>12.139140211214166</v>
      </c>
      <c r="CL58" s="21">
        <f>EXP(-LN(2)/25)*CL57+(1-EXP(-LN(2)/25))/(LN(2)/25)*Calculateur!CG58*Calculateur!CI58*VLOOKUP('Données projet'!$B$12,Paramètres!$A$1:$I$89,3,0)*0.475*44/12</f>
        <v>8.347652029506504</v>
      </c>
      <c r="CM58" s="21">
        <f>EXP(-LN(2)/2)*CM57+(1-EXP(-LN(2)/2))/(LN(2)/2)*CG58*CJ58*VLOOKUP('Données projet'!$B$12,Paramètres!$A$1:$I$89,3,0)*0.475*44/12</f>
        <v>3.857668410393436</v>
      </c>
      <c r="CN58" s="22">
        <f t="shared" si="12"/>
        <v>24.344460651114105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324</v>
      </c>
      <c r="CR58" s="12">
        <f>VLOOKUP(A58,'Données projet'!$A$139:$I$159,9,0)</f>
        <v>8.4</v>
      </c>
      <c r="CS58" s="12">
        <f t="array" ref="CS58">INDEX(CR:CR,MIN(IF(ISNUMBER(CR58:CR254),ROW(CR58:CR254),"")))</f>
        <v>8.4</v>
      </c>
      <c r="CT58" s="12">
        <f>IF('Données projet'!$A$140&gt;35,CT57+CS58-DB57,IF(A58&lt;'Données projet'!$A$140,$CQ$205^A58,IF(A58='Données projet'!$A$140,'Données projet'!$B$140,CT57+CS58-DB57)))</f>
        <v>323.99999999999983</v>
      </c>
      <c r="CU58" s="17">
        <f>CT58*VLOOKUP('Données projet'!$B$13,Paramètres!$A$1:$I$89,3,0)*VLOOKUP('Données projet'!$B$13,Paramètres!$A$1:$I$89,5,0)</f>
        <v>313.37279999999981</v>
      </c>
      <c r="CV58" s="13">
        <f t="shared" si="41"/>
        <v>73.972760827003654</v>
      </c>
      <c r="CW58" s="20">
        <f t="shared" si="13"/>
        <v>674.62685177369769</v>
      </c>
      <c r="CX58" s="59">
        <f t="shared" si="14"/>
        <v>932.94930725416907</v>
      </c>
      <c r="CY58" s="59">
        <f ca="1">AVERAGE(OFFSET($CX$3,0,0,'Données projet'!$E$13+1,1))-AVERAGE(OFFSET($H$3,0,0,'Données projet'!$E$13+1,1))</f>
        <v>508.3185483454435</v>
      </c>
      <c r="CZ58" s="59">
        <f t="shared" si="42"/>
        <v>487.08233034004945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18</v>
      </c>
      <c r="DC58" s="16">
        <f>IF(ISNA(VLOOKUP(A58,'Données projet'!$A$139:$I$159,5,0)),0%,VLOOKUP(A58,'Données projet'!$A$139:$I$159,5,0)*VLOOKUP('Données projet'!$B$13,Paramètres!$A$1:$I$89,7,0))</f>
        <v>0.30099999999999999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0.2</v>
      </c>
      <c r="DF58" s="21">
        <f>EXP(-LN(2)/35)*DF57+(1-EXP(-LN(2)/35))/(LN(2)/35)*DB58*DC58*VLOOKUP('Données projet'!$B$13,Paramètres!$A$1:$I$89,3,0)*0.475*44/12</f>
        <v>14.473590251832274</v>
      </c>
      <c r="DG58" s="21">
        <f>EXP(-LN(2)/25)*DG57+(1-EXP(-LN(2)/25))/(LN(2)/25)*Calculateur!DB58*Calculateur!DD58*VLOOKUP('Données projet'!$B$13,Paramètres!$A$1:$I$89,3,0)*0.475*44/12</f>
        <v>9.9529697274885205</v>
      </c>
      <c r="DH58" s="21">
        <f>EXP(-LN(2)/2)*DH57+(1-EXP(-LN(2)/2))/(LN(2)/2)*DB58*DE58*VLOOKUP('Données projet'!$B$13,Paramètres!$A$1:$I$89,3,0)*0.475*44/12</f>
        <v>4.5995277200844811</v>
      </c>
      <c r="DI58" s="22">
        <f t="shared" si="15"/>
        <v>29.026087699405274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324</v>
      </c>
      <c r="DM58" s="12">
        <f>VLOOKUP(A58,'Données projet'!$A$165:$I$185,9,0)</f>
        <v>8.4</v>
      </c>
      <c r="DN58" s="12">
        <f t="array" ref="DN58">INDEX(DM:DM,MIN(IF(ISNUMBER(DM58:DM254),ROW(DM58:DM254),"")))</f>
        <v>8.4</v>
      </c>
      <c r="DO58" s="12">
        <f>IF('Données projet'!$A$166&gt;35,DO57+DN58-DW57,IF(A58&lt;'Données projet'!$A$166,$DL$205^A58,IF(A58='Données projet'!$A$166,'Données projet'!$B$166,DO57+DN58-DW57)))</f>
        <v>323.99999999999983</v>
      </c>
      <c r="DP58" s="17">
        <f>DO58*VLOOKUP('Données projet'!$B$14,Paramètres!$A$1:$I$89,3,0)*VLOOKUP('Données projet'!$B$14,Paramètres!$A$1:$I$89,5,0)</f>
        <v>313.37279999999981</v>
      </c>
      <c r="DQ58" s="13">
        <f t="shared" si="43"/>
        <v>73.972760827003654</v>
      </c>
      <c r="DR58" s="20">
        <f t="shared" si="16"/>
        <v>674.62685177369769</v>
      </c>
      <c r="DS58" s="59">
        <f t="shared" si="17"/>
        <v>932.94930725416907</v>
      </c>
      <c r="DT58" s="59">
        <f ca="1">AVERAGE(OFFSET($DS$3,0,0,'Données projet'!$E$14+1,1))-AVERAGE(OFFSET($H$3,0,0,'Données projet'!$E$14+1,1))</f>
        <v>508.3185483454435</v>
      </c>
      <c r="DU58" s="59">
        <f t="shared" si="44"/>
        <v>487.08233034004945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18</v>
      </c>
      <c r="DX58" s="16">
        <f>IF(ISNA(VLOOKUP(A58,'Données projet'!$A$165:$I$185,5,0)),0%,VLOOKUP(A58,'Données projet'!$A$165:$I$185,5,0)*VLOOKUP('Données projet'!$B$14,Paramètres!$A$1:$I$89,7,0))</f>
        <v>0.30099999999999999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0.2</v>
      </c>
      <c r="EA58" s="21">
        <f>EXP(-LN(2)/35)*EA57+(1-EXP(-LN(2)/35))/(LN(2)/35)*DW58*DX58*VLOOKUP('Données projet'!$B$14,Paramètres!$A$1:$I$89,3,0)*0.475*44/12</f>
        <v>14.473590251832274</v>
      </c>
      <c r="EB58" s="21">
        <f>EXP(-LN(2)/25)*EB57+(1-EXP(-LN(2)/25))/(LN(2)/25)*Calculateur!DW58*Calculateur!DY58*VLOOKUP('Données projet'!$B$14,Paramètres!$A$1:$I$89,3,0)*0.475*44/12</f>
        <v>9.9529697274885205</v>
      </c>
      <c r="EC58" s="21">
        <f>EXP(-LN(2)/2)*EC57+(1-EXP(-LN(2)/2))/(LN(2)/2)*DW58*DZ58*VLOOKUP('Données projet'!$B$14,Paramètres!$A$1:$I$89,3,0)*0.475*44/12</f>
        <v>4.5995277200844811</v>
      </c>
      <c r="ED58" s="22">
        <f t="shared" si="18"/>
        <v>29.026087699405274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10.125</v>
      </c>
      <c r="N59" s="13">
        <f>IF('Données projet'!$A$36&gt;35,N58+M59-V58,IF(A59&lt;'Données projet'!$A$36,$K$205^A59,IF(A59='Données projet'!$A$36,'Données projet'!$B$36,N58+M59-V58)))</f>
        <v>209.5</v>
      </c>
      <c r="O59" s="13">
        <f>N59*VLOOKUP('Données projet'!$B$9,Paramètres!$A$1:$I$89,3,0)*VLOOKUP('Données projet'!$B$9,Paramètres!$A$1:$I$89,5,0)</f>
        <v>189.5556</v>
      </c>
      <c r="P59" s="13">
        <f t="shared" si="33"/>
        <v>47.441688934734636</v>
      </c>
      <c r="Q59" s="20">
        <f t="shared" si="53"/>
        <v>412.77027822799613</v>
      </c>
      <c r="R59" s="59">
        <f t="shared" si="0"/>
        <v>671.70009416661787</v>
      </c>
      <c r="S59" s="59">
        <f ca="1">AVERAGE(OFFSET($R$3,0,0,'Données projet'!$E$9+1,1))-AVERAGE(OFFSET($H$3,0,0,'Données projet'!$E$9+1,1))</f>
        <v>569.49435820174267</v>
      </c>
      <c r="T59" s="59">
        <f t="shared" si="34"/>
        <v>295.37730858134739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19.14276451473712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19.14276451473712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10.125</v>
      </c>
      <c r="AI59" s="13">
        <f>IF('Données projet'!$A$62&gt;35,AI58+AH59-AQ58,IF(A59&lt;'Données projet'!$A$62,$AF$205^A59,IF(A59='Données projet'!$A$62,'Données projet'!$B$62,AI58+AH59-AQ58)))</f>
        <v>209.5</v>
      </c>
      <c r="AJ59" s="13">
        <f>AI59*VLOOKUP('Données projet'!$B$10,Paramètres!$A$1:$I$89,3,0)*VLOOKUP('Données projet'!$B$10,Paramètres!$A$1:$I$89,5,0)</f>
        <v>212.43300000000002</v>
      </c>
      <c r="AK59" s="13">
        <f t="shared" si="35"/>
        <v>52.466900447770541</v>
      </c>
      <c r="AL59" s="20">
        <f t="shared" si="4"/>
        <v>461.36732661320042</v>
      </c>
      <c r="AM59" s="59">
        <f t="shared" si="5"/>
        <v>720.29714255182216</v>
      </c>
      <c r="AN59" s="59">
        <f ca="1">AVERAGE(OFFSET($AM$3,0,0,'Données projet'!$E$10+1,1))-AVERAGE(OFFSET($H$3,0,0,'Données projet'!$E$10+1,1))</f>
        <v>627.83896530587367</v>
      </c>
      <c r="AO59" s="59">
        <f t="shared" si="36"/>
        <v>323.54927030899489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21.45309816306747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21.45309816306747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7.4</v>
      </c>
      <c r="BD59" s="12">
        <f>IF('Données projet'!$A$88&gt;35,BD58+BC59-BL58,IF(A59&lt;'Données projet'!$A$88,$BA$205^A59,IF(A59='Données projet'!$A$88,'Données projet'!$B$88,BD58+BC59-BL58)))</f>
        <v>313.39999999999981</v>
      </c>
      <c r="BE59" s="13">
        <f>BD59*VLOOKUP('Données projet'!$B$11,Paramètres!$A$1:$I$89,3,0)*VLOOKUP('Données projet'!$B$11,Paramètres!$A$1:$I$89,5,0)</f>
        <v>303.12047999999982</v>
      </c>
      <c r="BF59" s="13">
        <f t="shared" si="37"/>
        <v>71.830241448738988</v>
      </c>
      <c r="BG59" s="20">
        <f t="shared" si="7"/>
        <v>653.03917318988681</v>
      </c>
      <c r="BH59" s="59">
        <f t="shared" si="8"/>
        <v>911.96898912850861</v>
      </c>
      <c r="BI59" s="59">
        <f ca="1">AVERAGE(OFFSET($BH$3,0,0,'Données projet'!$E$11+1,1))-AVERAGE(OFFSET($H$3,0,0,'Données projet'!$E$11+1,1))</f>
        <v>508.3185483454435</v>
      </c>
      <c r="BJ59" s="59">
        <f t="shared" si="38"/>
        <v>487.08233034004945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14.189771975012203</v>
      </c>
      <c r="BQ59" s="21">
        <f>EXP(-LN(2)/25)*BQ58+(1-EXP(-LN(2)/25))/(LN(2)/25)*Calculateur!BL59*Calculateur!BN59*VLOOKUP('Données projet'!$B$11,Paramètres!$A$1:$I$89,3,0)*0.475*44/12</f>
        <v>9.6808052468864165</v>
      </c>
      <c r="BR59" s="21">
        <f>EXP(-LN(2)/2)*BR58+(1-EXP(-LN(2)/2))/(LN(2)/2)*BL59*BO59*VLOOKUP('Données projet'!$B$11,Paramètres!$A$1:$I$89,3,0)*0.475*44/12</f>
        <v>3.2523572411272372</v>
      </c>
      <c r="BS59" s="22">
        <f t="shared" si="9"/>
        <v>27.122934463025857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313.39999999999981</v>
      </c>
      <c r="BZ59" s="13">
        <f>BY59*VLOOKUP('Données projet'!$B$12,Paramètres!$A$1:$I$89,3,0)*VLOOKUP('Données projet'!$B$12,Paramètres!$A$1:$I$89,5,0)</f>
        <v>254.23007999999987</v>
      </c>
      <c r="CA59" s="13">
        <f t="shared" si="39"/>
        <v>61.490862379913594</v>
      </c>
      <c r="CB59" s="20">
        <f t="shared" si="10"/>
        <v>549.88064131168267</v>
      </c>
      <c r="CC59" s="59">
        <f t="shared" si="11"/>
        <v>808.81045725030435</v>
      </c>
      <c r="CD59" s="59">
        <f ca="1">AVERAGE(OFFSET($CC$3,0,0,'Données projet'!$E$12+1,1))-AVERAGE(OFFSET($H$3,0,0,'Données projet'!$E$12+1,1))</f>
        <v>436.50252985867149</v>
      </c>
      <c r="CE59" s="59">
        <f t="shared" si="40"/>
        <v>419.00806288456329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11.901099075816687</v>
      </c>
      <c r="CL59" s="21">
        <f>EXP(-LN(2)/25)*CL58+(1-EXP(-LN(2)/25))/(LN(2)/25)*Calculateur!CG59*Calculateur!CI59*VLOOKUP('Données projet'!$B$12,Paramètres!$A$1:$I$89,3,0)*0.475*44/12</f>
        <v>8.119385045775708</v>
      </c>
      <c r="CM59" s="21">
        <f>EXP(-LN(2)/2)*CM58+(1-EXP(-LN(2)/2))/(LN(2)/2)*CG59*CJ59*VLOOKUP('Données projet'!$B$12,Paramètres!$A$1:$I$89,3,0)*0.475*44/12</f>
        <v>2.727783492558328</v>
      </c>
      <c r="CN59" s="22">
        <f t="shared" si="12"/>
        <v>22.748267614150723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313.39999999999981</v>
      </c>
      <c r="CU59" s="17">
        <f>CT59*VLOOKUP('Données projet'!$B$13,Paramètres!$A$1:$I$89,3,0)*VLOOKUP('Données projet'!$B$13,Paramètres!$A$1:$I$89,5,0)</f>
        <v>303.12047999999982</v>
      </c>
      <c r="CV59" s="13">
        <f t="shared" si="41"/>
        <v>71.830241448738988</v>
      </c>
      <c r="CW59" s="20">
        <f t="shared" si="13"/>
        <v>653.03917318988681</v>
      </c>
      <c r="CX59" s="59">
        <f t="shared" si="14"/>
        <v>911.96898912850861</v>
      </c>
      <c r="CY59" s="59">
        <f ca="1">AVERAGE(OFFSET($CX$3,0,0,'Données projet'!$E$13+1,1))-AVERAGE(OFFSET($H$3,0,0,'Données projet'!$E$13+1,1))</f>
        <v>508.3185483454435</v>
      </c>
      <c r="CZ59" s="59">
        <f t="shared" si="42"/>
        <v>487.08233034004945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14.189771975012203</v>
      </c>
      <c r="DG59" s="21">
        <f>EXP(-LN(2)/25)*DG58+(1-EXP(-LN(2)/25))/(LN(2)/25)*Calculateur!DB59*Calculateur!DD59*VLOOKUP('Données projet'!$B$13,Paramètres!$A$1:$I$89,3,0)*0.475*44/12</f>
        <v>9.6808052468864165</v>
      </c>
      <c r="DH59" s="21">
        <f>EXP(-LN(2)/2)*DH58+(1-EXP(-LN(2)/2))/(LN(2)/2)*DB59*DE59*VLOOKUP('Données projet'!$B$13,Paramètres!$A$1:$I$89,3,0)*0.475*44/12</f>
        <v>3.2523572411272372</v>
      </c>
      <c r="DI59" s="22">
        <f t="shared" si="15"/>
        <v>27.122934463025857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7.4</v>
      </c>
      <c r="DO59" s="12">
        <f>IF('Données projet'!$A$166&gt;35,DO58+DN59-DW58,IF(A59&lt;'Données projet'!$A$166,$DL$205^A59,IF(A59='Données projet'!$A$166,'Données projet'!$B$166,DO58+DN59-DW58)))</f>
        <v>313.39999999999981</v>
      </c>
      <c r="DP59" s="17">
        <f>DO59*VLOOKUP('Données projet'!$B$14,Paramètres!$A$1:$I$89,3,0)*VLOOKUP('Données projet'!$B$14,Paramètres!$A$1:$I$89,5,0)</f>
        <v>303.12047999999982</v>
      </c>
      <c r="DQ59" s="13">
        <f t="shared" si="43"/>
        <v>71.830241448738988</v>
      </c>
      <c r="DR59" s="20">
        <f t="shared" si="16"/>
        <v>653.03917318988681</v>
      </c>
      <c r="DS59" s="59">
        <f t="shared" si="17"/>
        <v>911.96898912850861</v>
      </c>
      <c r="DT59" s="59">
        <f ca="1">AVERAGE(OFFSET($DS$3,0,0,'Données projet'!$E$14+1,1))-AVERAGE(OFFSET($H$3,0,0,'Données projet'!$E$14+1,1))</f>
        <v>508.3185483454435</v>
      </c>
      <c r="DU59" s="59">
        <f t="shared" si="44"/>
        <v>487.08233034004945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14.189771975012203</v>
      </c>
      <c r="EB59" s="21">
        <f>EXP(-LN(2)/25)*EB58+(1-EXP(-LN(2)/25))/(LN(2)/25)*Calculateur!DW59*Calculateur!DY59*VLOOKUP('Données projet'!$B$14,Paramètres!$A$1:$I$89,3,0)*0.475*44/12</f>
        <v>9.6808052468864165</v>
      </c>
      <c r="EC59" s="21">
        <f>EXP(-LN(2)/2)*EC58+(1-EXP(-LN(2)/2))/(LN(2)/2)*DW59*DZ59*VLOOKUP('Données projet'!$B$14,Paramètres!$A$1:$I$89,3,0)*0.475*44/12</f>
        <v>3.2523572411272372</v>
      </c>
      <c r="ED59" s="22">
        <f t="shared" si="18"/>
        <v>27.122934463025857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10.125</v>
      </c>
      <c r="N60" s="13">
        <f>IF('Données projet'!$A$36&gt;35,N59+M60-V59,IF(A60&lt;'Données projet'!$A$36,$K$205^A60,IF(A60='Données projet'!$A$36,'Données projet'!$B$36,N59+M60-V59)))</f>
        <v>219.625</v>
      </c>
      <c r="O60" s="13">
        <f>N60*VLOOKUP('Données projet'!$B$9,Paramètres!$A$1:$I$89,3,0)*VLOOKUP('Données projet'!$B$9,Paramètres!$A$1:$I$89,5,0)</f>
        <v>198.7167</v>
      </c>
      <c r="P60" s="13">
        <f t="shared" si="33"/>
        <v>49.462031653113236</v>
      </c>
      <c r="Q60" s="20">
        <f t="shared" si="53"/>
        <v>432.24462429583883</v>
      </c>
      <c r="R60" s="59">
        <f t="shared" si="0"/>
        <v>691.77126434651655</v>
      </c>
      <c r="S60" s="59">
        <f ca="1">AVERAGE(OFFSET($R$3,0,0,'Données projet'!$E$9+1,1))-AVERAGE(OFFSET($H$3,0,0,'Données projet'!$E$9+1,1))</f>
        <v>569.49435820174267</v>
      </c>
      <c r="T60" s="59">
        <f t="shared" si="34"/>
        <v>295.37730858134739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18.619304612407401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18.619304612407401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10.125</v>
      </c>
      <c r="AI60" s="13">
        <f>IF('Données projet'!$A$62&gt;35,AI59+AH60-AQ59,IF(A60&lt;'Données projet'!$A$62,$AF$205^A60,IF(A60='Données projet'!$A$62,'Données projet'!$B$62,AI59+AH60-AQ59)))</f>
        <v>219.625</v>
      </c>
      <c r="AJ60" s="13">
        <f>AI60*VLOOKUP('Données projet'!$B$10,Paramètres!$A$1:$I$89,3,0)*VLOOKUP('Données projet'!$B$10,Paramètres!$A$1:$I$89,5,0)</f>
        <v>222.69974999999999</v>
      </c>
      <c r="AK60" s="13">
        <f t="shared" si="35"/>
        <v>54.701245865392025</v>
      </c>
      <c r="AL60" s="20">
        <f t="shared" si="4"/>
        <v>483.14006779889104</v>
      </c>
      <c r="AM60" s="59">
        <f t="shared" si="5"/>
        <v>742.66670784956875</v>
      </c>
      <c r="AN60" s="59">
        <f ca="1">AVERAGE(OFFSET($AM$3,0,0,'Données projet'!$E$10+1,1))-AVERAGE(OFFSET($H$3,0,0,'Données projet'!$E$10+1,1))</f>
        <v>627.83896530587367</v>
      </c>
      <c r="AO60" s="59">
        <f t="shared" si="36"/>
        <v>323.54927030899489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20.866462065628991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20.866462065628991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7.4</v>
      </c>
      <c r="BD60" s="12">
        <f>IF('Données projet'!$A$88&gt;35,BD59+BC60-BL59,IF(A60&lt;'Données projet'!$A$88,$BA$205^A60,IF(A60='Données projet'!$A$88,'Données projet'!$B$88,BD59+BC60-BL59)))</f>
        <v>320.79999999999978</v>
      </c>
      <c r="BE60" s="13">
        <f>BD60*VLOOKUP('Données projet'!$B$11,Paramètres!$A$1:$I$89,3,0)*VLOOKUP('Données projet'!$B$11,Paramètres!$A$1:$I$89,5,0)</f>
        <v>310.27775999999983</v>
      </c>
      <c r="BF60" s="13">
        <f t="shared" si="37"/>
        <v>73.326834491020819</v>
      </c>
      <c r="BG60" s="20">
        <f t="shared" si="7"/>
        <v>668.11133540519415</v>
      </c>
      <c r="BH60" s="59">
        <f t="shared" si="8"/>
        <v>927.63797545587181</v>
      </c>
      <c r="BI60" s="59">
        <f ca="1">AVERAGE(OFFSET($BH$3,0,0,'Données projet'!$E$11+1,1))-AVERAGE(OFFSET($H$3,0,0,'Données projet'!$E$11+1,1))</f>
        <v>508.3185483454435</v>
      </c>
      <c r="BJ60" s="59">
        <f t="shared" si="38"/>
        <v>487.08233034004945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13.911519201488517</v>
      </c>
      <c r="BQ60" s="21">
        <f>EXP(-LN(2)/25)*BQ59+(1-EXP(-LN(2)/25))/(LN(2)/25)*Calculateur!BL60*Calculateur!BN60*VLOOKUP('Données projet'!$B$11,Paramètres!$A$1:$I$89,3,0)*0.475*44/12</f>
        <v>9.4160831183188858</v>
      </c>
      <c r="BR60" s="21">
        <f>EXP(-LN(2)/2)*BR59+(1-EXP(-LN(2)/2))/(LN(2)/2)*BL60*BO60*VLOOKUP('Données projet'!$B$11,Paramètres!$A$1:$I$89,3,0)*0.475*44/12</f>
        <v>2.299763860042241</v>
      </c>
      <c r="BS60" s="22">
        <f t="shared" si="9"/>
        <v>25.627366179849645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320.79999999999978</v>
      </c>
      <c r="BZ60" s="13">
        <f>BY60*VLOOKUP('Données projet'!$B$12,Paramètres!$A$1:$I$89,3,0)*VLOOKUP('Données projet'!$B$12,Paramètres!$A$1:$I$89,5,0)</f>
        <v>260.23295999999982</v>
      </c>
      <c r="CA60" s="13">
        <f t="shared" si="39"/>
        <v>62.772033025391018</v>
      </c>
      <c r="CB60" s="20">
        <f t="shared" si="10"/>
        <v>562.56702951922227</v>
      </c>
      <c r="CC60" s="59">
        <f t="shared" si="11"/>
        <v>822.09366956989993</v>
      </c>
      <c r="CD60" s="59">
        <f ca="1">AVERAGE(OFFSET($CC$3,0,0,'Données projet'!$E$12+1,1))-AVERAGE(OFFSET($H$3,0,0,'Données projet'!$E$12+1,1))</f>
        <v>436.50252985867149</v>
      </c>
      <c r="CE60" s="59">
        <f t="shared" si="40"/>
        <v>419.00806288456329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11.667725781893596</v>
      </c>
      <c r="CL60" s="21">
        <f>EXP(-LN(2)/25)*CL59+(1-EXP(-LN(2)/25))/(LN(2)/25)*Calculateur!CG60*Calculateur!CI60*VLOOKUP('Données projet'!$B$12,Paramètres!$A$1:$I$89,3,0)*0.475*44/12</f>
        <v>7.8973600347190684</v>
      </c>
      <c r="CM60" s="21">
        <f>EXP(-LN(2)/2)*CM59+(1-EXP(-LN(2)/2))/(LN(2)/2)*CG60*CJ60*VLOOKUP('Données projet'!$B$12,Paramètres!$A$1:$I$89,3,0)*0.475*44/12</f>
        <v>1.9288342051967182</v>
      </c>
      <c r="CN60" s="22">
        <f t="shared" si="12"/>
        <v>21.493920021809384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320.79999999999978</v>
      </c>
      <c r="CU60" s="17">
        <f>CT60*VLOOKUP('Données projet'!$B$13,Paramètres!$A$1:$I$89,3,0)*VLOOKUP('Données projet'!$B$13,Paramètres!$A$1:$I$89,5,0)</f>
        <v>310.27775999999983</v>
      </c>
      <c r="CV60" s="13">
        <f t="shared" si="41"/>
        <v>73.326834491020819</v>
      </c>
      <c r="CW60" s="20">
        <f t="shared" si="13"/>
        <v>668.11133540519415</v>
      </c>
      <c r="CX60" s="59">
        <f t="shared" si="14"/>
        <v>927.63797545587181</v>
      </c>
      <c r="CY60" s="59">
        <f ca="1">AVERAGE(OFFSET($CX$3,0,0,'Données projet'!$E$13+1,1))-AVERAGE(OFFSET($H$3,0,0,'Données projet'!$E$13+1,1))</f>
        <v>508.3185483454435</v>
      </c>
      <c r="CZ60" s="59">
        <f t="shared" si="42"/>
        <v>487.08233034004945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13.911519201488517</v>
      </c>
      <c r="DG60" s="21">
        <f>EXP(-LN(2)/25)*DG59+(1-EXP(-LN(2)/25))/(LN(2)/25)*Calculateur!DB60*Calculateur!DD60*VLOOKUP('Données projet'!$B$13,Paramètres!$A$1:$I$89,3,0)*0.475*44/12</f>
        <v>9.4160831183188858</v>
      </c>
      <c r="DH60" s="21">
        <f>EXP(-LN(2)/2)*DH59+(1-EXP(-LN(2)/2))/(LN(2)/2)*DB60*DE60*VLOOKUP('Données projet'!$B$13,Paramètres!$A$1:$I$89,3,0)*0.475*44/12</f>
        <v>2.299763860042241</v>
      </c>
      <c r="DI60" s="22">
        <f t="shared" si="15"/>
        <v>25.627366179849645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7.4</v>
      </c>
      <c r="DO60" s="12">
        <f>IF('Données projet'!$A$166&gt;35,DO59+DN60-DW59,IF(A60&lt;'Données projet'!$A$166,$DL$205^A60,IF(A60='Données projet'!$A$166,'Données projet'!$B$166,DO59+DN60-DW59)))</f>
        <v>320.79999999999978</v>
      </c>
      <c r="DP60" s="17">
        <f>DO60*VLOOKUP('Données projet'!$B$14,Paramètres!$A$1:$I$89,3,0)*VLOOKUP('Données projet'!$B$14,Paramètres!$A$1:$I$89,5,0)</f>
        <v>310.27775999999983</v>
      </c>
      <c r="DQ60" s="13">
        <f t="shared" si="43"/>
        <v>73.326834491020819</v>
      </c>
      <c r="DR60" s="20">
        <f t="shared" si="16"/>
        <v>668.11133540519415</v>
      </c>
      <c r="DS60" s="59">
        <f t="shared" si="17"/>
        <v>927.63797545587181</v>
      </c>
      <c r="DT60" s="59">
        <f ca="1">AVERAGE(OFFSET($DS$3,0,0,'Données projet'!$E$14+1,1))-AVERAGE(OFFSET($H$3,0,0,'Données projet'!$E$14+1,1))</f>
        <v>508.3185483454435</v>
      </c>
      <c r="DU60" s="59">
        <f t="shared" si="44"/>
        <v>487.08233034004945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13.911519201488517</v>
      </c>
      <c r="EB60" s="21">
        <f>EXP(-LN(2)/25)*EB59+(1-EXP(-LN(2)/25))/(LN(2)/25)*Calculateur!DW60*Calculateur!DY60*VLOOKUP('Données projet'!$B$14,Paramètres!$A$1:$I$89,3,0)*0.475*44/12</f>
        <v>9.4160831183188858</v>
      </c>
      <c r="EC60" s="21">
        <f>EXP(-LN(2)/2)*EC59+(1-EXP(-LN(2)/2))/(LN(2)/2)*DW60*DZ60*VLOOKUP('Données projet'!$B$14,Paramètres!$A$1:$I$89,3,0)*0.475*44/12</f>
        <v>2.299763860042241</v>
      </c>
      <c r="ED60" s="22">
        <f t="shared" si="18"/>
        <v>25.627366179849645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10.125</v>
      </c>
      <c r="N61" s="13">
        <f>IF('Données projet'!$A$36&gt;35,N60+M61-V60,IF(A61&lt;'Données projet'!$A$36,$K$205^A61,IF(A61='Données projet'!$A$36,'Données projet'!$B$36,N60+M61-V60)))</f>
        <v>229.75</v>
      </c>
      <c r="O61" s="13">
        <f>N61*VLOOKUP('Données projet'!$B$9,Paramètres!$A$1:$I$89,3,0)*VLOOKUP('Données projet'!$B$9,Paramètres!$A$1:$I$89,5,0)</f>
        <v>207.87780000000001</v>
      </c>
      <c r="P61" s="13">
        <f t="shared" si="33"/>
        <v>51.471557815090421</v>
      </c>
      <c r="Q61" s="20">
        <f t="shared" si="53"/>
        <v>451.70013152794922</v>
      </c>
      <c r="R61" s="59">
        <f t="shared" si="0"/>
        <v>711.81324212663765</v>
      </c>
      <c r="S61" s="59">
        <f ca="1">AVERAGE(OFFSET($R$3,0,0,'Données projet'!$E$9+1,1))-AVERAGE(OFFSET($H$3,0,0,'Données projet'!$E$9+1,1))</f>
        <v>569.49435820174267</v>
      </c>
      <c r="T61" s="59">
        <f t="shared" si="34"/>
        <v>295.37730858134739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18.110158748634447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18.110158748634447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10.125</v>
      </c>
      <c r="AI61" s="13">
        <f>IF('Données projet'!$A$62&gt;35,AI60+AH61-AQ60,IF(A61&lt;'Données projet'!$A$62,$AF$205^A61,IF(A61='Données projet'!$A$62,'Données projet'!$B$62,AI60+AH61-AQ60)))</f>
        <v>229.75</v>
      </c>
      <c r="AJ61" s="13">
        <f>AI61*VLOOKUP('Données projet'!$B$10,Paramètres!$A$1:$I$89,3,0)*VLOOKUP('Données projet'!$B$10,Paramètres!$A$1:$I$89,5,0)</f>
        <v>232.96650000000002</v>
      </c>
      <c r="AK61" s="13">
        <f t="shared" si="35"/>
        <v>56.923628994135441</v>
      </c>
      <c r="AL61" s="20">
        <f t="shared" si="4"/>
        <v>504.89197466478595</v>
      </c>
      <c r="AM61" s="59">
        <f t="shared" si="5"/>
        <v>765.00508526347437</v>
      </c>
      <c r="AN61" s="59">
        <f ca="1">AVERAGE(OFFSET($AM$3,0,0,'Données projet'!$E$10+1,1))-AVERAGE(OFFSET($H$3,0,0,'Données projet'!$E$10+1,1))</f>
        <v>627.83896530587367</v>
      </c>
      <c r="AO61" s="59">
        <f t="shared" si="36"/>
        <v>323.54927030899489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20.295867563124816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20.295867563124816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7.4</v>
      </c>
      <c r="BD61" s="12">
        <f>IF('Données projet'!$A$88&gt;35,BD60+BC61-BL60,IF(A61&lt;'Données projet'!$A$88,$BA$205^A61,IF(A61='Données projet'!$A$88,'Données projet'!$B$88,BD60+BC61-BL60)))</f>
        <v>328.19999999999976</v>
      </c>
      <c r="BE61" s="13">
        <f>BD61*VLOOKUP('Données projet'!$B$11,Paramètres!$A$1:$I$89,3,0)*VLOOKUP('Données projet'!$B$11,Paramètres!$A$1:$I$89,5,0)</f>
        <v>317.43503999999973</v>
      </c>
      <c r="BF61" s="13">
        <f t="shared" si="37"/>
        <v>74.819414138784737</v>
      </c>
      <c r="BG61" s="20">
        <f t="shared" si="7"/>
        <v>683.17650762504957</v>
      </c>
      <c r="BH61" s="59">
        <f t="shared" si="8"/>
        <v>943.28961822373799</v>
      </c>
      <c r="BI61" s="59">
        <f ca="1">AVERAGE(OFFSET($BH$3,0,0,'Données projet'!$E$11+1,1))-AVERAGE(OFFSET($H$3,0,0,'Données projet'!$E$11+1,1))</f>
        <v>508.3185483454435</v>
      </c>
      <c r="BJ61" s="59">
        <f t="shared" si="38"/>
        <v>487.08233034004945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13.638722795136196</v>
      </c>
      <c r="BQ61" s="21">
        <f>EXP(-LN(2)/25)*BQ60+(1-EXP(-LN(2)/25))/(LN(2)/25)*Calculateur!BL61*Calculateur!BN61*VLOOKUP('Données projet'!$B$11,Paramètres!$A$1:$I$89,3,0)*0.475*44/12</f>
        <v>9.158599830278165</v>
      </c>
      <c r="BR61" s="21">
        <f>EXP(-LN(2)/2)*BR60+(1-EXP(-LN(2)/2))/(LN(2)/2)*BL61*BO61*VLOOKUP('Données projet'!$B$11,Paramètres!$A$1:$I$89,3,0)*0.475*44/12</f>
        <v>1.6261786205636188</v>
      </c>
      <c r="BS61" s="22">
        <f t="shared" si="9"/>
        <v>24.423501245977977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328.19999999999976</v>
      </c>
      <c r="BZ61" s="13">
        <f>BY61*VLOOKUP('Données projet'!$B$12,Paramètres!$A$1:$I$89,3,0)*VLOOKUP('Données projet'!$B$12,Paramètres!$A$1:$I$89,5,0)</f>
        <v>266.23583999999983</v>
      </c>
      <c r="CA61" s="13">
        <f t="shared" si="39"/>
        <v>64.04976797185104</v>
      </c>
      <c r="CB61" s="20">
        <f t="shared" si="10"/>
        <v>575.24743388430682</v>
      </c>
      <c r="CC61" s="59">
        <f t="shared" si="11"/>
        <v>835.36054448299524</v>
      </c>
      <c r="CD61" s="59">
        <f ca="1">AVERAGE(OFFSET($CC$3,0,0,'Données projet'!$E$12+1,1))-AVERAGE(OFFSET($H$3,0,0,'Données projet'!$E$12+1,1))</f>
        <v>436.50252985867149</v>
      </c>
      <c r="CE61" s="59">
        <f t="shared" si="40"/>
        <v>419.00806288456329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11.438928795920683</v>
      </c>
      <c r="CL61" s="21">
        <f>EXP(-LN(2)/25)*CL60+(1-EXP(-LN(2)/25))/(LN(2)/25)*Calculateur!CG61*Calculateur!CI61*VLOOKUP('Données projet'!$B$12,Paramètres!$A$1:$I$89,3,0)*0.475*44/12</f>
        <v>7.6814063092655607</v>
      </c>
      <c r="CM61" s="21">
        <f>EXP(-LN(2)/2)*CM60+(1-EXP(-LN(2)/2))/(LN(2)/2)*CG61*CJ61*VLOOKUP('Données projet'!$B$12,Paramètres!$A$1:$I$89,3,0)*0.475*44/12</f>
        <v>1.3638917462791642</v>
      </c>
      <c r="CN61" s="22">
        <f t="shared" si="12"/>
        <v>20.484226851465408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328.19999999999976</v>
      </c>
      <c r="CU61" s="17">
        <f>CT61*VLOOKUP('Données projet'!$B$13,Paramètres!$A$1:$I$89,3,0)*VLOOKUP('Données projet'!$B$13,Paramètres!$A$1:$I$89,5,0)</f>
        <v>317.43503999999973</v>
      </c>
      <c r="CV61" s="13">
        <f t="shared" si="41"/>
        <v>74.819414138784737</v>
      </c>
      <c r="CW61" s="20">
        <f t="shared" si="13"/>
        <v>683.17650762504957</v>
      </c>
      <c r="CX61" s="59">
        <f t="shared" si="14"/>
        <v>943.28961822373799</v>
      </c>
      <c r="CY61" s="59">
        <f ca="1">AVERAGE(OFFSET($CX$3,0,0,'Données projet'!$E$13+1,1))-AVERAGE(OFFSET($H$3,0,0,'Données projet'!$E$13+1,1))</f>
        <v>508.3185483454435</v>
      </c>
      <c r="CZ61" s="59">
        <f t="shared" si="42"/>
        <v>487.08233034004945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13.638722795136196</v>
      </c>
      <c r="DG61" s="21">
        <f>EXP(-LN(2)/25)*DG60+(1-EXP(-LN(2)/25))/(LN(2)/25)*Calculateur!DB61*Calculateur!DD61*VLOOKUP('Données projet'!$B$13,Paramètres!$A$1:$I$89,3,0)*0.475*44/12</f>
        <v>9.158599830278165</v>
      </c>
      <c r="DH61" s="21">
        <f>EXP(-LN(2)/2)*DH60+(1-EXP(-LN(2)/2))/(LN(2)/2)*DB61*DE61*VLOOKUP('Données projet'!$B$13,Paramètres!$A$1:$I$89,3,0)*0.475*44/12</f>
        <v>1.6261786205636188</v>
      </c>
      <c r="DI61" s="22">
        <f t="shared" si="15"/>
        <v>24.423501245977977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7.4</v>
      </c>
      <c r="DO61" s="12">
        <f>IF('Données projet'!$A$166&gt;35,DO60+DN61-DW60,IF(A61&lt;'Données projet'!$A$166,$DL$205^A61,IF(A61='Données projet'!$A$166,'Données projet'!$B$166,DO60+DN61-DW60)))</f>
        <v>328.19999999999976</v>
      </c>
      <c r="DP61" s="17">
        <f>DO61*VLOOKUP('Données projet'!$B$14,Paramètres!$A$1:$I$89,3,0)*VLOOKUP('Données projet'!$B$14,Paramètres!$A$1:$I$89,5,0)</f>
        <v>317.43503999999973</v>
      </c>
      <c r="DQ61" s="13">
        <f t="shared" si="43"/>
        <v>74.819414138784737</v>
      </c>
      <c r="DR61" s="20">
        <f t="shared" si="16"/>
        <v>683.17650762504957</v>
      </c>
      <c r="DS61" s="59">
        <f t="shared" si="17"/>
        <v>943.28961822373799</v>
      </c>
      <c r="DT61" s="59">
        <f ca="1">AVERAGE(OFFSET($DS$3,0,0,'Données projet'!$E$14+1,1))-AVERAGE(OFFSET($H$3,0,0,'Données projet'!$E$14+1,1))</f>
        <v>508.3185483454435</v>
      </c>
      <c r="DU61" s="59">
        <f t="shared" si="44"/>
        <v>487.08233034004945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13.638722795136196</v>
      </c>
      <c r="EB61" s="21">
        <f>EXP(-LN(2)/25)*EB60+(1-EXP(-LN(2)/25))/(LN(2)/25)*Calculateur!DW61*Calculateur!DY61*VLOOKUP('Données projet'!$B$14,Paramètres!$A$1:$I$89,3,0)*0.475*44/12</f>
        <v>9.158599830278165</v>
      </c>
      <c r="EC61" s="21">
        <f>EXP(-LN(2)/2)*EC60+(1-EXP(-LN(2)/2))/(LN(2)/2)*DW61*DZ61*VLOOKUP('Données projet'!$B$14,Paramètres!$A$1:$I$89,3,0)*0.475*44/12</f>
        <v>1.6261786205636188</v>
      </c>
      <c r="ED61" s="22">
        <f t="shared" si="18"/>
        <v>24.423501245977977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10.125</v>
      </c>
      <c r="N62" s="13">
        <f>IF('Données projet'!$A$36&gt;35,N61+M62-V61,IF(A62&lt;'Données projet'!$A$36,$K$205^A62,IF(A62='Données projet'!$A$36,'Données projet'!$B$36,N61+M62-V61)))</f>
        <v>239.875</v>
      </c>
      <c r="O62" s="13">
        <f>N62*VLOOKUP('Données projet'!$B$9,Paramètres!$A$1:$I$89,3,0)*VLOOKUP('Données projet'!$B$9,Paramètres!$A$1:$I$89,5,0)</f>
        <v>217.03890000000001</v>
      </c>
      <c r="P62" s="13">
        <f t="shared" si="33"/>
        <v>53.470798576660421</v>
      </c>
      <c r="Q62" s="20">
        <f t="shared" si="53"/>
        <v>471.13772502101688</v>
      </c>
      <c r="R62" s="59">
        <f t="shared" si="0"/>
        <v>731.8271322148596</v>
      </c>
      <c r="S62" s="59">
        <f ca="1">AVERAGE(OFFSET($R$3,0,0,'Données projet'!$E$9+1,1))-AVERAGE(OFFSET($H$3,0,0,'Données projet'!$E$9+1,1))</f>
        <v>569.49435820174267</v>
      </c>
      <c r="T62" s="59">
        <f t="shared" si="34"/>
        <v>295.37730858134739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17.614935505281181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17.614935505281181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10.125</v>
      </c>
      <c r="AI62" s="13">
        <f>IF('Données projet'!$A$62&gt;35,AI61+AH62-AQ61,IF(A62&lt;'Données projet'!$A$62,$AF$205^A62,IF(A62='Données projet'!$A$62,'Données projet'!$B$62,AI61+AH62-AQ61)))</f>
        <v>239.875</v>
      </c>
      <c r="AJ62" s="13">
        <f>AI62*VLOOKUP('Données projet'!$B$10,Paramètres!$A$1:$I$89,3,0)*VLOOKUP('Données projet'!$B$10,Paramètres!$A$1:$I$89,5,0)</f>
        <v>243.23325000000003</v>
      </c>
      <c r="AK62" s="13">
        <f t="shared" si="35"/>
        <v>59.134637252140763</v>
      </c>
      <c r="AL62" s="20">
        <f t="shared" si="4"/>
        <v>526.62407029747862</v>
      </c>
      <c r="AM62" s="59">
        <f t="shared" si="5"/>
        <v>787.31347749132146</v>
      </c>
      <c r="AN62" s="59">
        <f ca="1">AVERAGE(OFFSET($AM$3,0,0,'Données projet'!$E$10+1,1))-AVERAGE(OFFSET($H$3,0,0,'Données projet'!$E$10+1,1))</f>
        <v>627.83896530587367</v>
      </c>
      <c r="AO62" s="59">
        <f t="shared" si="36"/>
        <v>323.54927030899489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19.740875997297881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19.740875997297881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7.4</v>
      </c>
      <c r="BD62" s="12">
        <f>IF('Données projet'!$A$88&gt;35,BD61+BC62-BL61,IF(A62&lt;'Données projet'!$A$88,$BA$205^A62,IF(A62='Données projet'!$A$88,'Données projet'!$B$88,BD61+BC62-BL61)))</f>
        <v>335.59999999999974</v>
      </c>
      <c r="BE62" s="13">
        <f>BD62*VLOOKUP('Données projet'!$B$11,Paramètres!$A$1:$I$89,3,0)*VLOOKUP('Données projet'!$B$11,Paramètres!$A$1:$I$89,5,0)</f>
        <v>324.59231999999975</v>
      </c>
      <c r="BF62" s="13">
        <f t="shared" si="37"/>
        <v>76.308081300915944</v>
      </c>
      <c r="BG62" s="20">
        <f t="shared" si="7"/>
        <v>698.23486559909486</v>
      </c>
      <c r="BH62" s="59">
        <f t="shared" si="8"/>
        <v>958.9242727929377</v>
      </c>
      <c r="BI62" s="59">
        <f ca="1">AVERAGE(OFFSET($BH$3,0,0,'Données projet'!$E$11+1,1))-AVERAGE(OFFSET($H$3,0,0,'Données projet'!$E$11+1,1))</f>
        <v>508.3185483454435</v>
      </c>
      <c r="BJ62" s="59">
        <f t="shared" si="38"/>
        <v>487.08233034004945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13.371275759923067</v>
      </c>
      <c r="BQ62" s="21">
        <f>EXP(-LN(2)/25)*BQ61+(1-EXP(-LN(2)/25))/(LN(2)/25)*Calculateur!BL62*Calculateur!BN62*VLOOKUP('Données projet'!$B$11,Paramètres!$A$1:$I$89,3,0)*0.475*44/12</f>
        <v>8.9081574362893754</v>
      </c>
      <c r="BR62" s="21">
        <f>EXP(-LN(2)/2)*BR61+(1-EXP(-LN(2)/2))/(LN(2)/2)*BL62*BO62*VLOOKUP('Données projet'!$B$11,Paramètres!$A$1:$I$89,3,0)*0.475*44/12</f>
        <v>1.1498819300211205</v>
      </c>
      <c r="BS62" s="22">
        <f t="shared" si="9"/>
        <v>23.429315126233565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335.59999999999974</v>
      </c>
      <c r="BZ62" s="13">
        <f>BY62*VLOOKUP('Données projet'!$B$12,Paramètres!$A$1:$I$89,3,0)*VLOOKUP('Données projet'!$B$12,Paramètres!$A$1:$I$89,5,0)</f>
        <v>272.23871999999977</v>
      </c>
      <c r="CA62" s="13">
        <f t="shared" si="39"/>
        <v>65.324153603165357</v>
      </c>
      <c r="CB62" s="20">
        <f t="shared" si="10"/>
        <v>587.92200485884598</v>
      </c>
      <c r="CC62" s="59">
        <f t="shared" si="11"/>
        <v>848.61141205268882</v>
      </c>
      <c r="CD62" s="59">
        <f ca="1">AVERAGE(OFFSET($CC$3,0,0,'Données projet'!$E$12+1,1))-AVERAGE(OFFSET($H$3,0,0,'Données projet'!$E$12+1,1))</f>
        <v>436.50252985867149</v>
      </c>
      <c r="CE62" s="59">
        <f t="shared" si="40"/>
        <v>419.00806288456329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11.214618379290316</v>
      </c>
      <c r="CL62" s="21">
        <f>EXP(-LN(2)/25)*CL61+(1-EXP(-LN(2)/25))/(LN(2)/25)*Calculateur!CG62*Calculateur!CI62*VLOOKUP('Données projet'!$B$12,Paramètres!$A$1:$I$89,3,0)*0.475*44/12</f>
        <v>7.471357849791092</v>
      </c>
      <c r="CM62" s="21">
        <f>EXP(-LN(2)/2)*CM61+(1-EXP(-LN(2)/2))/(LN(2)/2)*CG62*CJ62*VLOOKUP('Données projet'!$B$12,Paramètres!$A$1:$I$89,3,0)*0.475*44/12</f>
        <v>0.96441710259835922</v>
      </c>
      <c r="CN62" s="22">
        <f t="shared" si="12"/>
        <v>19.650393331679766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335.59999999999974</v>
      </c>
      <c r="CU62" s="17">
        <f>CT62*VLOOKUP('Données projet'!$B$13,Paramètres!$A$1:$I$89,3,0)*VLOOKUP('Données projet'!$B$13,Paramètres!$A$1:$I$89,5,0)</f>
        <v>324.59231999999975</v>
      </c>
      <c r="CV62" s="13">
        <f t="shared" si="41"/>
        <v>76.308081300915944</v>
      </c>
      <c r="CW62" s="20">
        <f t="shared" si="13"/>
        <v>698.23486559909486</v>
      </c>
      <c r="CX62" s="59">
        <f t="shared" si="14"/>
        <v>958.9242727929377</v>
      </c>
      <c r="CY62" s="59">
        <f ca="1">AVERAGE(OFFSET($CX$3,0,0,'Données projet'!$E$13+1,1))-AVERAGE(OFFSET($H$3,0,0,'Données projet'!$E$13+1,1))</f>
        <v>508.3185483454435</v>
      </c>
      <c r="CZ62" s="59">
        <f t="shared" si="42"/>
        <v>487.08233034004945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13.371275759923067</v>
      </c>
      <c r="DG62" s="21">
        <f>EXP(-LN(2)/25)*DG61+(1-EXP(-LN(2)/25))/(LN(2)/25)*Calculateur!DB62*Calculateur!DD62*VLOOKUP('Données projet'!$B$13,Paramètres!$A$1:$I$89,3,0)*0.475*44/12</f>
        <v>8.9081574362893754</v>
      </c>
      <c r="DH62" s="21">
        <f>EXP(-LN(2)/2)*DH61+(1-EXP(-LN(2)/2))/(LN(2)/2)*DB62*DE62*VLOOKUP('Données projet'!$B$13,Paramètres!$A$1:$I$89,3,0)*0.475*44/12</f>
        <v>1.1498819300211205</v>
      </c>
      <c r="DI62" s="22">
        <f t="shared" si="15"/>
        <v>23.429315126233565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7.4</v>
      </c>
      <c r="DO62" s="12">
        <f>IF('Données projet'!$A$166&gt;35,DO61+DN62-DW61,IF(A62&lt;'Données projet'!$A$166,$DL$205^A62,IF(A62='Données projet'!$A$166,'Données projet'!$B$166,DO61+DN62-DW61)))</f>
        <v>335.59999999999974</v>
      </c>
      <c r="DP62" s="17">
        <f>DO62*VLOOKUP('Données projet'!$B$14,Paramètres!$A$1:$I$89,3,0)*VLOOKUP('Données projet'!$B$14,Paramètres!$A$1:$I$89,5,0)</f>
        <v>324.59231999999975</v>
      </c>
      <c r="DQ62" s="13">
        <f t="shared" si="43"/>
        <v>76.308081300915944</v>
      </c>
      <c r="DR62" s="20">
        <f t="shared" si="16"/>
        <v>698.23486559909486</v>
      </c>
      <c r="DS62" s="59">
        <f t="shared" si="17"/>
        <v>958.9242727929377</v>
      </c>
      <c r="DT62" s="59">
        <f ca="1">AVERAGE(OFFSET($DS$3,0,0,'Données projet'!$E$14+1,1))-AVERAGE(OFFSET($H$3,0,0,'Données projet'!$E$14+1,1))</f>
        <v>508.3185483454435</v>
      </c>
      <c r="DU62" s="59">
        <f t="shared" si="44"/>
        <v>487.08233034004945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13.371275759923067</v>
      </c>
      <c r="EB62" s="21">
        <f>EXP(-LN(2)/25)*EB61+(1-EXP(-LN(2)/25))/(LN(2)/25)*Calculateur!DW62*Calculateur!DY62*VLOOKUP('Données projet'!$B$14,Paramètres!$A$1:$I$89,3,0)*0.475*44/12</f>
        <v>8.9081574362893754</v>
      </c>
      <c r="EC62" s="21">
        <f>EXP(-LN(2)/2)*EC61+(1-EXP(-LN(2)/2))/(LN(2)/2)*DW62*DZ62*VLOOKUP('Données projet'!$B$14,Paramètres!$A$1:$I$89,3,0)*0.475*44/12</f>
        <v>1.1498819300211205</v>
      </c>
      <c r="ED62" s="22">
        <f t="shared" si="18"/>
        <v>23.429315126233565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250</v>
      </c>
      <c r="L63" s="12">
        <f>VLOOKUP(A63,'Données projet'!$A$35:$I$55,9,0)</f>
        <v>10.125</v>
      </c>
      <c r="M63" s="12">
        <f t="array" ref="M63">INDEX(L:L,MIN(IF(ISNUMBER(L63:L259),ROW(L63:L259),"")))</f>
        <v>10.125</v>
      </c>
      <c r="N63" s="13">
        <f>IF('Données projet'!$A$36&gt;35,N62+M63-V62,IF(A63&lt;'Données projet'!$A$36,$K$205^A63,IF(A63='Données projet'!$A$36,'Données projet'!$B$36,N62+M63-V62)))</f>
        <v>250</v>
      </c>
      <c r="O63" s="13">
        <f>N63*VLOOKUP('Données projet'!$B$9,Paramètres!$A$1:$I$89,3,0)*VLOOKUP('Données projet'!$B$9,Paramètres!$A$1:$I$89,5,0)</f>
        <v>226.20000000000002</v>
      </c>
      <c r="P63" s="13">
        <f t="shared" si="33"/>
        <v>55.460237717698156</v>
      </c>
      <c r="Q63" s="20">
        <f t="shared" si="53"/>
        <v>490.55824735832431</v>
      </c>
      <c r="R63" s="59">
        <f t="shared" si="0"/>
        <v>751.81395368980179</v>
      </c>
      <c r="S63" s="59">
        <f ca="1">AVERAGE(OFFSET($R$3,0,0,'Données projet'!$E$9+1,1))-AVERAGE(OFFSET($H$3,0,0,'Données projet'!$E$9+1,1))</f>
        <v>569.49435820174267</v>
      </c>
      <c r="T63" s="59">
        <f t="shared" si="34"/>
        <v>295.37730858134739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54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0.215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28.700196327177657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28.700196327177657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250</v>
      </c>
      <c r="AG63" s="12">
        <f>VLOOKUP(A63,'Données projet'!$A$61:$I$81,9,0)</f>
        <v>10.125</v>
      </c>
      <c r="AH63" s="12">
        <f t="array" ref="AH63">INDEX(AG:AG,MIN(IF(ISNUMBER(AG63:AG259),ROW(AG63:AG259),"")))</f>
        <v>10.125</v>
      </c>
      <c r="AI63" s="13">
        <f>IF('Données projet'!$A$62&gt;35,AI62+AH63-AQ62,IF(A63&lt;'Données projet'!$A$62,$AF$205^A63,IF(A63='Données projet'!$A$62,'Données projet'!$B$62,AI62+AH63-AQ62)))</f>
        <v>250</v>
      </c>
      <c r="AJ63" s="13">
        <f>AI63*VLOOKUP('Données projet'!$B$10,Paramètres!$A$1:$I$89,3,0)*VLOOKUP('Données projet'!$B$10,Paramètres!$A$1:$I$89,5,0)</f>
        <v>253.5</v>
      </c>
      <c r="AK63" s="13">
        <f t="shared" si="35"/>
        <v>61.334805663162555</v>
      </c>
      <c r="AL63" s="20">
        <f t="shared" si="4"/>
        <v>548.3372865300081</v>
      </c>
      <c r="AM63" s="59">
        <f t="shared" si="5"/>
        <v>809.59299286148553</v>
      </c>
      <c r="AN63" s="59">
        <f ca="1">AVERAGE(OFFSET($AM$3,0,0,'Données projet'!$E$10+1,1))-AVERAGE(OFFSET($H$3,0,0,'Données projet'!$E$10+1,1))</f>
        <v>627.83896530587367</v>
      </c>
      <c r="AO63" s="59">
        <f t="shared" si="36"/>
        <v>323.54927030899489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54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0.215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32.164013125285308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32.164013125285308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343</v>
      </c>
      <c r="BB63" s="12">
        <f>VLOOKUP(A63,'Données projet'!$A$87:$I$107,9,0)</f>
        <v>7.4</v>
      </c>
      <c r="BC63" s="12">
        <f t="array" ref="BC63">INDEX(BB:BB,MIN(IF(ISNUMBER(BB63:BB259),ROW(BB63:BB259),"")))</f>
        <v>7.4</v>
      </c>
      <c r="BD63" s="12">
        <f>IF('Données projet'!$A$88&gt;35,BD62+BC63-BL62,IF(A63&lt;'Données projet'!$A$88,$BA$205^A63,IF(A63='Données projet'!$A$88,'Données projet'!$B$88,BD62+BC63-BL62)))</f>
        <v>342.99999999999972</v>
      </c>
      <c r="BE63" s="13">
        <f>BD63*VLOOKUP('Données projet'!$B$11,Paramètres!$A$1:$I$89,3,0)*VLOOKUP('Données projet'!$B$11,Paramètres!$A$1:$I$89,5,0)</f>
        <v>331.74959999999976</v>
      </c>
      <c r="BF63" s="13">
        <f t="shared" si="37"/>
        <v>77.792932182102746</v>
      </c>
      <c r="BG63" s="20">
        <f t="shared" si="7"/>
        <v>713.28657688382839</v>
      </c>
      <c r="BH63" s="59">
        <f t="shared" si="8"/>
        <v>974.54228321530582</v>
      </c>
      <c r="BI63" s="59">
        <f ca="1">AVERAGE(OFFSET($BH$3,0,0,'Données projet'!$E$11+1,1))-AVERAGE(OFFSET($H$3,0,0,'Données projet'!$E$11+1,1))</f>
        <v>508.3185483454435</v>
      </c>
      <c r="BJ63" s="59">
        <f t="shared" si="38"/>
        <v>487.08233034004945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17</v>
      </c>
      <c r="BM63" s="16">
        <f>IF(ISNA(VLOOKUP(A63,'Données projet'!$A$87:$I$107,5,0)),0%,VLOOKUP(A63,'Données projet'!$A$87:$I$107,5,0)*VLOOKUP('Données projet'!$B$11,Paramètres!$A$1:$I$89,7,0))</f>
        <v>0.30099999999999999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18.58022563464209</v>
      </c>
      <c r="BQ63" s="21">
        <f>EXP(-LN(2)/25)*BQ62+(1-EXP(-LN(2)/25))/(LN(2)/25)*Calculateur!BL63*Calculateur!BN63*VLOOKUP('Données projet'!$B$11,Paramètres!$A$1:$I$89,3,0)*0.475*44/12</f>
        <v>8.6645634027344034</v>
      </c>
      <c r="BR63" s="21">
        <f>EXP(-LN(2)/2)*BR62+(1-EXP(-LN(2)/2))/(LN(2)/2)*BL63*BO63*VLOOKUP('Données projet'!$B$11,Paramètres!$A$1:$I$89,3,0)*0.475*44/12</f>
        <v>3.9158586984233361</v>
      </c>
      <c r="BS63" s="22">
        <f t="shared" si="9"/>
        <v>31.160647735799827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343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342.99999999999972</v>
      </c>
      <c r="BZ63" s="13">
        <f>BY63*VLOOKUP('Données projet'!$B$12,Paramètres!$A$1:$I$89,3,0)*VLOOKUP('Données projet'!$B$12,Paramètres!$A$1:$I$89,5,0)</f>
        <v>278.24159999999983</v>
      </c>
      <c r="CA63" s="13">
        <f t="shared" si="39"/>
        <v>66.595272276139738</v>
      </c>
      <c r="CB63" s="20">
        <f t="shared" si="10"/>
        <v>600.59088588094301</v>
      </c>
      <c r="CC63" s="59">
        <f t="shared" si="11"/>
        <v>861.84659221242055</v>
      </c>
      <c r="CD63" s="59">
        <f ca="1">AVERAGE(OFFSET($CC$3,0,0,'Données projet'!$E$12+1,1))-AVERAGE(OFFSET($H$3,0,0,'Données projet'!$E$12+1,1))</f>
        <v>436.50252985867149</v>
      </c>
      <c r="CE63" s="59">
        <f t="shared" si="40"/>
        <v>419.00806288456329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0.30099999999999999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15.583415048409496</v>
      </c>
      <c r="CL63" s="21">
        <f>EXP(-LN(2)/25)*CL62+(1-EXP(-LN(2)/25))/(LN(2)/25)*Calculateur!CG63*Calculateur!CI63*VLOOKUP('Données projet'!$B$12,Paramètres!$A$1:$I$89,3,0)*0.475*44/12</f>
        <v>7.2670531764869208</v>
      </c>
      <c r="CM63" s="21">
        <f>EXP(-LN(2)/2)*CM62+(1-EXP(-LN(2)/2))/(LN(2)/2)*CG63*CJ63*VLOOKUP('Données projet'!$B$12,Paramètres!$A$1:$I$89,3,0)*0.475*44/12</f>
        <v>3.2842685857744112</v>
      </c>
      <c r="CN63" s="22">
        <f t="shared" si="12"/>
        <v>26.13473681067083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343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342.99999999999972</v>
      </c>
      <c r="CU63" s="17">
        <f>CT63*VLOOKUP('Données projet'!$B$13,Paramètres!$A$1:$I$89,3,0)*VLOOKUP('Données projet'!$B$13,Paramètres!$A$1:$I$89,5,0)</f>
        <v>331.74959999999976</v>
      </c>
      <c r="CV63" s="13">
        <f t="shared" si="41"/>
        <v>77.792932182102746</v>
      </c>
      <c r="CW63" s="20">
        <f t="shared" si="13"/>
        <v>713.28657688382839</v>
      </c>
      <c r="CX63" s="59">
        <f t="shared" si="14"/>
        <v>974.54228321530582</v>
      </c>
      <c r="CY63" s="59">
        <f ca="1">AVERAGE(OFFSET($CX$3,0,0,'Données projet'!$E$13+1,1))-AVERAGE(OFFSET($H$3,0,0,'Données projet'!$E$13+1,1))</f>
        <v>508.3185483454435</v>
      </c>
      <c r="CZ63" s="59">
        <f t="shared" si="42"/>
        <v>487.08233034004945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17</v>
      </c>
      <c r="DC63" s="16">
        <f>IF(ISNA(VLOOKUP(A63,'Données projet'!$A$139:$I$159,5,0)),0%,VLOOKUP(A63,'Données projet'!$A$139:$I$159,5,0)*VLOOKUP('Données projet'!$B$13,Paramètres!$A$1:$I$89,7,0))</f>
        <v>0.30099999999999999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0.2</v>
      </c>
      <c r="DF63" s="21">
        <f>EXP(-LN(2)/35)*DF62+(1-EXP(-LN(2)/35))/(LN(2)/35)*DB63*DC63*VLOOKUP('Données projet'!$B$13,Paramètres!$A$1:$I$89,3,0)*0.475*44/12</f>
        <v>18.58022563464209</v>
      </c>
      <c r="DG63" s="21">
        <f>EXP(-LN(2)/25)*DG62+(1-EXP(-LN(2)/25))/(LN(2)/25)*Calculateur!DB63*Calculateur!DD63*VLOOKUP('Données projet'!$B$13,Paramètres!$A$1:$I$89,3,0)*0.475*44/12</f>
        <v>8.6645634027344034</v>
      </c>
      <c r="DH63" s="21">
        <f>EXP(-LN(2)/2)*DH62+(1-EXP(-LN(2)/2))/(LN(2)/2)*DB63*DE63*VLOOKUP('Données projet'!$B$13,Paramètres!$A$1:$I$89,3,0)*0.475*44/12</f>
        <v>3.9158586984233361</v>
      </c>
      <c r="DI63" s="22">
        <f t="shared" si="15"/>
        <v>31.160647735799827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343</v>
      </c>
      <c r="DM63" s="12">
        <f>VLOOKUP(A63,'Données projet'!$A$165:$I$185,9,0)</f>
        <v>7.4</v>
      </c>
      <c r="DN63" s="12">
        <f t="array" ref="DN63">INDEX(DM:DM,MIN(IF(ISNUMBER(DM63:DM259),ROW(DM63:DM259),"")))</f>
        <v>7.4</v>
      </c>
      <c r="DO63" s="12">
        <f>IF('Données projet'!$A$166&gt;35,DO62+DN63-DW62,IF(A63&lt;'Données projet'!$A$166,$DL$205^A63,IF(A63='Données projet'!$A$166,'Données projet'!$B$166,DO62+DN63-DW62)))</f>
        <v>342.99999999999972</v>
      </c>
      <c r="DP63" s="17">
        <f>DO63*VLOOKUP('Données projet'!$B$14,Paramètres!$A$1:$I$89,3,0)*VLOOKUP('Données projet'!$B$14,Paramètres!$A$1:$I$89,5,0)</f>
        <v>331.74959999999976</v>
      </c>
      <c r="DQ63" s="13">
        <f t="shared" si="43"/>
        <v>77.792932182102746</v>
      </c>
      <c r="DR63" s="20">
        <f t="shared" si="16"/>
        <v>713.28657688382839</v>
      </c>
      <c r="DS63" s="59">
        <f t="shared" si="17"/>
        <v>974.54228321530582</v>
      </c>
      <c r="DT63" s="59">
        <f ca="1">AVERAGE(OFFSET($DS$3,0,0,'Données projet'!$E$14+1,1))-AVERAGE(OFFSET($H$3,0,0,'Données projet'!$E$14+1,1))</f>
        <v>508.3185483454435</v>
      </c>
      <c r="DU63" s="59">
        <f t="shared" si="44"/>
        <v>487.08233034004945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17</v>
      </c>
      <c r="DX63" s="16">
        <f>IF(ISNA(VLOOKUP(A63,'Données projet'!$A$165:$I$185,5,0)),0%,VLOOKUP(A63,'Données projet'!$A$165:$I$185,5,0)*VLOOKUP('Données projet'!$B$14,Paramètres!$A$1:$I$89,7,0))</f>
        <v>0.30099999999999999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0.2</v>
      </c>
      <c r="EA63" s="21">
        <f>EXP(-LN(2)/35)*EA62+(1-EXP(-LN(2)/35))/(LN(2)/35)*DW63*DX63*VLOOKUP('Données projet'!$B$14,Paramètres!$A$1:$I$89,3,0)*0.475*44/12</f>
        <v>18.58022563464209</v>
      </c>
      <c r="EB63" s="21">
        <f>EXP(-LN(2)/25)*EB62+(1-EXP(-LN(2)/25))/(LN(2)/25)*Calculateur!DW63*Calculateur!DY63*VLOOKUP('Données projet'!$B$14,Paramètres!$A$1:$I$89,3,0)*0.475*44/12</f>
        <v>8.6645634027344034</v>
      </c>
      <c r="EC63" s="21">
        <f>EXP(-LN(2)/2)*EC62+(1-EXP(-LN(2)/2))/(LN(2)/2)*DW63*DZ63*VLOOKUP('Données projet'!$B$14,Paramètres!$A$1:$I$89,3,0)*0.475*44/12</f>
        <v>3.9158586984233361</v>
      </c>
      <c r="ED63" s="22">
        <f t="shared" si="18"/>
        <v>31.160647735799827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8.6666666666666661</v>
      </c>
      <c r="N64" s="13">
        <f>IF('Données projet'!$A$36&gt;35,N63+M64-V63,IF(A64&lt;'Données projet'!$A$36,$K$205^A64,IF(A64='Données projet'!$A$36,'Données projet'!$B$36,N63+M64-V63)))</f>
        <v>204.66666666666669</v>
      </c>
      <c r="O64" s="13">
        <f>N64*VLOOKUP('Données projet'!$B$9,Paramètres!$A$1:$I$89,3,0)*VLOOKUP('Données projet'!$B$9,Paramètres!$A$1:$I$89,5,0)</f>
        <v>185.1824</v>
      </c>
      <c r="P64" s="13">
        <f t="shared" si="33"/>
        <v>46.473263079642983</v>
      </c>
      <c r="Q64" s="20">
        <f t="shared" si="53"/>
        <v>403.46694653037821</v>
      </c>
      <c r="R64" s="59">
        <f t="shared" si="0"/>
        <v>665.27912797550755</v>
      </c>
      <c r="S64" s="59">
        <f ca="1">AVERAGE(OFFSET($R$3,0,0,'Données projet'!$E$9+1,1))-AVERAGE(OFFSET($H$3,0,0,'Données projet'!$E$9+1,1))</f>
        <v>569.49435820174267</v>
      </c>
      <c r="T64" s="59">
        <f t="shared" si="34"/>
        <v>295.37730858134739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27.915387949333255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27.915387949333255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8.6666666666666661</v>
      </c>
      <c r="AI64" s="13">
        <f>IF('Données projet'!$A$62&gt;35,AI63+AH64-AQ63,IF(A64&lt;'Données projet'!$A$62,$AF$205^A64,IF(A64='Données projet'!$A$62,'Données projet'!$B$62,AI63+AH64-AQ63)))</f>
        <v>204.66666666666669</v>
      </c>
      <c r="AJ64" s="13">
        <f>AI64*VLOOKUP('Données projet'!$B$10,Paramètres!$A$1:$I$89,3,0)*VLOOKUP('Données projet'!$B$10,Paramètres!$A$1:$I$89,5,0)</f>
        <v>207.53200000000004</v>
      </c>
      <c r="AK64" s="13">
        <f t="shared" si="35"/>
        <v>51.395895092121414</v>
      </c>
      <c r="AL64" s="20">
        <f t="shared" si="4"/>
        <v>450.96608395211155</v>
      </c>
      <c r="AM64" s="59">
        <f t="shared" si="5"/>
        <v>712.77826539724083</v>
      </c>
      <c r="AN64" s="59">
        <f ca="1">AVERAGE(OFFSET($AM$3,0,0,'Données projet'!$E$10+1,1))-AVERAGE(OFFSET($H$3,0,0,'Données projet'!$E$10+1,1))</f>
        <v>627.83896530587367</v>
      </c>
      <c r="AO64" s="59">
        <f t="shared" si="36"/>
        <v>323.54927030899489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31.284486494942442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31.284486494942442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331.99999999999972</v>
      </c>
      <c r="BE64" s="13">
        <f>BD64*VLOOKUP('Données projet'!$B$11,Paramètres!$A$1:$I$89,3,0)*VLOOKUP('Données projet'!$B$11,Paramètres!$A$1:$I$89,5,0)</f>
        <v>321.11039999999974</v>
      </c>
      <c r="BF64" s="13">
        <f t="shared" si="37"/>
        <v>75.584347378293245</v>
      </c>
      <c r="BG64" s="20">
        <f t="shared" si="7"/>
        <v>690.91001835052691</v>
      </c>
      <c r="BH64" s="59">
        <f t="shared" si="8"/>
        <v>952.72219979565625</v>
      </c>
      <c r="BI64" s="59">
        <f ca="1">AVERAGE(OFFSET($BH$3,0,0,'Données projet'!$E$11+1,1))-AVERAGE(OFFSET($H$3,0,0,'Données projet'!$E$11+1,1))</f>
        <v>508.3185483454435</v>
      </c>
      <c r="BJ64" s="59">
        <f t="shared" si="38"/>
        <v>487.08233034004945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18.215878742765373</v>
      </c>
      <c r="BQ64" s="21">
        <f>EXP(-LN(2)/25)*BQ63+(1-EXP(-LN(2)/25))/(LN(2)/25)*Calculateur!BL64*Calculateur!BN64*VLOOKUP('Données projet'!$B$11,Paramètres!$A$1:$I$89,3,0)*0.475*44/12</f>
        <v>8.4276304608370456</v>
      </c>
      <c r="BR64" s="21">
        <f>EXP(-LN(2)/2)*BR63+(1-EXP(-LN(2)/2))/(LN(2)/2)*BL64*BO64*VLOOKUP('Données projet'!$B$11,Paramètres!$A$1:$I$89,3,0)*0.475*44/12</f>
        <v>2.7689302398234688</v>
      </c>
      <c r="BS64" s="22">
        <f t="shared" si="9"/>
        <v>29.412439443425889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331.99999999999972</v>
      </c>
      <c r="BZ64" s="13">
        <f>BY64*VLOOKUP('Données projet'!$B$12,Paramètres!$A$1:$I$89,3,0)*VLOOKUP('Données projet'!$B$12,Paramètres!$A$1:$I$89,5,0)</f>
        <v>269.31839999999977</v>
      </c>
      <c r="CA64" s="13">
        <f t="shared" si="39"/>
        <v>64.70459529265311</v>
      </c>
      <c r="CB64" s="20">
        <f t="shared" si="10"/>
        <v>581.75671680137043</v>
      </c>
      <c r="CC64" s="59">
        <f t="shared" si="11"/>
        <v>843.56889824649977</v>
      </c>
      <c r="CD64" s="59">
        <f ca="1">AVERAGE(OFFSET($CC$3,0,0,'Données projet'!$E$12+1,1))-AVERAGE(OFFSET($H$3,0,0,'Données projet'!$E$12+1,1))</f>
        <v>436.50252985867149</v>
      </c>
      <c r="CE64" s="59">
        <f t="shared" si="40"/>
        <v>419.00806288456329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15.277833784254829</v>
      </c>
      <c r="CL64" s="21">
        <f>EXP(-LN(2)/25)*CL63+(1-EXP(-LN(2)/25))/(LN(2)/25)*Calculateur!CG64*Calculateur!CI64*VLOOKUP('Données projet'!$B$12,Paramètres!$A$1:$I$89,3,0)*0.475*44/12</f>
        <v>7.0683352252181688</v>
      </c>
      <c r="CM64" s="21">
        <f>EXP(-LN(2)/2)*CM63+(1-EXP(-LN(2)/2))/(LN(2)/2)*CG64*CJ64*VLOOKUP('Données projet'!$B$12,Paramètres!$A$1:$I$89,3,0)*0.475*44/12</f>
        <v>2.3223285882390385</v>
      </c>
      <c r="CN64" s="22">
        <f t="shared" si="12"/>
        <v>24.668497597712037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331.99999999999972</v>
      </c>
      <c r="CU64" s="17">
        <f>CT64*VLOOKUP('Données projet'!$B$13,Paramètres!$A$1:$I$89,3,0)*VLOOKUP('Données projet'!$B$13,Paramètres!$A$1:$I$89,5,0)</f>
        <v>321.11039999999974</v>
      </c>
      <c r="CV64" s="13">
        <f t="shared" si="41"/>
        <v>75.584347378293245</v>
      </c>
      <c r="CW64" s="20">
        <f t="shared" si="13"/>
        <v>690.91001835052691</v>
      </c>
      <c r="CX64" s="59">
        <f t="shared" si="14"/>
        <v>952.72219979565625</v>
      </c>
      <c r="CY64" s="59">
        <f ca="1">AVERAGE(OFFSET($CX$3,0,0,'Données projet'!$E$13+1,1))-AVERAGE(OFFSET($H$3,0,0,'Données projet'!$E$13+1,1))</f>
        <v>508.3185483454435</v>
      </c>
      <c r="CZ64" s="59">
        <f t="shared" si="42"/>
        <v>487.08233034004945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18.215878742765373</v>
      </c>
      <c r="DG64" s="21">
        <f>EXP(-LN(2)/25)*DG63+(1-EXP(-LN(2)/25))/(LN(2)/25)*Calculateur!DB64*Calculateur!DD64*VLOOKUP('Données projet'!$B$13,Paramètres!$A$1:$I$89,3,0)*0.475*44/12</f>
        <v>8.4276304608370456</v>
      </c>
      <c r="DH64" s="21">
        <f>EXP(-LN(2)/2)*DH63+(1-EXP(-LN(2)/2))/(LN(2)/2)*DB64*DE64*VLOOKUP('Données projet'!$B$13,Paramètres!$A$1:$I$89,3,0)*0.475*44/12</f>
        <v>2.7689302398234688</v>
      </c>
      <c r="DI64" s="22">
        <f t="shared" si="15"/>
        <v>29.412439443425889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</v>
      </c>
      <c r="DO64" s="12">
        <f>IF('Données projet'!$A$166&gt;35,DO63+DN64-DW63,IF(A64&lt;'Données projet'!$A$166,$DL$205^A64,IF(A64='Données projet'!$A$166,'Données projet'!$B$166,DO63+DN64-DW63)))</f>
        <v>331.99999999999972</v>
      </c>
      <c r="DP64" s="17">
        <f>DO64*VLOOKUP('Données projet'!$B$14,Paramètres!$A$1:$I$89,3,0)*VLOOKUP('Données projet'!$B$14,Paramètres!$A$1:$I$89,5,0)</f>
        <v>321.11039999999974</v>
      </c>
      <c r="DQ64" s="13">
        <f t="shared" si="43"/>
        <v>75.584347378293245</v>
      </c>
      <c r="DR64" s="20">
        <f t="shared" si="16"/>
        <v>690.91001835052691</v>
      </c>
      <c r="DS64" s="59">
        <f t="shared" si="17"/>
        <v>952.72219979565625</v>
      </c>
      <c r="DT64" s="59">
        <f ca="1">AVERAGE(OFFSET($DS$3,0,0,'Données projet'!$E$14+1,1))-AVERAGE(OFFSET($H$3,0,0,'Données projet'!$E$14+1,1))</f>
        <v>508.3185483454435</v>
      </c>
      <c r="DU64" s="59">
        <f t="shared" si="44"/>
        <v>487.08233034004945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18.215878742765373</v>
      </c>
      <c r="EB64" s="21">
        <f>EXP(-LN(2)/25)*EB63+(1-EXP(-LN(2)/25))/(LN(2)/25)*Calculateur!DW64*Calculateur!DY64*VLOOKUP('Données projet'!$B$14,Paramètres!$A$1:$I$89,3,0)*0.475*44/12</f>
        <v>8.4276304608370456</v>
      </c>
      <c r="EC64" s="21">
        <f>EXP(-LN(2)/2)*EC63+(1-EXP(-LN(2)/2))/(LN(2)/2)*DW64*DZ64*VLOOKUP('Données projet'!$B$14,Paramètres!$A$1:$I$89,3,0)*0.475*44/12</f>
        <v>2.7689302398234688</v>
      </c>
      <c r="ED64" s="22">
        <f t="shared" si="18"/>
        <v>29.412439443425889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8.6666666666666661</v>
      </c>
      <c r="N65" s="13">
        <f>IF('Données projet'!$A$36&gt;35,N64+M65-V64,IF(A65&lt;'Données projet'!$A$36,$K$205^A65,IF(A65='Données projet'!$A$36,'Données projet'!$B$36,N64+M65-V64)))</f>
        <v>213.33333333333334</v>
      </c>
      <c r="O65" s="13">
        <f>N65*VLOOKUP('Données projet'!$B$9,Paramètres!$A$1:$I$89,3,0)*VLOOKUP('Données projet'!$B$9,Paramètres!$A$1:$I$89,5,0)</f>
        <v>193.024</v>
      </c>
      <c r="P65" s="13">
        <f t="shared" si="33"/>
        <v>48.207900663536861</v>
      </c>
      <c r="Q65" s="20">
        <f t="shared" si="53"/>
        <v>420.14556032232667</v>
      </c>
      <c r="R65" s="59">
        <f t="shared" si="0"/>
        <v>682.50456328197799</v>
      </c>
      <c r="S65" s="59">
        <f ca="1">AVERAGE(OFFSET($R$3,0,0,'Données projet'!$E$9+1,1))-AVERAGE(OFFSET($H$3,0,0,'Données projet'!$E$9+1,1))</f>
        <v>569.49435820174267</v>
      </c>
      <c r="T65" s="59">
        <f t="shared" si="34"/>
        <v>295.37730858134739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27.152040197852287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27.152040197852287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8.6666666666666661</v>
      </c>
      <c r="AI65" s="13">
        <f>IF('Données projet'!$A$62&gt;35,AI64+AH65-AQ64,IF(A65&lt;'Données projet'!$A$62,$AF$205^A65,IF(A65='Données projet'!$A$62,'Données projet'!$B$62,AI64+AH65-AQ64)))</f>
        <v>213.33333333333334</v>
      </c>
      <c r="AJ65" s="13">
        <f>AI65*VLOOKUP('Données projet'!$B$10,Paramètres!$A$1:$I$89,3,0)*VLOOKUP('Données projet'!$B$10,Paramètres!$A$1:$I$89,5,0)</f>
        <v>216.32000000000005</v>
      </c>
      <c r="AK65" s="13">
        <f t="shared" si="35"/>
        <v>53.314272356310404</v>
      </c>
      <c r="AL65" s="20">
        <f t="shared" si="4"/>
        <v>469.61302435390735</v>
      </c>
      <c r="AM65" s="59">
        <f t="shared" si="5"/>
        <v>731.97202731355867</v>
      </c>
      <c r="AN65" s="59">
        <f ca="1">AVERAGE(OFFSET($AM$3,0,0,'Données projet'!$E$10+1,1))-AVERAGE(OFFSET($H$3,0,0,'Données projet'!$E$10+1,1))</f>
        <v>627.83896530587367</v>
      </c>
      <c r="AO65" s="59">
        <f t="shared" si="36"/>
        <v>323.54927030899489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30.429010566558599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30.429010566558599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337.99999999999972</v>
      </c>
      <c r="BE65" s="13">
        <f>BD65*VLOOKUP('Données projet'!$B$11,Paramètres!$A$1:$I$89,3,0)*VLOOKUP('Données projet'!$B$11,Paramètres!$A$1:$I$89,5,0)</f>
        <v>326.91359999999975</v>
      </c>
      <c r="BF65" s="13">
        <f t="shared" si="37"/>
        <v>76.790068178778256</v>
      </c>
      <c r="BG65" s="20">
        <f t="shared" si="7"/>
        <v>703.11722207803825</v>
      </c>
      <c r="BH65" s="59">
        <f t="shared" si="8"/>
        <v>965.47622503768957</v>
      </c>
      <c r="BI65" s="59">
        <f ca="1">AVERAGE(OFFSET($BH$3,0,0,'Données projet'!$E$11+1,1))-AVERAGE(OFFSET($H$3,0,0,'Données projet'!$E$11+1,1))</f>
        <v>508.3185483454435</v>
      </c>
      <c r="BJ65" s="59">
        <f t="shared" si="38"/>
        <v>487.08233034004945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17.858676471208696</v>
      </c>
      <c r="BQ65" s="21">
        <f>EXP(-LN(2)/25)*BQ64+(1-EXP(-LN(2)/25))/(LN(2)/25)*Calculateur!BL65*Calculateur!BN65*VLOOKUP('Données projet'!$B$11,Paramètres!$A$1:$I$89,3,0)*0.475*44/12</f>
        <v>8.1971764626956318</v>
      </c>
      <c r="BR65" s="21">
        <f>EXP(-LN(2)/2)*BR64+(1-EXP(-LN(2)/2))/(LN(2)/2)*BL65*BO65*VLOOKUP('Données projet'!$B$11,Paramètres!$A$1:$I$89,3,0)*0.475*44/12</f>
        <v>1.9579293492116683</v>
      </c>
      <c r="BS65" s="22">
        <f t="shared" si="9"/>
        <v>28.013782283115994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337.99999999999972</v>
      </c>
      <c r="BZ65" s="13">
        <f>BY65*VLOOKUP('Données projet'!$B$12,Paramètres!$A$1:$I$89,3,0)*VLOOKUP('Données projet'!$B$12,Paramètres!$A$1:$I$89,5,0)</f>
        <v>274.18559999999979</v>
      </c>
      <c r="CA65" s="13">
        <f t="shared" si="39"/>
        <v>65.736762389907383</v>
      </c>
      <c r="CB65" s="20">
        <f t="shared" si="10"/>
        <v>592.03144782908828</v>
      </c>
      <c r="CC65" s="59">
        <f t="shared" si="11"/>
        <v>854.3904507887396</v>
      </c>
      <c r="CD65" s="59">
        <f ca="1">AVERAGE(OFFSET($CC$3,0,0,'Données projet'!$E$12+1,1))-AVERAGE(OFFSET($H$3,0,0,'Données projet'!$E$12+1,1))</f>
        <v>436.50252985867149</v>
      </c>
      <c r="CE65" s="59">
        <f t="shared" si="40"/>
        <v>419.00806288456329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14.978244782304069</v>
      </c>
      <c r="CL65" s="21">
        <f>EXP(-LN(2)/25)*CL64+(1-EXP(-LN(2)/25))/(LN(2)/25)*Calculateur!CG65*Calculateur!CI65*VLOOKUP('Données projet'!$B$12,Paramètres!$A$1:$I$89,3,0)*0.475*44/12</f>
        <v>6.875051226776983</v>
      </c>
      <c r="CM65" s="21">
        <f>EXP(-LN(2)/2)*CM64+(1-EXP(-LN(2)/2))/(LN(2)/2)*CG65*CJ65*VLOOKUP('Données projet'!$B$12,Paramètres!$A$1:$I$89,3,0)*0.475*44/12</f>
        <v>1.6421342928872058</v>
      </c>
      <c r="CN65" s="22">
        <f t="shared" si="12"/>
        <v>23.495430301968259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337.99999999999972</v>
      </c>
      <c r="CU65" s="17">
        <f>CT65*VLOOKUP('Données projet'!$B$13,Paramètres!$A$1:$I$89,3,0)*VLOOKUP('Données projet'!$B$13,Paramètres!$A$1:$I$89,5,0)</f>
        <v>326.91359999999975</v>
      </c>
      <c r="CV65" s="13">
        <f t="shared" si="41"/>
        <v>76.790068178778256</v>
      </c>
      <c r="CW65" s="20">
        <f t="shared" si="13"/>
        <v>703.11722207803825</v>
      </c>
      <c r="CX65" s="59">
        <f t="shared" si="14"/>
        <v>965.47622503768957</v>
      </c>
      <c r="CY65" s="59">
        <f ca="1">AVERAGE(OFFSET($CX$3,0,0,'Données projet'!$E$13+1,1))-AVERAGE(OFFSET($H$3,0,0,'Données projet'!$E$13+1,1))</f>
        <v>508.3185483454435</v>
      </c>
      <c r="CZ65" s="59">
        <f t="shared" si="42"/>
        <v>487.08233034004945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17.858676471208696</v>
      </c>
      <c r="DG65" s="21">
        <f>EXP(-LN(2)/25)*DG64+(1-EXP(-LN(2)/25))/(LN(2)/25)*Calculateur!DB65*Calculateur!DD65*VLOOKUP('Données projet'!$B$13,Paramètres!$A$1:$I$89,3,0)*0.475*44/12</f>
        <v>8.1971764626956318</v>
      </c>
      <c r="DH65" s="21">
        <f>EXP(-LN(2)/2)*DH64+(1-EXP(-LN(2)/2))/(LN(2)/2)*DB65*DE65*VLOOKUP('Données projet'!$B$13,Paramètres!$A$1:$I$89,3,0)*0.475*44/12</f>
        <v>1.9579293492116683</v>
      </c>
      <c r="DI65" s="22">
        <f t="shared" si="15"/>
        <v>28.013782283115994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</v>
      </c>
      <c r="DO65" s="12">
        <f>IF('Données projet'!$A$166&gt;35,DO64+DN65-DW64,IF(A65&lt;'Données projet'!$A$166,$DL$205^A65,IF(A65='Données projet'!$A$166,'Données projet'!$B$166,DO64+DN65-DW64)))</f>
        <v>337.99999999999972</v>
      </c>
      <c r="DP65" s="17">
        <f>DO65*VLOOKUP('Données projet'!$B$14,Paramètres!$A$1:$I$89,3,0)*VLOOKUP('Données projet'!$B$14,Paramètres!$A$1:$I$89,5,0)</f>
        <v>326.91359999999975</v>
      </c>
      <c r="DQ65" s="13">
        <f t="shared" si="43"/>
        <v>76.790068178778256</v>
      </c>
      <c r="DR65" s="20">
        <f t="shared" si="16"/>
        <v>703.11722207803825</v>
      </c>
      <c r="DS65" s="59">
        <f t="shared" si="17"/>
        <v>965.47622503768957</v>
      </c>
      <c r="DT65" s="59">
        <f ca="1">AVERAGE(OFFSET($DS$3,0,0,'Données projet'!$E$14+1,1))-AVERAGE(OFFSET($H$3,0,0,'Données projet'!$E$14+1,1))</f>
        <v>508.3185483454435</v>
      </c>
      <c r="DU65" s="59">
        <f t="shared" si="44"/>
        <v>487.08233034004945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17.858676471208696</v>
      </c>
      <c r="EB65" s="21">
        <f>EXP(-LN(2)/25)*EB64+(1-EXP(-LN(2)/25))/(LN(2)/25)*Calculateur!DW65*Calculateur!DY65*VLOOKUP('Données projet'!$B$14,Paramètres!$A$1:$I$89,3,0)*0.475*44/12</f>
        <v>8.1971764626956318</v>
      </c>
      <c r="EC65" s="21">
        <f>EXP(-LN(2)/2)*EC64+(1-EXP(-LN(2)/2))/(LN(2)/2)*DW65*DZ65*VLOOKUP('Données projet'!$B$14,Paramètres!$A$1:$I$89,3,0)*0.475*44/12</f>
        <v>1.9579293492116683</v>
      </c>
      <c r="ED65" s="22">
        <f t="shared" si="18"/>
        <v>28.013782283115994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8.6666666666666661</v>
      </c>
      <c r="N66" s="13">
        <f>IF('Données projet'!$A$36&gt;35,N65+M66-V65,IF(A66&lt;'Données projet'!$A$36,$K$205^A66,IF(A66='Données projet'!$A$36,'Données projet'!$B$36,N65+M66-V65)))</f>
        <v>222</v>
      </c>
      <c r="O66" s="13">
        <f>N66*VLOOKUP('Données projet'!$B$9,Paramètres!$A$1:$I$89,3,0)*VLOOKUP('Données projet'!$B$9,Paramètres!$A$1:$I$89,5,0)</f>
        <v>200.8656</v>
      </c>
      <c r="P66" s="13">
        <f t="shared" si="33"/>
        <v>49.934352565642911</v>
      </c>
      <c r="Q66" s="20">
        <f t="shared" si="53"/>
        <v>436.80991738516144</v>
      </c>
      <c r="R66" s="59">
        <f t="shared" si="0"/>
        <v>699.70625572856761</v>
      </c>
      <c r="S66" s="59">
        <f ca="1">AVERAGE(OFFSET($R$3,0,0,'Données projet'!$E$9+1,1))-AVERAGE(OFFSET($H$3,0,0,'Données projet'!$E$9+1,1))</f>
        <v>569.49435820174267</v>
      </c>
      <c r="T66" s="59">
        <f t="shared" si="34"/>
        <v>295.37730858134739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26.409566230778278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26.409566230778278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8.6666666666666661</v>
      </c>
      <c r="AI66" s="13">
        <f>IF('Données projet'!$A$62&gt;35,AI65+AH66-AQ65,IF(A66&lt;'Données projet'!$A$62,$AF$205^A66,IF(A66='Données projet'!$A$62,'Données projet'!$B$62,AI65+AH66-AQ65)))</f>
        <v>222</v>
      </c>
      <c r="AJ66" s="13">
        <f>AI66*VLOOKUP('Données projet'!$B$10,Paramètres!$A$1:$I$89,3,0)*VLOOKUP('Données projet'!$B$10,Paramètres!$A$1:$I$89,5,0)</f>
        <v>225.10800000000003</v>
      </c>
      <c r="AK66" s="13">
        <f t="shared" si="35"/>
        <v>55.22359687888963</v>
      </c>
      <c r="AL66" s="20">
        <f t="shared" si="4"/>
        <v>488.24419789739949</v>
      </c>
      <c r="AM66" s="59">
        <f t="shared" si="5"/>
        <v>751.14053624080566</v>
      </c>
      <c r="AN66" s="59">
        <f ca="1">AVERAGE(OFFSET($AM$3,0,0,'Données projet'!$E$10+1,1))-AVERAGE(OFFSET($H$3,0,0,'Données projet'!$E$10+1,1))</f>
        <v>627.83896530587367</v>
      </c>
      <c r="AO66" s="59">
        <f t="shared" si="36"/>
        <v>323.54927030899489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29.596927672423934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29.596927672423934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343.99999999999972</v>
      </c>
      <c r="BE66" s="13">
        <f>BD66*VLOOKUP('Données projet'!$B$11,Paramètres!$A$1:$I$89,3,0)*VLOOKUP('Données projet'!$B$11,Paramètres!$A$1:$I$89,5,0)</f>
        <v>332.71679999999975</v>
      </c>
      <c r="BF66" s="13">
        <f t="shared" si="37"/>
        <v>77.993300065843115</v>
      </c>
      <c r="BG66" s="20">
        <f t="shared" si="7"/>
        <v>715.32009094800969</v>
      </c>
      <c r="BH66" s="59">
        <f t="shared" si="8"/>
        <v>978.21642929141581</v>
      </c>
      <c r="BI66" s="59">
        <f ca="1">AVERAGE(OFFSET($BH$3,0,0,'Données projet'!$E$11+1,1))-AVERAGE(OFFSET($H$3,0,0,'Données projet'!$E$11+1,1))</f>
        <v>508.3185483454435</v>
      </c>
      <c r="BJ66" s="59">
        <f t="shared" si="38"/>
        <v>487.08233034004945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17.508478718325375</v>
      </c>
      <c r="BQ66" s="21">
        <f>EXP(-LN(2)/25)*BQ65+(1-EXP(-LN(2)/25))/(LN(2)/25)*Calculateur!BL66*Calculateur!BN66*VLOOKUP('Données projet'!$B$11,Paramètres!$A$1:$I$89,3,0)*0.475*44/12</f>
        <v>7.9730242412524444</v>
      </c>
      <c r="BR66" s="21">
        <f>EXP(-LN(2)/2)*BR65+(1-EXP(-LN(2)/2))/(LN(2)/2)*BL66*BO66*VLOOKUP('Données projet'!$B$11,Paramètres!$A$1:$I$89,3,0)*0.475*44/12</f>
        <v>1.3844651199117346</v>
      </c>
      <c r="BS66" s="22">
        <f t="shared" si="9"/>
        <v>26.865968079489551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343.99999999999972</v>
      </c>
      <c r="BZ66" s="13">
        <f>BY66*VLOOKUP('Données projet'!$B$12,Paramètres!$A$1:$I$89,3,0)*VLOOKUP('Données projet'!$B$12,Paramètres!$A$1:$I$89,5,0)</f>
        <v>279.05279999999976</v>
      </c>
      <c r="CA66" s="13">
        <f t="shared" si="39"/>
        <v>66.766798832586332</v>
      </c>
      <c r="CB66" s="20">
        <f t="shared" si="10"/>
        <v>602.30246796675408</v>
      </c>
      <c r="CC66" s="59">
        <f t="shared" si="11"/>
        <v>865.19880631016019</v>
      </c>
      <c r="CD66" s="59">
        <f ca="1">AVERAGE(OFFSET($CC$3,0,0,'Données projet'!$E$12+1,1))-AVERAGE(OFFSET($H$3,0,0,'Données projet'!$E$12+1,1))</f>
        <v>436.50252985867149</v>
      </c>
      <c r="CE66" s="59">
        <f t="shared" si="40"/>
        <v>419.00806288456329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14.684530537950316</v>
      </c>
      <c r="CL66" s="21">
        <f>EXP(-LN(2)/25)*CL65+(1-EXP(-LN(2)/25))/(LN(2)/25)*Calculateur!CG66*Calculateur!CI66*VLOOKUP('Données projet'!$B$12,Paramètres!$A$1:$I$89,3,0)*0.475*44/12</f>
        <v>6.6870525894375357</v>
      </c>
      <c r="CM66" s="21">
        <f>EXP(-LN(2)/2)*CM65+(1-EXP(-LN(2)/2))/(LN(2)/2)*CG66*CJ66*VLOOKUP('Données projet'!$B$12,Paramètres!$A$1:$I$89,3,0)*0.475*44/12</f>
        <v>1.1611642941195195</v>
      </c>
      <c r="CN66" s="22">
        <f t="shared" si="12"/>
        <v>22.53274742150737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343.99999999999972</v>
      </c>
      <c r="CU66" s="17">
        <f>CT66*VLOOKUP('Données projet'!$B$13,Paramètres!$A$1:$I$89,3,0)*VLOOKUP('Données projet'!$B$13,Paramètres!$A$1:$I$89,5,0)</f>
        <v>332.71679999999975</v>
      </c>
      <c r="CV66" s="13">
        <f t="shared" si="41"/>
        <v>77.993300065843115</v>
      </c>
      <c r="CW66" s="20">
        <f t="shared" si="13"/>
        <v>715.32009094800969</v>
      </c>
      <c r="CX66" s="59">
        <f t="shared" si="14"/>
        <v>978.21642929141581</v>
      </c>
      <c r="CY66" s="59">
        <f ca="1">AVERAGE(OFFSET($CX$3,0,0,'Données projet'!$E$13+1,1))-AVERAGE(OFFSET($H$3,0,0,'Données projet'!$E$13+1,1))</f>
        <v>508.3185483454435</v>
      </c>
      <c r="CZ66" s="59">
        <f t="shared" si="42"/>
        <v>487.08233034004945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17.508478718325375</v>
      </c>
      <c r="DG66" s="21">
        <f>EXP(-LN(2)/25)*DG65+(1-EXP(-LN(2)/25))/(LN(2)/25)*Calculateur!DB66*Calculateur!DD66*VLOOKUP('Données projet'!$B$13,Paramètres!$A$1:$I$89,3,0)*0.475*44/12</f>
        <v>7.9730242412524444</v>
      </c>
      <c r="DH66" s="21">
        <f>EXP(-LN(2)/2)*DH65+(1-EXP(-LN(2)/2))/(LN(2)/2)*DB66*DE66*VLOOKUP('Données projet'!$B$13,Paramètres!$A$1:$I$89,3,0)*0.475*44/12</f>
        <v>1.3844651199117346</v>
      </c>
      <c r="DI66" s="22">
        <f t="shared" si="15"/>
        <v>26.865968079489551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</v>
      </c>
      <c r="DO66" s="12">
        <f>IF('Données projet'!$A$166&gt;35,DO65+DN66-DW65,IF(A66&lt;'Données projet'!$A$166,$DL$205^A66,IF(A66='Données projet'!$A$166,'Données projet'!$B$166,DO65+DN66-DW65)))</f>
        <v>343.99999999999972</v>
      </c>
      <c r="DP66" s="17">
        <f>DO66*VLOOKUP('Données projet'!$B$14,Paramètres!$A$1:$I$89,3,0)*VLOOKUP('Données projet'!$B$14,Paramètres!$A$1:$I$89,5,0)</f>
        <v>332.71679999999975</v>
      </c>
      <c r="DQ66" s="13">
        <f t="shared" si="43"/>
        <v>77.993300065843115</v>
      </c>
      <c r="DR66" s="20">
        <f t="shared" si="16"/>
        <v>715.32009094800969</v>
      </c>
      <c r="DS66" s="59">
        <f t="shared" si="17"/>
        <v>978.21642929141581</v>
      </c>
      <c r="DT66" s="59">
        <f ca="1">AVERAGE(OFFSET($DS$3,0,0,'Données projet'!$E$14+1,1))-AVERAGE(OFFSET($H$3,0,0,'Données projet'!$E$14+1,1))</f>
        <v>508.3185483454435</v>
      </c>
      <c r="DU66" s="59">
        <f t="shared" si="44"/>
        <v>487.08233034004945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17.508478718325375</v>
      </c>
      <c r="EB66" s="21">
        <f>EXP(-LN(2)/25)*EB65+(1-EXP(-LN(2)/25))/(LN(2)/25)*Calculateur!DW66*Calculateur!DY66*VLOOKUP('Données projet'!$B$14,Paramètres!$A$1:$I$89,3,0)*0.475*44/12</f>
        <v>7.9730242412524444</v>
      </c>
      <c r="EC66" s="21">
        <f>EXP(-LN(2)/2)*EC65+(1-EXP(-LN(2)/2))/(LN(2)/2)*DW66*DZ66*VLOOKUP('Données projet'!$B$14,Paramètres!$A$1:$I$89,3,0)*0.475*44/12</f>
        <v>1.3844651199117346</v>
      </c>
      <c r="ED66" s="22">
        <f t="shared" si="18"/>
        <v>26.865968079489551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8.6666666666666661</v>
      </c>
      <c r="N67" s="13">
        <f>IF('Données projet'!$A$36&gt;35,N66+M67-V66,IF(A67&lt;'Données projet'!$A$36,$K$205^A67,IF(A67='Données projet'!$A$36,'Données projet'!$B$36,N66+M67-V66)))</f>
        <v>230.66666666666666</v>
      </c>
      <c r="O67" s="13">
        <f>N67*VLOOKUP('Données projet'!$B$9,Paramètres!$A$1:$I$89,3,0)*VLOOKUP('Données projet'!$B$9,Paramètres!$A$1:$I$89,5,0)</f>
        <v>208.7072</v>
      </c>
      <c r="P67" s="13">
        <f t="shared" si="33"/>
        <v>51.652974918933275</v>
      </c>
      <c r="Q67" s="20">
        <f t="shared" ref="Q67:Q98" si="54">(O67+P67)*0.475*44/12</f>
        <v>453.46063798380879</v>
      </c>
      <c r="R67" s="59">
        <f t="shared" ref="R67:R130" si="55">Q67+(I67+J67)*44/12</f>
        <v>716.88499014336355</v>
      </c>
      <c r="S67" s="59">
        <f ca="1">AVERAGE(OFFSET($R$3,0,0,'Données projet'!$E$9+1,1))-AVERAGE(OFFSET($H$3,0,0,'Données projet'!$E$9+1,1))</f>
        <v>569.49435820174267</v>
      </c>
      <c r="T67" s="59">
        <f t="shared" si="34"/>
        <v>295.37730858134739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25.687395253378916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25.687395253378916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8.6666666666666661</v>
      </c>
      <c r="AI67" s="13">
        <f>IF('Données projet'!$A$62&gt;35,AI66+AH67-AQ66,IF(A67&lt;'Données projet'!$A$62,$AF$205^A67,IF(A67='Données projet'!$A$62,'Données projet'!$B$62,AI66+AH67-AQ66)))</f>
        <v>230.66666666666666</v>
      </c>
      <c r="AJ67" s="13">
        <f>AI67*VLOOKUP('Données projet'!$B$10,Paramètres!$A$1:$I$89,3,0)*VLOOKUP('Données projet'!$B$10,Paramètres!$A$1:$I$89,5,0)</f>
        <v>233.89600000000002</v>
      </c>
      <c r="AK67" s="13">
        <f t="shared" si="35"/>
        <v>57.12426251584543</v>
      </c>
      <c r="AL67" s="20">
        <f t="shared" si="4"/>
        <v>506.86029054843084</v>
      </c>
      <c r="AM67" s="59">
        <f t="shared" si="5"/>
        <v>770.28464270798554</v>
      </c>
      <c r="AN67" s="59">
        <f ca="1">AVERAGE(OFFSET($AM$3,0,0,'Données projet'!$E$10+1,1))-AVERAGE(OFFSET($H$3,0,0,'Données projet'!$E$10+1,1))</f>
        <v>627.83896530587367</v>
      </c>
      <c r="AO67" s="59">
        <f t="shared" si="36"/>
        <v>323.54927030899489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28.787598128786719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28.787598128786719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349.99999999999972</v>
      </c>
      <c r="BE67" s="13">
        <f>BD67*VLOOKUP('Données projet'!$B$11,Paramètres!$A$1:$I$89,3,0)*VLOOKUP('Données projet'!$B$11,Paramètres!$A$1:$I$89,5,0)</f>
        <v>338.51999999999975</v>
      </c>
      <c r="BF67" s="13">
        <f t="shared" si="37"/>
        <v>79.194091459626705</v>
      </c>
      <c r="BG67" s="20">
        <f t="shared" si="7"/>
        <v>727.51870929218273</v>
      </c>
      <c r="BH67" s="59">
        <f t="shared" si="8"/>
        <v>990.94306145173755</v>
      </c>
      <c r="BI67" s="59">
        <f ca="1">AVERAGE(OFFSET($BH$3,0,0,'Données projet'!$E$11+1,1))-AVERAGE(OFFSET($H$3,0,0,'Données projet'!$E$11+1,1))</f>
        <v>508.3185483454435</v>
      </c>
      <c r="BJ67" s="59">
        <f t="shared" si="38"/>
        <v>487.08233034004945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17.165148129776558</v>
      </c>
      <c r="BQ67" s="21">
        <f>EXP(-LN(2)/25)*BQ66+(1-EXP(-LN(2)/25))/(LN(2)/25)*Calculateur!BL67*Calculateur!BN67*VLOOKUP('Données projet'!$B$11,Paramètres!$A$1:$I$89,3,0)*0.475*44/12</f>
        <v>7.7550014740922739</v>
      </c>
      <c r="BR67" s="21">
        <f>EXP(-LN(2)/2)*BR66+(1-EXP(-LN(2)/2))/(LN(2)/2)*BL67*BO67*VLOOKUP('Données projet'!$B$11,Paramètres!$A$1:$I$89,3,0)*0.475*44/12</f>
        <v>0.97896467460583425</v>
      </c>
      <c r="BS67" s="22">
        <f t="shared" si="9"/>
        <v>25.899114278474666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349.99999999999972</v>
      </c>
      <c r="BZ67" s="13">
        <f>BY67*VLOOKUP('Données projet'!$B$12,Paramètres!$A$1:$I$89,3,0)*VLOOKUP('Données projet'!$B$12,Paramètres!$A$1:$I$89,5,0)</f>
        <v>283.91999999999979</v>
      </c>
      <c r="CA67" s="13">
        <f t="shared" si="39"/>
        <v>67.794746071143578</v>
      </c>
      <c r="CB67" s="20">
        <f t="shared" si="10"/>
        <v>612.56984940724135</v>
      </c>
      <c r="CC67" s="59">
        <f t="shared" si="11"/>
        <v>875.99420156679616</v>
      </c>
      <c r="CD67" s="59">
        <f ca="1">AVERAGE(OFFSET($CC$3,0,0,'Données projet'!$E$12+1,1))-AVERAGE(OFFSET($H$3,0,0,'Données projet'!$E$12+1,1))</f>
        <v>436.50252985867149</v>
      </c>
      <c r="CE67" s="59">
        <f t="shared" si="40"/>
        <v>419.00806288456329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14.396575850780339</v>
      </c>
      <c r="CL67" s="21">
        <f>EXP(-LN(2)/25)*CL66+(1-EXP(-LN(2)/25))/(LN(2)/25)*Calculateur!CG67*Calculateur!CI67*VLOOKUP('Données projet'!$B$12,Paramètres!$A$1:$I$89,3,0)*0.475*44/12</f>
        <v>6.5041947847225536</v>
      </c>
      <c r="CM67" s="21">
        <f>EXP(-LN(2)/2)*CM66+(1-EXP(-LN(2)/2))/(LN(2)/2)*CG67*CJ67*VLOOKUP('Données projet'!$B$12,Paramètres!$A$1:$I$89,3,0)*0.475*44/12</f>
        <v>0.82106714644360301</v>
      </c>
      <c r="CN67" s="22">
        <f t="shared" si="12"/>
        <v>21.721837781946498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349.99999999999972</v>
      </c>
      <c r="CU67" s="17">
        <f>CT67*VLOOKUP('Données projet'!$B$13,Paramètres!$A$1:$I$89,3,0)*VLOOKUP('Données projet'!$B$13,Paramètres!$A$1:$I$89,5,0)</f>
        <v>338.51999999999975</v>
      </c>
      <c r="CV67" s="13">
        <f t="shared" si="41"/>
        <v>79.194091459626705</v>
      </c>
      <c r="CW67" s="20">
        <f t="shared" si="13"/>
        <v>727.51870929218273</v>
      </c>
      <c r="CX67" s="59">
        <f t="shared" si="14"/>
        <v>990.94306145173755</v>
      </c>
      <c r="CY67" s="59">
        <f ca="1">AVERAGE(OFFSET($CX$3,0,0,'Données projet'!$E$13+1,1))-AVERAGE(OFFSET($H$3,0,0,'Données projet'!$E$13+1,1))</f>
        <v>508.3185483454435</v>
      </c>
      <c r="CZ67" s="59">
        <f t="shared" si="42"/>
        <v>487.08233034004945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17.165148129776558</v>
      </c>
      <c r="DG67" s="21">
        <f>EXP(-LN(2)/25)*DG66+(1-EXP(-LN(2)/25))/(LN(2)/25)*Calculateur!DB67*Calculateur!DD67*VLOOKUP('Données projet'!$B$13,Paramètres!$A$1:$I$89,3,0)*0.475*44/12</f>
        <v>7.7550014740922739</v>
      </c>
      <c r="DH67" s="21">
        <f>EXP(-LN(2)/2)*DH66+(1-EXP(-LN(2)/2))/(LN(2)/2)*DB67*DE67*VLOOKUP('Données projet'!$B$13,Paramètres!$A$1:$I$89,3,0)*0.475*44/12</f>
        <v>0.97896467460583425</v>
      </c>
      <c r="DI67" s="22">
        <f t="shared" si="15"/>
        <v>25.899114278474666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</v>
      </c>
      <c r="DO67" s="12">
        <f>IF('Données projet'!$A$166&gt;35,DO66+DN67-DW66,IF(A67&lt;'Données projet'!$A$166,$DL$205^A67,IF(A67='Données projet'!$A$166,'Données projet'!$B$166,DO66+DN67-DW66)))</f>
        <v>349.99999999999972</v>
      </c>
      <c r="DP67" s="17">
        <f>DO67*VLOOKUP('Données projet'!$B$14,Paramètres!$A$1:$I$89,3,0)*VLOOKUP('Données projet'!$B$14,Paramètres!$A$1:$I$89,5,0)</f>
        <v>338.51999999999975</v>
      </c>
      <c r="DQ67" s="13">
        <f t="shared" si="43"/>
        <v>79.194091459626705</v>
      </c>
      <c r="DR67" s="20">
        <f t="shared" si="16"/>
        <v>727.51870929218273</v>
      </c>
      <c r="DS67" s="59">
        <f t="shared" si="17"/>
        <v>990.94306145173755</v>
      </c>
      <c r="DT67" s="59">
        <f ca="1">AVERAGE(OFFSET($DS$3,0,0,'Données projet'!$E$14+1,1))-AVERAGE(OFFSET($H$3,0,0,'Données projet'!$E$14+1,1))</f>
        <v>508.3185483454435</v>
      </c>
      <c r="DU67" s="59">
        <f t="shared" si="44"/>
        <v>487.08233034004945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17.165148129776558</v>
      </c>
      <c r="EB67" s="21">
        <f>EXP(-LN(2)/25)*EB66+(1-EXP(-LN(2)/25))/(LN(2)/25)*Calculateur!DW67*Calculateur!DY67*VLOOKUP('Données projet'!$B$14,Paramètres!$A$1:$I$89,3,0)*0.475*44/12</f>
        <v>7.7550014740922739</v>
      </c>
      <c r="EC67" s="21">
        <f>EXP(-LN(2)/2)*EC66+(1-EXP(-LN(2)/2))/(LN(2)/2)*DW67*DZ67*VLOOKUP('Données projet'!$B$14,Paramètres!$A$1:$I$89,3,0)*0.475*44/12</f>
        <v>0.97896467460583425</v>
      </c>
      <c r="ED67" s="22">
        <f t="shared" si="18"/>
        <v>25.899114278474666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8.6666666666666661</v>
      </c>
      <c r="N68" s="13">
        <f>IF('Données projet'!$A$36&gt;35,N67+M68-V67,IF(A68&lt;'Données projet'!$A$36,$K$205^A68,IF(A68='Données projet'!$A$36,'Données projet'!$B$36,N67+M68-V67)))</f>
        <v>239.33333333333331</v>
      </c>
      <c r="O68" s="13">
        <f>N68*VLOOKUP('Données projet'!$B$9,Paramètres!$A$1:$I$89,3,0)*VLOOKUP('Données projet'!$B$9,Paramètres!$A$1:$I$89,5,0)</f>
        <v>216.54879999999997</v>
      </c>
      <c r="P68" s="13">
        <f t="shared" si="33"/>
        <v>53.364095578940479</v>
      </c>
      <c r="Q68" s="20">
        <f t="shared" si="54"/>
        <v>470.09829313332119</v>
      </c>
      <c r="R68" s="59">
        <f t="shared" si="55"/>
        <v>734.04149924977639</v>
      </c>
      <c r="S68" s="59">
        <f ca="1">AVERAGE(OFFSET($R$3,0,0,'Données projet'!$E$9+1,1))-AVERAGE(OFFSET($H$3,0,0,'Données projet'!$E$9+1,1))</f>
        <v>569.49435820174267</v>
      </c>
      <c r="T68" s="59">
        <f t="shared" si="34"/>
        <v>295.37730858134739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24.984972079333861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24.984972079333861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8.6666666666666661</v>
      </c>
      <c r="AI68" s="13">
        <f>IF('Données projet'!$A$62&gt;35,AI67+AH68-AQ67,IF(A68&lt;'Données projet'!$A$62,$AF$205^A68,IF(A68='Données projet'!$A$62,'Données projet'!$B$62,AI67+AH68-AQ67)))</f>
        <v>239.33333333333331</v>
      </c>
      <c r="AJ68" s="13">
        <f>AI68*VLOOKUP('Données projet'!$B$10,Paramètres!$A$1:$I$89,3,0)*VLOOKUP('Données projet'!$B$10,Paramètres!$A$1:$I$89,5,0)</f>
        <v>242.684</v>
      </c>
      <c r="AK68" s="13">
        <f t="shared" si="35"/>
        <v>59.016631850466453</v>
      </c>
      <c r="AL68" s="20">
        <f t="shared" ref="AL68:AL131" si="58">(AJ68+AK68)*0.475*44/12</f>
        <v>525.46193380622901</v>
      </c>
      <c r="AM68" s="59">
        <f t="shared" ref="AM68:AM131" si="59">AL68+(AD68+AE68)*44/12</f>
        <v>789.40513992268416</v>
      </c>
      <c r="AN68" s="59">
        <f ca="1">AVERAGE(OFFSET($AM$3,0,0,'Données projet'!$E$10+1,1))-AVERAGE(OFFSET($H$3,0,0,'Données projet'!$E$10+1,1))</f>
        <v>627.83896530587367</v>
      </c>
      <c r="AO68" s="59">
        <f t="shared" si="36"/>
        <v>323.54927030899489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28.000399744081054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28.000399744081054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356</v>
      </c>
      <c r="BB68" s="12">
        <f>VLOOKUP(A68,'Données projet'!$A$87:$I$107,9,0)</f>
        <v>6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355.99999999999972</v>
      </c>
      <c r="BE68" s="13">
        <f>BD68*VLOOKUP('Données projet'!$B$11,Paramètres!$A$1:$I$89,3,0)*VLOOKUP('Données projet'!$B$11,Paramètres!$A$1:$I$89,5,0)</f>
        <v>344.32319999999976</v>
      </c>
      <c r="BF68" s="13">
        <f t="shared" si="37"/>
        <v>80.39248902502446</v>
      </c>
      <c r="BG68" s="20">
        <f t="shared" ref="BG68:BG131" si="61">(BE68+BF68)*0.475*44/12</f>
        <v>739.71315838525049</v>
      </c>
      <c r="BH68" s="59">
        <f t="shared" ref="BH68:BH131" si="62">BG68+(AY68+AZ68)*44/12</f>
        <v>1003.6563645017056</v>
      </c>
      <c r="BI68" s="59">
        <f ca="1">AVERAGE(OFFSET($BH$3,0,0,'Données projet'!$E$11+1,1))-AVERAGE(OFFSET($H$3,0,0,'Données projet'!$E$11+1,1))</f>
        <v>508.3185483454435</v>
      </c>
      <c r="BJ68" s="59">
        <f t="shared" si="38"/>
        <v>487.08233034004945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16</v>
      </c>
      <c r="BM68" s="16">
        <f>IF(ISNA(VLOOKUP(A68,'Données projet'!$A$87:$I$107,5,0)),0%,VLOOKUP(A68,'Données projet'!$A$87:$I$107,5,0)*VLOOKUP('Données projet'!$B$11,Paramètres!$A$1:$I$89,7,0))</f>
        <v>0.30099999999999999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0.2</v>
      </c>
      <c r="BP68" s="21">
        <f>EXP(-LN(2)/35)*BP67+(1-EXP(-LN(2)/35))/(LN(2)/35)*BL68*BM68*VLOOKUP('Données projet'!$B$11,Paramètres!$A$1:$I$89,3,0)*0.475*44/12</f>
        <v>21.977869985080041</v>
      </c>
      <c r="BQ68" s="21">
        <f>EXP(-LN(2)/25)*BQ67+(1-EXP(-LN(2)/25))/(LN(2)/25)*Calculateur!BL68*Calculateur!BN68*VLOOKUP('Données projet'!$B$11,Paramètres!$A$1:$I$89,3,0)*0.475*44/12</f>
        <v>7.542940550965417</v>
      </c>
      <c r="BR68" s="21">
        <f>EXP(-LN(2)/2)*BR67+(1-EXP(-LN(2)/2))/(LN(2)/2)*BL68*BO68*VLOOKUP('Données projet'!$B$11,Paramètres!$A$1:$I$89,3,0)*0.475*44/12</f>
        <v>3.6124861017361285</v>
      </c>
      <c r="BS68" s="22">
        <f t="shared" ref="BS68:BS131" si="63">SUM(BP68:BR68)</f>
        <v>33.133296637781591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356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355.99999999999972</v>
      </c>
      <c r="BZ68" s="13">
        <f>BY68*VLOOKUP('Données projet'!$B$12,Paramètres!$A$1:$I$89,3,0)*VLOOKUP('Données projet'!$B$12,Paramètres!$A$1:$I$89,5,0)</f>
        <v>288.78719999999981</v>
      </c>
      <c r="CA68" s="13">
        <f t="shared" si="39"/>
        <v>68.820644053442436</v>
      </c>
      <c r="CB68" s="20">
        <f t="shared" ref="CB68:CB131" si="64">(BZ68+CA68)*0.475*44/12</f>
        <v>622.83366172641195</v>
      </c>
      <c r="CC68" s="59">
        <f t="shared" ref="CC68:CC131" si="65">CB68+(BT68+BU68)*44/12</f>
        <v>886.7768678428672</v>
      </c>
      <c r="CD68" s="59">
        <f ca="1">AVERAGE(OFFSET($CC$3,0,0,'Données projet'!$E$12+1,1))-AVERAGE(OFFSET($H$3,0,0,'Données projet'!$E$12+1,1))</f>
        <v>436.50252985867149</v>
      </c>
      <c r="CE68" s="59">
        <f t="shared" si="40"/>
        <v>419.00806288456329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0.30099999999999999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0.2</v>
      </c>
      <c r="CK68" s="21">
        <f>EXP(-LN(2)/35)*CK67+(1-EXP(-LN(2)/35))/(LN(2)/35)*CG68*CH68*VLOOKUP('Données projet'!$B$12,Paramètres!$A$1:$I$89,3,0)*0.475*44/12</f>
        <v>18.433052245551004</v>
      </c>
      <c r="CL68" s="21">
        <f>EXP(-LN(2)/25)*CL67+(1-EXP(-LN(2)/25))/(LN(2)/25)*Calculateur!CG68*Calculateur!CI68*VLOOKUP('Données projet'!$B$12,Paramètres!$A$1:$I$89,3,0)*0.475*44/12</f>
        <v>6.3263372362935772</v>
      </c>
      <c r="CM68" s="21">
        <f>EXP(-LN(2)/2)*CM67+(1-EXP(-LN(2)/2))/(LN(2)/2)*CG68*CJ68*VLOOKUP('Données projet'!$B$12,Paramètres!$A$1:$I$89,3,0)*0.475*44/12</f>
        <v>3.0298270530690115</v>
      </c>
      <c r="CN68" s="22">
        <f t="shared" ref="CN68:CN131" si="66">SUM(CK68:CM68)</f>
        <v>27.789216534913592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356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355.99999999999972</v>
      </c>
      <c r="CU68" s="17">
        <f>CT68*VLOOKUP('Données projet'!$B$13,Paramètres!$A$1:$I$89,3,0)*VLOOKUP('Données projet'!$B$13,Paramètres!$A$1:$I$89,5,0)</f>
        <v>344.32319999999976</v>
      </c>
      <c r="CV68" s="13">
        <f t="shared" si="41"/>
        <v>80.39248902502446</v>
      </c>
      <c r="CW68" s="20">
        <f t="shared" ref="CW68:CW131" si="67">(CU68+CV68)*0.475*44/12</f>
        <v>739.71315838525049</v>
      </c>
      <c r="CX68" s="59">
        <f t="shared" ref="CX68:CX131" si="68">CW68+(CO68+CP68)*44/12</f>
        <v>1003.6563645017056</v>
      </c>
      <c r="CY68" s="59">
        <f ca="1">AVERAGE(OFFSET($CX$3,0,0,'Données projet'!$E$13+1,1))-AVERAGE(OFFSET($H$3,0,0,'Données projet'!$E$13+1,1))</f>
        <v>508.3185483454435</v>
      </c>
      <c r="CZ68" s="59">
        <f t="shared" si="42"/>
        <v>487.08233034004945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16</v>
      </c>
      <c r="DC68" s="16">
        <f>IF(ISNA(VLOOKUP(A68,'Données projet'!$A$139:$I$159,5,0)),0%,VLOOKUP(A68,'Données projet'!$A$139:$I$159,5,0)*VLOOKUP('Données projet'!$B$13,Paramètres!$A$1:$I$89,7,0))</f>
        <v>0.30099999999999999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0.2</v>
      </c>
      <c r="DF68" s="21">
        <f>EXP(-LN(2)/35)*DF67+(1-EXP(-LN(2)/35))/(LN(2)/35)*DB68*DC68*VLOOKUP('Données projet'!$B$13,Paramètres!$A$1:$I$89,3,0)*0.475*44/12</f>
        <v>21.977869985080041</v>
      </c>
      <c r="DG68" s="21">
        <f>EXP(-LN(2)/25)*DG67+(1-EXP(-LN(2)/25))/(LN(2)/25)*Calculateur!DB68*Calculateur!DD68*VLOOKUP('Données projet'!$B$13,Paramètres!$A$1:$I$89,3,0)*0.475*44/12</f>
        <v>7.542940550965417</v>
      </c>
      <c r="DH68" s="21">
        <f>EXP(-LN(2)/2)*DH67+(1-EXP(-LN(2)/2))/(LN(2)/2)*DB68*DE68*VLOOKUP('Données projet'!$B$13,Paramètres!$A$1:$I$89,3,0)*0.475*44/12</f>
        <v>3.6124861017361285</v>
      </c>
      <c r="DI68" s="22">
        <f t="shared" ref="DI68:DI131" si="69">SUM(DF68:DH68)</f>
        <v>33.133296637781591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356</v>
      </c>
      <c r="DM68" s="12">
        <f>VLOOKUP(A68,'Données projet'!$A$165:$I$185,9,0)</f>
        <v>6</v>
      </c>
      <c r="DN68" s="12">
        <f t="array" ref="DN68">INDEX(DM:DM,MIN(IF(ISNUMBER(DM68:DM264),ROW(DM68:DM264),"")))</f>
        <v>6</v>
      </c>
      <c r="DO68" s="12">
        <f>IF('Données projet'!$A$166&gt;35,DO67+DN68-DW67,IF(A68&lt;'Données projet'!$A$166,$DL$205^A68,IF(A68='Données projet'!$A$166,'Données projet'!$B$166,DO67+DN68-DW67)))</f>
        <v>355.99999999999972</v>
      </c>
      <c r="DP68" s="17">
        <f>DO68*VLOOKUP('Données projet'!$B$14,Paramètres!$A$1:$I$89,3,0)*VLOOKUP('Données projet'!$B$14,Paramètres!$A$1:$I$89,5,0)</f>
        <v>344.32319999999976</v>
      </c>
      <c r="DQ68" s="13">
        <f t="shared" si="43"/>
        <v>80.39248902502446</v>
      </c>
      <c r="DR68" s="20">
        <f t="shared" ref="DR68:DR131" si="70">(DP68+DQ68)*0.475*44/12</f>
        <v>739.71315838525049</v>
      </c>
      <c r="DS68" s="59">
        <f t="shared" ref="DS68:DS131" si="71">DR68+(DJ68+DK68)*44/12</f>
        <v>1003.6563645017056</v>
      </c>
      <c r="DT68" s="59">
        <f ca="1">AVERAGE(OFFSET($DS$3,0,0,'Données projet'!$E$14+1,1))-AVERAGE(OFFSET($H$3,0,0,'Données projet'!$E$14+1,1))</f>
        <v>508.3185483454435</v>
      </c>
      <c r="DU68" s="59">
        <f t="shared" si="44"/>
        <v>487.08233034004945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16</v>
      </c>
      <c r="DX68" s="16">
        <f>IF(ISNA(VLOOKUP(A68,'Données projet'!$A$165:$I$185,5,0)),0%,VLOOKUP(A68,'Données projet'!$A$165:$I$185,5,0)*VLOOKUP('Données projet'!$B$14,Paramètres!$A$1:$I$89,7,0))</f>
        <v>0.30099999999999999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0.2</v>
      </c>
      <c r="EA68" s="21">
        <f>EXP(-LN(2)/35)*EA67+(1-EXP(-LN(2)/35))/(LN(2)/35)*DW68*DX68*VLOOKUP('Données projet'!$B$14,Paramètres!$A$1:$I$89,3,0)*0.475*44/12</f>
        <v>21.977869985080041</v>
      </c>
      <c r="EB68" s="21">
        <f>EXP(-LN(2)/25)*EB67+(1-EXP(-LN(2)/25))/(LN(2)/25)*Calculateur!DW68*Calculateur!DY68*VLOOKUP('Données projet'!$B$14,Paramètres!$A$1:$I$89,3,0)*0.475*44/12</f>
        <v>7.542940550965417</v>
      </c>
      <c r="EC68" s="21">
        <f>EXP(-LN(2)/2)*EC67+(1-EXP(-LN(2)/2))/(LN(2)/2)*DW68*DZ68*VLOOKUP('Données projet'!$B$14,Paramètres!$A$1:$I$89,3,0)*0.475*44/12</f>
        <v>3.6124861017361285</v>
      </c>
      <c r="ED68" s="22">
        <f t="shared" ref="ED68:ED131" si="72">SUM(EA68:EC68)</f>
        <v>33.133296637781591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8.6666666666666661</v>
      </c>
      <c r="N69" s="13">
        <f>IF('Données projet'!$A$36&gt;35,N68+M69-V68,IF(A69&lt;'Données projet'!$A$36,$K$205^A69,IF(A69='Données projet'!$A$36,'Données projet'!$B$36,N68+M69-V68)))</f>
        <v>247.99999999999997</v>
      </c>
      <c r="O69" s="13">
        <f>N69*VLOOKUP('Données projet'!$B$9,Paramètres!$A$1:$I$89,3,0)*VLOOKUP('Données projet'!$B$9,Paramètres!$A$1:$I$89,5,0)</f>
        <v>224.39039999999997</v>
      </c>
      <c r="P69" s="13">
        <f t="shared" ref="P69:P132" si="87">EXP(-1.0587+0.8836*LN(O69)+0.284)</f>
        <v>55.068017311015858</v>
      </c>
      <c r="Q69" s="20">
        <f t="shared" si="54"/>
        <v>486.72341015001916</v>
      </c>
      <c r="R69" s="59">
        <f t="shared" si="55"/>
        <v>751.17646926720624</v>
      </c>
      <c r="S69" s="59">
        <f ca="1">AVERAGE(OFFSET($R$3,0,0,'Données projet'!$E$9+1,1))-AVERAGE(OFFSET($H$3,0,0,'Données projet'!$E$9+1,1))</f>
        <v>569.49435820174267</v>
      </c>
      <c r="T69" s="59">
        <f t="shared" ref="T69:T132" si="88">$T$3</f>
        <v>295.37730858134739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24.3017567039219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24.3017567039219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8.6666666666666661</v>
      </c>
      <c r="AI69" s="13">
        <f>IF('Données projet'!$A$62&gt;35,AI68+AH69-AQ68,IF(A69&lt;'Données projet'!$A$62,$AF$205^A69,IF(A69='Données projet'!$A$62,'Données projet'!$B$62,AI68+AH69-AQ68)))</f>
        <v>247.99999999999997</v>
      </c>
      <c r="AJ69" s="13">
        <f>AI69*VLOOKUP('Données projet'!$B$10,Paramètres!$A$1:$I$89,3,0)*VLOOKUP('Données projet'!$B$10,Paramètres!$A$1:$I$89,5,0)</f>
        <v>251.47199999999998</v>
      </c>
      <c r="AK69" s="13">
        <f t="shared" ref="AK69:AK132" si="89">EXP(-1.0587+0.8836*LN(AJ69)+0.284)</f>
        <v>60.901039718208651</v>
      </c>
      <c r="AL69" s="20">
        <f t="shared" si="58"/>
        <v>544.04971084254669</v>
      </c>
      <c r="AM69" s="59">
        <f t="shared" si="59"/>
        <v>808.50276995973377</v>
      </c>
      <c r="AN69" s="59">
        <f ca="1">AVERAGE(OFFSET($AM$3,0,0,'Données projet'!$E$10+1,1))-AVERAGE(OFFSET($H$3,0,0,'Données projet'!$E$10+1,1))</f>
        <v>627.83896530587367</v>
      </c>
      <c r="AO69" s="59">
        <f t="shared" ref="AO69:AO132" si="90">$AO$3</f>
        <v>323.54927030899489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27.234727340602131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27.234727340602131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345.1999999999997</v>
      </c>
      <c r="BE69" s="13">
        <f>BD69*VLOOKUP('Données projet'!$B$11,Paramètres!$A$1:$I$89,3,0)*VLOOKUP('Données projet'!$B$11,Paramètres!$A$1:$I$89,5,0)</f>
        <v>333.87743999999969</v>
      </c>
      <c r="BF69" s="13">
        <f t="shared" ref="BF69:BF132" si="91">EXP(-1.0587+0.8836*LN(BE69)+0.284)</f>
        <v>78.233652066113265</v>
      </c>
      <c r="BG69" s="20">
        <f t="shared" si="61"/>
        <v>717.76015201514667</v>
      </c>
      <c r="BH69" s="59">
        <f t="shared" si="62"/>
        <v>982.21321113233375</v>
      </c>
      <c r="BI69" s="59">
        <f ca="1">AVERAGE(OFFSET($BH$3,0,0,'Données projet'!$E$11+1,1))-AVERAGE(OFFSET($H$3,0,0,'Données projet'!$E$11+1,1))</f>
        <v>508.3185483454435</v>
      </c>
      <c r="BJ69" s="59">
        <f t="shared" ref="BJ69:BJ132" si="92">$BJ$3</f>
        <v>487.08233034004945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21.546897359849662</v>
      </c>
      <c r="BQ69" s="21">
        <f>EXP(-LN(2)/25)*BQ68+(1-EXP(-LN(2)/25))/(LN(2)/25)*Calculateur!BL69*Calculateur!BN69*VLOOKUP('Données projet'!$B$11,Paramètres!$A$1:$I$89,3,0)*0.475*44/12</f>
        <v>7.3366784449332636</v>
      </c>
      <c r="BR69" s="21">
        <f>EXP(-LN(2)/2)*BR68+(1-EXP(-LN(2)/2))/(LN(2)/2)*BL69*BO69*VLOOKUP('Données projet'!$B$11,Paramètres!$A$1:$I$89,3,0)*0.475*44/12</f>
        <v>2.554413419479773</v>
      </c>
      <c r="BS69" s="22">
        <f t="shared" si="63"/>
        <v>31.437989224262697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345.1999999999997</v>
      </c>
      <c r="BZ69" s="13">
        <f>BY69*VLOOKUP('Données projet'!$B$12,Paramètres!$A$1:$I$89,3,0)*VLOOKUP('Données projet'!$B$12,Paramètres!$A$1:$I$89,5,0)</f>
        <v>280.02623999999975</v>
      </c>
      <c r="CA69" s="13">
        <f t="shared" ref="CA69:CA132" si="93">EXP(-1.0587+0.8836*LN(BZ69)+0.284)</f>
        <v>66.97255411717488</v>
      </c>
      <c r="CB69" s="20">
        <f t="shared" si="64"/>
        <v>604.35623308741242</v>
      </c>
      <c r="CC69" s="59">
        <f t="shared" si="65"/>
        <v>868.8092922045995</v>
      </c>
      <c r="CD69" s="59">
        <f ca="1">AVERAGE(OFFSET($CC$3,0,0,'Données projet'!$E$12+1,1))-AVERAGE(OFFSET($H$3,0,0,'Données projet'!$E$12+1,1))</f>
        <v>436.50252985867149</v>
      </c>
      <c r="CE69" s="59">
        <f t="shared" ref="CE69:CE132" si="94">$CE$3</f>
        <v>419.00806288456329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18.07159133406746</v>
      </c>
      <c r="CL69" s="21">
        <f>EXP(-LN(2)/25)*CL68+(1-EXP(-LN(2)/25))/(LN(2)/25)*Calculateur!CG69*Calculateur!CI69*VLOOKUP('Données projet'!$B$12,Paramètres!$A$1:$I$89,3,0)*0.475*44/12</f>
        <v>6.1533432118795135</v>
      </c>
      <c r="CM69" s="21">
        <f>EXP(-LN(2)/2)*CM68+(1-EXP(-LN(2)/2))/(LN(2)/2)*CG69*CJ69*VLOOKUP('Données projet'!$B$12,Paramètres!$A$1:$I$89,3,0)*0.475*44/12</f>
        <v>2.1424112550475516</v>
      </c>
      <c r="CN69" s="22">
        <f t="shared" si="66"/>
        <v>26.367345800994524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345.1999999999997</v>
      </c>
      <c r="CU69" s="17">
        <f>CT69*VLOOKUP('Données projet'!$B$13,Paramètres!$A$1:$I$89,3,0)*VLOOKUP('Données projet'!$B$13,Paramètres!$A$1:$I$89,5,0)</f>
        <v>333.87743999999969</v>
      </c>
      <c r="CV69" s="13">
        <f t="shared" ref="CV69:CV132" si="95">EXP(-1.0587+0.8836*LN(CU69)+0.284)</f>
        <v>78.233652066113265</v>
      </c>
      <c r="CW69" s="20">
        <f t="shared" si="67"/>
        <v>717.76015201514667</v>
      </c>
      <c r="CX69" s="59">
        <f t="shared" si="68"/>
        <v>982.21321113233375</v>
      </c>
      <c r="CY69" s="59">
        <f ca="1">AVERAGE(OFFSET($CX$3,0,0,'Données projet'!$E$13+1,1))-AVERAGE(OFFSET($H$3,0,0,'Données projet'!$E$13+1,1))</f>
        <v>508.3185483454435</v>
      </c>
      <c r="CZ69" s="59">
        <f t="shared" ref="CZ69:CZ132" si="96">$CZ$3</f>
        <v>487.08233034004945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21.546897359849662</v>
      </c>
      <c r="DG69" s="21">
        <f>EXP(-LN(2)/25)*DG68+(1-EXP(-LN(2)/25))/(LN(2)/25)*Calculateur!DB69*Calculateur!DD69*VLOOKUP('Données projet'!$B$13,Paramètres!$A$1:$I$89,3,0)*0.475*44/12</f>
        <v>7.3366784449332636</v>
      </c>
      <c r="DH69" s="21">
        <f>EXP(-LN(2)/2)*DH68+(1-EXP(-LN(2)/2))/(LN(2)/2)*DB69*DE69*VLOOKUP('Données projet'!$B$13,Paramètres!$A$1:$I$89,3,0)*0.475*44/12</f>
        <v>2.554413419479773</v>
      </c>
      <c r="DI69" s="22">
        <f t="shared" si="69"/>
        <v>31.437989224262697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5.2</v>
      </c>
      <c r="DO69" s="12">
        <f>IF('Données projet'!$A$166&gt;35,DO68+DN69-DW68,IF(A69&lt;'Données projet'!$A$166,$DL$205^A69,IF(A69='Données projet'!$A$166,'Données projet'!$B$166,DO68+DN69-DW68)))</f>
        <v>345.1999999999997</v>
      </c>
      <c r="DP69" s="17">
        <f>DO69*VLOOKUP('Données projet'!$B$14,Paramètres!$A$1:$I$89,3,0)*VLOOKUP('Données projet'!$B$14,Paramètres!$A$1:$I$89,5,0)</f>
        <v>333.87743999999969</v>
      </c>
      <c r="DQ69" s="13">
        <f t="shared" ref="DQ69:DQ132" si="97">EXP(-1.0587+0.8836*LN(DP69)+0.284)</f>
        <v>78.233652066113265</v>
      </c>
      <c r="DR69" s="20">
        <f t="shared" si="70"/>
        <v>717.76015201514667</v>
      </c>
      <c r="DS69" s="59">
        <f t="shared" si="71"/>
        <v>982.21321113233375</v>
      </c>
      <c r="DT69" s="59">
        <f ca="1">AVERAGE(OFFSET($DS$3,0,0,'Données projet'!$E$14+1,1))-AVERAGE(OFFSET($H$3,0,0,'Données projet'!$E$14+1,1))</f>
        <v>508.3185483454435</v>
      </c>
      <c r="DU69" s="59">
        <f t="shared" ref="DU69:DU132" si="98">$DU$3</f>
        <v>487.08233034004945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21.546897359849662</v>
      </c>
      <c r="EB69" s="21">
        <f>EXP(-LN(2)/25)*EB68+(1-EXP(-LN(2)/25))/(LN(2)/25)*Calculateur!DW69*Calculateur!DY69*VLOOKUP('Données projet'!$B$14,Paramètres!$A$1:$I$89,3,0)*0.475*44/12</f>
        <v>7.3366784449332636</v>
      </c>
      <c r="EC69" s="21">
        <f>EXP(-LN(2)/2)*EC68+(1-EXP(-LN(2)/2))/(LN(2)/2)*DW69*DZ69*VLOOKUP('Données projet'!$B$14,Paramètres!$A$1:$I$89,3,0)*0.475*44/12</f>
        <v>2.554413419479773</v>
      </c>
      <c r="ED69" s="22">
        <f t="shared" si="72"/>
        <v>31.437989224262697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8.6666666666666661</v>
      </c>
      <c r="N70" s="13">
        <f>IF('Données projet'!$A$36&gt;35,N69+M70-V69,IF(A70&lt;'Données projet'!$A$36,$K$205^A70,IF(A70='Données projet'!$A$36,'Données projet'!$B$36,N69+M70-V69)))</f>
        <v>256.66666666666663</v>
      </c>
      <c r="O70" s="13">
        <f>N70*VLOOKUP('Données projet'!$B$9,Paramètres!$A$1:$I$89,3,0)*VLOOKUP('Données projet'!$B$9,Paramètres!$A$1:$I$89,5,0)</f>
        <v>232.23199999999997</v>
      </c>
      <c r="P70" s="13">
        <f t="shared" si="87"/>
        <v>56.765020519538929</v>
      </c>
      <c r="Q70" s="20">
        <f t="shared" si="54"/>
        <v>503.33647740486361</v>
      </c>
      <c r="R70" s="59">
        <f t="shared" si="55"/>
        <v>768.29054471308052</v>
      </c>
      <c r="S70" s="59">
        <f ca="1">AVERAGE(OFFSET($R$3,0,0,'Données projet'!$E$9+1,1))-AVERAGE(OFFSET($H$3,0,0,'Données projet'!$E$9+1,1))</f>
        <v>569.49435820174267</v>
      </c>
      <c r="T70" s="59">
        <f t="shared" si="88"/>
        <v>295.37730858134739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23.637223888879312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23.637223888879312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8.6666666666666661</v>
      </c>
      <c r="AI70" s="13">
        <f>IF('Données projet'!$A$62&gt;35,AI69+AH70-AQ69,IF(A70&lt;'Données projet'!$A$62,$AF$205^A70,IF(A70='Données projet'!$A$62,'Données projet'!$B$62,AI69+AH70-AQ69)))</f>
        <v>256.66666666666663</v>
      </c>
      <c r="AJ70" s="13">
        <f>AI70*VLOOKUP('Données projet'!$B$10,Paramètres!$A$1:$I$89,3,0)*VLOOKUP('Données projet'!$B$10,Paramètres!$A$1:$I$89,5,0)</f>
        <v>260.26</v>
      </c>
      <c r="AK70" s="13">
        <f t="shared" si="89"/>
        <v>62.777796224993523</v>
      </c>
      <c r="AL70" s="20">
        <f t="shared" si="58"/>
        <v>562.62416175853025</v>
      </c>
      <c r="AM70" s="59">
        <f t="shared" si="59"/>
        <v>827.5782290667471</v>
      </c>
      <c r="AN70" s="59">
        <f ca="1">AVERAGE(OFFSET($AM$3,0,0,'Données projet'!$E$10+1,1))-AVERAGE(OFFSET($H$3,0,0,'Données projet'!$E$10+1,1))</f>
        <v>627.83896530587367</v>
      </c>
      <c r="AO70" s="59">
        <f t="shared" si="90"/>
        <v>323.54927030899489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26.489992289261302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26.489992289261302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350.39999999999969</v>
      </c>
      <c r="BE70" s="13">
        <f>BD70*VLOOKUP('Données projet'!$B$11,Paramètres!$A$1:$I$89,3,0)*VLOOKUP('Données projet'!$B$11,Paramètres!$A$1:$I$89,5,0)</f>
        <v>338.90687999999972</v>
      </c>
      <c r="BF70" s="13">
        <f t="shared" si="91"/>
        <v>79.274058598821043</v>
      </c>
      <c r="BG70" s="20">
        <f t="shared" si="61"/>
        <v>728.3318013929462</v>
      </c>
      <c r="BH70" s="59">
        <f t="shared" si="62"/>
        <v>993.28586870116305</v>
      </c>
      <c r="BI70" s="59">
        <f ca="1">AVERAGE(OFFSET($BH$3,0,0,'Données projet'!$E$11+1,1))-AVERAGE(OFFSET($H$3,0,0,'Données projet'!$E$11+1,1))</f>
        <v>508.3185483454435</v>
      </c>
      <c r="BJ70" s="59">
        <f t="shared" si="92"/>
        <v>487.08233034004945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21.124375844932704</v>
      </c>
      <c r="BQ70" s="21">
        <f>EXP(-LN(2)/25)*BQ69+(1-EXP(-LN(2)/25))/(LN(2)/25)*Calculateur!BL70*Calculateur!BN70*VLOOKUP('Données projet'!$B$11,Paramètres!$A$1:$I$89,3,0)*0.475*44/12</f>
        <v>7.1360565870374124</v>
      </c>
      <c r="BR70" s="21">
        <f>EXP(-LN(2)/2)*BR69+(1-EXP(-LN(2)/2))/(LN(2)/2)*BL70*BO70*VLOOKUP('Données projet'!$B$11,Paramètres!$A$1:$I$89,3,0)*0.475*44/12</f>
        <v>1.8062430508680645</v>
      </c>
      <c r="BS70" s="22">
        <f t="shared" si="63"/>
        <v>30.066675482838182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350.39999999999969</v>
      </c>
      <c r="BZ70" s="13">
        <f>BY70*VLOOKUP('Données projet'!$B$12,Paramètres!$A$1:$I$89,3,0)*VLOOKUP('Données projet'!$B$12,Paramètres!$A$1:$I$89,5,0)</f>
        <v>284.24447999999978</v>
      </c>
      <c r="CA70" s="13">
        <f t="shared" si="93"/>
        <v>67.863202591015138</v>
      </c>
      <c r="CB70" s="20">
        <f t="shared" si="64"/>
        <v>613.25421384601759</v>
      </c>
      <c r="CC70" s="59">
        <f t="shared" si="65"/>
        <v>878.20828115423456</v>
      </c>
      <c r="CD70" s="59">
        <f ca="1">AVERAGE(OFFSET($CC$3,0,0,'Données projet'!$E$12+1,1))-AVERAGE(OFFSET($H$3,0,0,'Données projet'!$E$12+1,1))</f>
        <v>436.50252985867149</v>
      </c>
      <c r="CE70" s="59">
        <f t="shared" si="94"/>
        <v>419.00806288456329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17.717218450588721</v>
      </c>
      <c r="CL70" s="21">
        <f>EXP(-LN(2)/25)*CL69+(1-EXP(-LN(2)/25))/(LN(2)/25)*Calculateur!CG70*Calculateur!CI70*VLOOKUP('Données projet'!$B$12,Paramètres!$A$1:$I$89,3,0)*0.475*44/12</f>
        <v>5.9850797181604127</v>
      </c>
      <c r="CM70" s="21">
        <f>EXP(-LN(2)/2)*CM69+(1-EXP(-LN(2)/2))/(LN(2)/2)*CG70*CJ70*VLOOKUP('Données projet'!$B$12,Paramètres!$A$1:$I$89,3,0)*0.475*44/12</f>
        <v>1.5149135265345057</v>
      </c>
      <c r="CN70" s="22">
        <f t="shared" si="66"/>
        <v>25.217211695283641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350.39999999999969</v>
      </c>
      <c r="CU70" s="17">
        <f>CT70*VLOOKUP('Données projet'!$B$13,Paramètres!$A$1:$I$89,3,0)*VLOOKUP('Données projet'!$B$13,Paramètres!$A$1:$I$89,5,0)</f>
        <v>338.90687999999972</v>
      </c>
      <c r="CV70" s="13">
        <f t="shared" si="95"/>
        <v>79.274058598821043</v>
      </c>
      <c r="CW70" s="20">
        <f t="shared" si="67"/>
        <v>728.3318013929462</v>
      </c>
      <c r="CX70" s="59">
        <f t="shared" si="68"/>
        <v>993.28586870116305</v>
      </c>
      <c r="CY70" s="59">
        <f ca="1">AVERAGE(OFFSET($CX$3,0,0,'Données projet'!$E$13+1,1))-AVERAGE(OFFSET($H$3,0,0,'Données projet'!$E$13+1,1))</f>
        <v>508.3185483454435</v>
      </c>
      <c r="CZ70" s="59">
        <f t="shared" si="96"/>
        <v>487.08233034004945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21.124375844932704</v>
      </c>
      <c r="DG70" s="21">
        <f>EXP(-LN(2)/25)*DG69+(1-EXP(-LN(2)/25))/(LN(2)/25)*Calculateur!DB70*Calculateur!DD70*VLOOKUP('Données projet'!$B$13,Paramètres!$A$1:$I$89,3,0)*0.475*44/12</f>
        <v>7.1360565870374124</v>
      </c>
      <c r="DH70" s="21">
        <f>EXP(-LN(2)/2)*DH69+(1-EXP(-LN(2)/2))/(LN(2)/2)*DB70*DE70*VLOOKUP('Données projet'!$B$13,Paramètres!$A$1:$I$89,3,0)*0.475*44/12</f>
        <v>1.8062430508680645</v>
      </c>
      <c r="DI70" s="22">
        <f t="shared" si="69"/>
        <v>30.066675482838182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5.2</v>
      </c>
      <c r="DO70" s="12">
        <f>IF('Données projet'!$A$166&gt;35,DO69+DN70-DW69,IF(A70&lt;'Données projet'!$A$166,$DL$205^A70,IF(A70='Données projet'!$A$166,'Données projet'!$B$166,DO69+DN70-DW69)))</f>
        <v>350.39999999999969</v>
      </c>
      <c r="DP70" s="17">
        <f>DO70*VLOOKUP('Données projet'!$B$14,Paramètres!$A$1:$I$89,3,0)*VLOOKUP('Données projet'!$B$14,Paramètres!$A$1:$I$89,5,0)</f>
        <v>338.90687999999972</v>
      </c>
      <c r="DQ70" s="13">
        <f t="shared" si="97"/>
        <v>79.274058598821043</v>
      </c>
      <c r="DR70" s="20">
        <f t="shared" si="70"/>
        <v>728.3318013929462</v>
      </c>
      <c r="DS70" s="59">
        <f t="shared" si="71"/>
        <v>993.28586870116305</v>
      </c>
      <c r="DT70" s="59">
        <f ca="1">AVERAGE(OFFSET($DS$3,0,0,'Données projet'!$E$14+1,1))-AVERAGE(OFFSET($H$3,0,0,'Données projet'!$E$14+1,1))</f>
        <v>508.3185483454435</v>
      </c>
      <c r="DU70" s="59">
        <f t="shared" si="98"/>
        <v>487.08233034004945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21.124375844932704</v>
      </c>
      <c r="EB70" s="21">
        <f>EXP(-LN(2)/25)*EB69+(1-EXP(-LN(2)/25))/(LN(2)/25)*Calculateur!DW70*Calculateur!DY70*VLOOKUP('Données projet'!$B$14,Paramètres!$A$1:$I$89,3,0)*0.475*44/12</f>
        <v>7.1360565870374124</v>
      </c>
      <c r="EC70" s="21">
        <f>EXP(-LN(2)/2)*EC69+(1-EXP(-LN(2)/2))/(LN(2)/2)*DW70*DZ70*VLOOKUP('Données projet'!$B$14,Paramètres!$A$1:$I$89,3,0)*0.475*44/12</f>
        <v>1.8062430508680645</v>
      </c>
      <c r="ED70" s="22">
        <f t="shared" si="72"/>
        <v>30.066675482838182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8.6666666666666661</v>
      </c>
      <c r="N71" s="13">
        <f>IF('Données projet'!$A$36&gt;35,N70+M71-V70,IF(A71&lt;'Données projet'!$A$36,$K$205^A71,IF(A71='Données projet'!$A$36,'Données projet'!$B$36,N70+M71-V70)))</f>
        <v>265.33333333333331</v>
      </c>
      <c r="O71" s="13">
        <f>N71*VLOOKUP('Données projet'!$B$9,Paramètres!$A$1:$I$89,3,0)*VLOOKUP('Données projet'!$B$9,Paramètres!$A$1:$I$89,5,0)</f>
        <v>240.07359999999997</v>
      </c>
      <c r="P71" s="13">
        <f t="shared" si="87"/>
        <v>58.455365598151033</v>
      </c>
      <c r="Q71" s="20">
        <f t="shared" si="54"/>
        <v>519.93794841677959</v>
      </c>
      <c r="R71" s="59">
        <f t="shared" si="55"/>
        <v>785.38433254399843</v>
      </c>
      <c r="S71" s="59">
        <f ca="1">AVERAGE(OFFSET($R$3,0,0,'Données projet'!$E$9+1,1))-AVERAGE(OFFSET($H$3,0,0,'Données projet'!$E$9+1,1))</f>
        <v>569.49435820174267</v>
      </c>
      <c r="T71" s="59">
        <f t="shared" si="88"/>
        <v>295.37730858134739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22.990862758610326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22.990862758610326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8.6666666666666661</v>
      </c>
      <c r="AI71" s="13">
        <f>IF('Données projet'!$A$62&gt;35,AI70+AH71-AQ70,IF(A71&lt;'Données projet'!$A$62,$AF$205^A71,IF(A71='Données projet'!$A$62,'Données projet'!$B$62,AI70+AH71-AQ70)))</f>
        <v>265.33333333333331</v>
      </c>
      <c r="AJ71" s="13">
        <f>AI71*VLOOKUP('Données projet'!$B$10,Paramètres!$A$1:$I$89,3,0)*VLOOKUP('Données projet'!$B$10,Paramètres!$A$1:$I$89,5,0)</f>
        <v>269.048</v>
      </c>
      <c r="AK71" s="13">
        <f t="shared" si="89"/>
        <v>64.647189346387862</v>
      </c>
      <c r="AL71" s="20">
        <f t="shared" si="58"/>
        <v>581.18578811162547</v>
      </c>
      <c r="AM71" s="59">
        <f t="shared" si="59"/>
        <v>846.6321722388443</v>
      </c>
      <c r="AN71" s="59">
        <f ca="1">AVERAGE(OFFSET($AM$3,0,0,'Données projet'!$E$10+1,1))-AVERAGE(OFFSET($H$3,0,0,'Données projet'!$E$10+1,1))</f>
        <v>627.83896530587367</v>
      </c>
      <c r="AO71" s="59">
        <f t="shared" si="90"/>
        <v>323.54927030899489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25.7656220570633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25.7656220570633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355.59999999999968</v>
      </c>
      <c r="BE71" s="13">
        <f>BD71*VLOOKUP('Données projet'!$B$11,Paramètres!$A$1:$I$89,3,0)*VLOOKUP('Données projet'!$B$11,Paramètres!$A$1:$I$89,5,0)</f>
        <v>343.93631999999974</v>
      </c>
      <c r="BF71" s="13">
        <f t="shared" si="91"/>
        <v>80.31266941778496</v>
      </c>
      <c r="BG71" s="20">
        <f t="shared" si="61"/>
        <v>738.90032323597507</v>
      </c>
      <c r="BH71" s="59">
        <f t="shared" si="62"/>
        <v>1004.3467073631939</v>
      </c>
      <c r="BI71" s="59">
        <f ca="1">AVERAGE(OFFSET($BH$3,0,0,'Données projet'!$E$11+1,1))-AVERAGE(OFFSET($H$3,0,0,'Données projet'!$E$11+1,1))</f>
        <v>508.3185483454435</v>
      </c>
      <c r="BJ71" s="59">
        <f t="shared" si="92"/>
        <v>487.08233034004945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20.710139719210591</v>
      </c>
      <c r="BQ71" s="21">
        <f>EXP(-LN(2)/25)*BQ70+(1-EXP(-LN(2)/25))/(LN(2)/25)*Calculateur!BL71*Calculateur!BN71*VLOOKUP('Données projet'!$B$11,Paramètres!$A$1:$I$89,3,0)*0.475*44/12</f>
        <v>6.9409207443959682</v>
      </c>
      <c r="BR71" s="21">
        <f>EXP(-LN(2)/2)*BR70+(1-EXP(-LN(2)/2))/(LN(2)/2)*BL71*BO71*VLOOKUP('Données projet'!$B$11,Paramètres!$A$1:$I$89,3,0)*0.475*44/12</f>
        <v>1.2772067097398865</v>
      </c>
      <c r="BS71" s="22">
        <f t="shared" si="63"/>
        <v>28.928267173346445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355.59999999999968</v>
      </c>
      <c r="BZ71" s="13">
        <f>BY71*VLOOKUP('Données projet'!$B$12,Paramètres!$A$1:$I$89,3,0)*VLOOKUP('Données projet'!$B$12,Paramètres!$A$1:$I$89,5,0)</f>
        <v>288.46271999999976</v>
      </c>
      <c r="CA71" s="13">
        <f t="shared" si="93"/>
        <v>68.752313829500608</v>
      </c>
      <c r="CB71" s="20">
        <f t="shared" si="64"/>
        <v>622.14951725304638</v>
      </c>
      <c r="CC71" s="59">
        <f t="shared" si="65"/>
        <v>887.59590138026522</v>
      </c>
      <c r="CD71" s="59">
        <f ca="1">AVERAGE(OFFSET($CC$3,0,0,'Données projet'!$E$12+1,1))-AVERAGE(OFFSET($H$3,0,0,'Données projet'!$E$12+1,1))</f>
        <v>436.50252985867149</v>
      </c>
      <c r="CE71" s="59">
        <f t="shared" si="94"/>
        <v>419.00806288456329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17.369794603208884</v>
      </c>
      <c r="CL71" s="21">
        <f>EXP(-LN(2)/25)*CL70+(1-EXP(-LN(2)/25))/(LN(2)/25)*Calculateur!CG71*Calculateur!CI71*VLOOKUP('Données projet'!$B$12,Paramètres!$A$1:$I$89,3,0)*0.475*44/12</f>
        <v>5.8214173985256528</v>
      </c>
      <c r="CM71" s="21">
        <f>EXP(-LN(2)/2)*CM70+(1-EXP(-LN(2)/2))/(LN(2)/2)*CG71*CJ71*VLOOKUP('Données projet'!$B$12,Paramètres!$A$1:$I$89,3,0)*0.475*44/12</f>
        <v>1.0712056275237758</v>
      </c>
      <c r="CN71" s="22">
        <f t="shared" si="66"/>
        <v>24.262417629258312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355.59999999999968</v>
      </c>
      <c r="CU71" s="17">
        <f>CT71*VLOOKUP('Données projet'!$B$13,Paramètres!$A$1:$I$89,3,0)*VLOOKUP('Données projet'!$B$13,Paramètres!$A$1:$I$89,5,0)</f>
        <v>343.93631999999974</v>
      </c>
      <c r="CV71" s="13">
        <f t="shared" si="95"/>
        <v>80.31266941778496</v>
      </c>
      <c r="CW71" s="20">
        <f t="shared" si="67"/>
        <v>738.90032323597507</v>
      </c>
      <c r="CX71" s="59">
        <f t="shared" si="68"/>
        <v>1004.3467073631939</v>
      </c>
      <c r="CY71" s="59">
        <f ca="1">AVERAGE(OFFSET($CX$3,0,0,'Données projet'!$E$13+1,1))-AVERAGE(OFFSET($H$3,0,0,'Données projet'!$E$13+1,1))</f>
        <v>508.3185483454435</v>
      </c>
      <c r="CZ71" s="59">
        <f t="shared" si="96"/>
        <v>487.08233034004945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20.710139719210591</v>
      </c>
      <c r="DG71" s="21">
        <f>EXP(-LN(2)/25)*DG70+(1-EXP(-LN(2)/25))/(LN(2)/25)*Calculateur!DB71*Calculateur!DD71*VLOOKUP('Données projet'!$B$13,Paramètres!$A$1:$I$89,3,0)*0.475*44/12</f>
        <v>6.9409207443959682</v>
      </c>
      <c r="DH71" s="21">
        <f>EXP(-LN(2)/2)*DH70+(1-EXP(-LN(2)/2))/(LN(2)/2)*DB71*DE71*VLOOKUP('Données projet'!$B$13,Paramètres!$A$1:$I$89,3,0)*0.475*44/12</f>
        <v>1.2772067097398865</v>
      </c>
      <c r="DI71" s="22">
        <f t="shared" si="69"/>
        <v>28.928267173346445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5.2</v>
      </c>
      <c r="DO71" s="12">
        <f>IF('Données projet'!$A$166&gt;35,DO70+DN71-DW70,IF(A71&lt;'Données projet'!$A$166,$DL$205^A71,IF(A71='Données projet'!$A$166,'Données projet'!$B$166,DO70+DN71-DW70)))</f>
        <v>355.59999999999968</v>
      </c>
      <c r="DP71" s="17">
        <f>DO71*VLOOKUP('Données projet'!$B$14,Paramètres!$A$1:$I$89,3,0)*VLOOKUP('Données projet'!$B$14,Paramètres!$A$1:$I$89,5,0)</f>
        <v>343.93631999999974</v>
      </c>
      <c r="DQ71" s="13">
        <f t="shared" si="97"/>
        <v>80.31266941778496</v>
      </c>
      <c r="DR71" s="20">
        <f t="shared" si="70"/>
        <v>738.90032323597507</v>
      </c>
      <c r="DS71" s="59">
        <f t="shared" si="71"/>
        <v>1004.3467073631939</v>
      </c>
      <c r="DT71" s="59">
        <f ca="1">AVERAGE(OFFSET($DS$3,0,0,'Données projet'!$E$14+1,1))-AVERAGE(OFFSET($H$3,0,0,'Données projet'!$E$14+1,1))</f>
        <v>508.3185483454435</v>
      </c>
      <c r="DU71" s="59">
        <f t="shared" si="98"/>
        <v>487.08233034004945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20.710139719210591</v>
      </c>
      <c r="EB71" s="21">
        <f>EXP(-LN(2)/25)*EB70+(1-EXP(-LN(2)/25))/(LN(2)/25)*Calculateur!DW71*Calculateur!DY71*VLOOKUP('Données projet'!$B$14,Paramètres!$A$1:$I$89,3,0)*0.475*44/12</f>
        <v>6.9409207443959682</v>
      </c>
      <c r="EC71" s="21">
        <f>EXP(-LN(2)/2)*EC70+(1-EXP(-LN(2)/2))/(LN(2)/2)*DW71*DZ71*VLOOKUP('Données projet'!$B$14,Paramètres!$A$1:$I$89,3,0)*0.475*44/12</f>
        <v>1.2772067097398865</v>
      </c>
      <c r="ED71" s="22">
        <f t="shared" si="72"/>
        <v>28.928267173346445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274</v>
      </c>
      <c r="L72" s="12">
        <f>VLOOKUP(A72,'Données projet'!$A$35:$I$55,9,0)</f>
        <v>8.6666666666666661</v>
      </c>
      <c r="M72" s="12">
        <f t="array" ref="M72">INDEX(L:L,MIN(IF(ISNUMBER(L72:L268),ROW(L72:L268),"")))</f>
        <v>8.6666666666666661</v>
      </c>
      <c r="N72" s="13">
        <f>IF('Données projet'!$A$36&gt;35,N71+M72-V71,IF(A72&lt;'Données projet'!$A$36,$K$205^A72,IF(A72='Données projet'!$A$36,'Données projet'!$B$36,N71+M72-V71)))</f>
        <v>274</v>
      </c>
      <c r="O72" s="13">
        <f>N72*VLOOKUP('Données projet'!$B$9,Paramètres!$A$1:$I$89,3,0)*VLOOKUP('Données projet'!$B$9,Paramètres!$A$1:$I$89,5,0)</f>
        <v>247.9152</v>
      </c>
      <c r="P72" s="13">
        <f t="shared" si="87"/>
        <v>60.139294964297406</v>
      </c>
      <c r="Q72" s="20">
        <f t="shared" si="54"/>
        <v>536.52824539615131</v>
      </c>
      <c r="R72" s="59">
        <f t="shared" si="55"/>
        <v>802.45840574621786</v>
      </c>
      <c r="S72" s="59">
        <f ca="1">AVERAGE(OFFSET($R$3,0,0,'Données projet'!$E$9+1,1))-AVERAGE(OFFSET($H$3,0,0,'Données projet'!$E$9+1,1))</f>
        <v>569.49435820174267</v>
      </c>
      <c r="T72" s="59">
        <f t="shared" si="88"/>
        <v>295.37730858134739</v>
      </c>
      <c r="U72" s="15">
        <f>IF(ISNA(VLOOKUP(A72,'Données projet'!$A$35:$I$55,3,0)),0,VLOOKUP(A72,'Données projet'!$A$35:$I$55,3,0))</f>
        <v>5</v>
      </c>
      <c r="V72" s="15">
        <f>IF(ISNA(VLOOKUP(A72,'Données projet'!$A$35:$I$55,4,0)),0,VLOOKUP(A72,'Données projet'!$A$35:$I$55,4,0))</f>
        <v>51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0.215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33.286510669300256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33.286510669300256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>
        <f>VLOOKUP(A72,'Données projet'!$A$61:$I$81,2,0)</f>
        <v>274</v>
      </c>
      <c r="AG72" s="12">
        <f>VLOOKUP(A72,'Données projet'!$A$61:$I$81,9,0)</f>
        <v>8.6666666666666661</v>
      </c>
      <c r="AH72" s="12">
        <f t="array" ref="AH72">INDEX(AG:AG,MIN(IF(ISNUMBER(AG72:AG268),ROW(AG72:AG268),"")))</f>
        <v>8.6666666666666661</v>
      </c>
      <c r="AI72" s="13">
        <f>IF('Données projet'!$A$62&gt;35,AI71+AH72-AQ71,IF(A72&lt;'Données projet'!$A$62,$AF$205^A72,IF(A72='Données projet'!$A$62,'Données projet'!$B$62,AI71+AH72-AQ71)))</f>
        <v>274</v>
      </c>
      <c r="AJ72" s="13">
        <f>AI72*VLOOKUP('Données projet'!$B$10,Paramètres!$A$1:$I$89,3,0)*VLOOKUP('Données projet'!$B$10,Paramètres!$A$1:$I$89,5,0)</f>
        <v>277.83600000000001</v>
      </c>
      <c r="AK72" s="13">
        <f t="shared" si="89"/>
        <v>66.509487177652318</v>
      </c>
      <c r="AL72" s="20">
        <f t="shared" si="58"/>
        <v>599.73505683441124</v>
      </c>
      <c r="AM72" s="59">
        <f t="shared" si="59"/>
        <v>865.6652171844778</v>
      </c>
      <c r="AN72" s="59">
        <f ca="1">AVERAGE(OFFSET($AM$3,0,0,'Données projet'!$E$10+1,1))-AVERAGE(OFFSET($H$3,0,0,'Données projet'!$E$10+1,1))</f>
        <v>627.83896530587367</v>
      </c>
      <c r="AO72" s="59">
        <f t="shared" si="90"/>
        <v>323.54927030899489</v>
      </c>
      <c r="AP72" s="15">
        <f>IF(ISNA(VLOOKUP(A72,'Données projet'!$A$61:$I$81,3,0)),0,VLOOKUP(A72,'Données projet'!$A$61:$I$81,3,0))</f>
        <v>5</v>
      </c>
      <c r="AQ72" s="15">
        <f>IF(ISNA(VLOOKUP(A72,'Données projet'!$A$61:$I$81,4,0)),0,VLOOKUP(A72,'Données projet'!$A$61:$I$81,4,0))</f>
        <v>51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0.215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37.303848163870981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37.303848163870981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360.79999999999967</v>
      </c>
      <c r="BE72" s="13">
        <f>BD72*VLOOKUP('Données projet'!$B$11,Paramètres!$A$1:$I$89,3,0)*VLOOKUP('Données projet'!$B$11,Paramètres!$A$1:$I$89,5,0)</f>
        <v>348.9657599999997</v>
      </c>
      <c r="BF72" s="13">
        <f t="shared" si="91"/>
        <v>81.349513815753511</v>
      </c>
      <c r="BG72" s="20">
        <f t="shared" si="61"/>
        <v>749.46576856243689</v>
      </c>
      <c r="BH72" s="59">
        <f t="shared" si="62"/>
        <v>1015.3959289125035</v>
      </c>
      <c r="BI72" s="59">
        <f ca="1">AVERAGE(OFFSET($BH$3,0,0,'Données projet'!$E$11+1,1))-AVERAGE(OFFSET($H$3,0,0,'Données projet'!$E$11+1,1))</f>
        <v>508.3185483454435</v>
      </c>
      <c r="BJ72" s="59">
        <f t="shared" si="92"/>
        <v>487.08233034004945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20.304026511254801</v>
      </c>
      <c r="BQ72" s="21">
        <f>EXP(-LN(2)/25)*BQ71+(1-EXP(-LN(2)/25))/(LN(2)/25)*Calculateur!BL72*Calculateur!BN72*VLOOKUP('Données projet'!$B$11,Paramètres!$A$1:$I$89,3,0)*0.475*44/12</f>
        <v>6.7511209016333025</v>
      </c>
      <c r="BR72" s="21">
        <f>EXP(-LN(2)/2)*BR71+(1-EXP(-LN(2)/2))/(LN(2)/2)*BL72*BO72*VLOOKUP('Données projet'!$B$11,Paramètres!$A$1:$I$89,3,0)*0.475*44/12</f>
        <v>0.90312152543403224</v>
      </c>
      <c r="BS72" s="22">
        <f t="shared" si="63"/>
        <v>27.958268938322135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360.79999999999967</v>
      </c>
      <c r="BZ72" s="13">
        <f>BY72*VLOOKUP('Données projet'!$B$12,Paramètres!$A$1:$I$89,3,0)*VLOOKUP('Données projet'!$B$12,Paramètres!$A$1:$I$89,5,0)</f>
        <v>292.68095999999974</v>
      </c>
      <c r="CA72" s="13">
        <f t="shared" si="93"/>
        <v>69.639912908926974</v>
      </c>
      <c r="CB72" s="20">
        <f t="shared" si="64"/>
        <v>631.04218698304737</v>
      </c>
      <c r="CC72" s="59">
        <f t="shared" si="65"/>
        <v>896.97234733311393</v>
      </c>
      <c r="CD72" s="59">
        <f ca="1">AVERAGE(OFFSET($CC$3,0,0,'Données projet'!$E$12+1,1))-AVERAGE(OFFSET($H$3,0,0,'Données projet'!$E$12+1,1))</f>
        <v>436.50252985867149</v>
      </c>
      <c r="CE72" s="59">
        <f t="shared" si="94"/>
        <v>419.00806288456329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17.029183525568545</v>
      </c>
      <c r="CL72" s="21">
        <f>EXP(-LN(2)/25)*CL71+(1-EXP(-LN(2)/25))/(LN(2)/25)*Calculateur!CG72*Calculateur!CI72*VLOOKUP('Données projet'!$B$12,Paramètres!$A$1:$I$89,3,0)*0.475*44/12</f>
        <v>5.6622304336279328</v>
      </c>
      <c r="CM72" s="21">
        <f>EXP(-LN(2)/2)*CM71+(1-EXP(-LN(2)/2))/(LN(2)/2)*CG72*CJ72*VLOOKUP('Données projet'!$B$12,Paramètres!$A$1:$I$89,3,0)*0.475*44/12</f>
        <v>0.75745676326725286</v>
      </c>
      <c r="CN72" s="22">
        <f t="shared" si="66"/>
        <v>23.448870722463731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360.79999999999967</v>
      </c>
      <c r="CU72" s="17">
        <f>CT72*VLOOKUP('Données projet'!$B$13,Paramètres!$A$1:$I$89,3,0)*VLOOKUP('Données projet'!$B$13,Paramètres!$A$1:$I$89,5,0)</f>
        <v>348.9657599999997</v>
      </c>
      <c r="CV72" s="13">
        <f t="shared" si="95"/>
        <v>81.349513815753511</v>
      </c>
      <c r="CW72" s="20">
        <f t="shared" si="67"/>
        <v>749.46576856243689</v>
      </c>
      <c r="CX72" s="59">
        <f t="shared" si="68"/>
        <v>1015.3959289125035</v>
      </c>
      <c r="CY72" s="59">
        <f ca="1">AVERAGE(OFFSET($CX$3,0,0,'Données projet'!$E$13+1,1))-AVERAGE(OFFSET($H$3,0,0,'Données projet'!$E$13+1,1))</f>
        <v>508.3185483454435</v>
      </c>
      <c r="CZ72" s="59">
        <f t="shared" si="96"/>
        <v>487.08233034004945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20.304026511254801</v>
      </c>
      <c r="DG72" s="21">
        <f>EXP(-LN(2)/25)*DG71+(1-EXP(-LN(2)/25))/(LN(2)/25)*Calculateur!DB72*Calculateur!DD72*VLOOKUP('Données projet'!$B$13,Paramètres!$A$1:$I$89,3,0)*0.475*44/12</f>
        <v>6.7511209016333025</v>
      </c>
      <c r="DH72" s="21">
        <f>EXP(-LN(2)/2)*DH71+(1-EXP(-LN(2)/2))/(LN(2)/2)*DB72*DE72*VLOOKUP('Données projet'!$B$13,Paramètres!$A$1:$I$89,3,0)*0.475*44/12</f>
        <v>0.90312152543403224</v>
      </c>
      <c r="DI72" s="22">
        <f t="shared" si="69"/>
        <v>27.958268938322135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5.2</v>
      </c>
      <c r="DO72" s="12">
        <f>IF('Données projet'!$A$166&gt;35,DO71+DN72-DW71,IF(A72&lt;'Données projet'!$A$166,$DL$205^A72,IF(A72='Données projet'!$A$166,'Données projet'!$B$166,DO71+DN72-DW71)))</f>
        <v>360.79999999999967</v>
      </c>
      <c r="DP72" s="17">
        <f>DO72*VLOOKUP('Données projet'!$B$14,Paramètres!$A$1:$I$89,3,0)*VLOOKUP('Données projet'!$B$14,Paramètres!$A$1:$I$89,5,0)</f>
        <v>348.9657599999997</v>
      </c>
      <c r="DQ72" s="13">
        <f t="shared" si="97"/>
        <v>81.349513815753511</v>
      </c>
      <c r="DR72" s="20">
        <f t="shared" si="70"/>
        <v>749.46576856243689</v>
      </c>
      <c r="DS72" s="59">
        <f t="shared" si="71"/>
        <v>1015.3959289125035</v>
      </c>
      <c r="DT72" s="59">
        <f ca="1">AVERAGE(OFFSET($DS$3,0,0,'Données projet'!$E$14+1,1))-AVERAGE(OFFSET($H$3,0,0,'Données projet'!$E$14+1,1))</f>
        <v>508.3185483454435</v>
      </c>
      <c r="DU72" s="59">
        <f t="shared" si="98"/>
        <v>487.08233034004945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20.304026511254801</v>
      </c>
      <c r="EB72" s="21">
        <f>EXP(-LN(2)/25)*EB71+(1-EXP(-LN(2)/25))/(LN(2)/25)*Calculateur!DW72*Calculateur!DY72*VLOOKUP('Données projet'!$B$14,Paramètres!$A$1:$I$89,3,0)*0.475*44/12</f>
        <v>6.7511209016333025</v>
      </c>
      <c r="EC72" s="21">
        <f>EXP(-LN(2)/2)*EC71+(1-EXP(-LN(2)/2))/(LN(2)/2)*DW72*DZ72*VLOOKUP('Données projet'!$B$14,Paramètres!$A$1:$I$89,3,0)*0.475*44/12</f>
        <v>0.90312152543403224</v>
      </c>
      <c r="ED72" s="22">
        <f t="shared" si="72"/>
        <v>27.958268938322135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8.1111111111111107</v>
      </c>
      <c r="N73" s="13">
        <f>IF('Données projet'!$A$36&gt;35,N72+M73-V72,IF(A73&lt;'Données projet'!$A$36,$K$205^A73,IF(A73='Données projet'!$A$36,'Données projet'!$B$36,N72+M73-V72)))</f>
        <v>231.11111111111109</v>
      </c>
      <c r="O73" s="13">
        <f>N73*VLOOKUP('Données projet'!$B$9,Paramètres!$A$1:$I$89,3,0)*VLOOKUP('Données projet'!$B$9,Paramètres!$A$1:$I$89,5,0)</f>
        <v>209.1093333333333</v>
      </c>
      <c r="P73" s="13">
        <f t="shared" si="87"/>
        <v>51.740904503189689</v>
      </c>
      <c r="Q73" s="20">
        <f t="shared" si="54"/>
        <v>454.31416423194418</v>
      </c>
      <c r="R73" s="59">
        <f t="shared" si="55"/>
        <v>720.71970836895366</v>
      </c>
      <c r="S73" s="59">
        <f ca="1">AVERAGE(OFFSET($R$3,0,0,'Données projet'!$E$9+1,1))-AVERAGE(OFFSET($H$3,0,0,'Données projet'!$E$9+1,1))</f>
        <v>569.49435820174267</v>
      </c>
      <c r="T73" s="59">
        <f t="shared" si="88"/>
        <v>295.37730858134739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32.376289284586719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32.376289284586719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8.1111111111111107</v>
      </c>
      <c r="AI73" s="13">
        <f>IF('Données projet'!$A$62&gt;35,AI72+AH73-AQ72,IF(A73&lt;'Données projet'!$A$62,$AF$205^A73,IF(A73='Données projet'!$A$62,'Données projet'!$B$62,AI72+AH73-AQ72)))</f>
        <v>231.11111111111109</v>
      </c>
      <c r="AJ73" s="13">
        <f>AI73*VLOOKUP('Données projet'!$B$10,Paramètres!$A$1:$I$89,3,0)*VLOOKUP('Données projet'!$B$10,Paramètres!$A$1:$I$89,5,0)</f>
        <v>234.34666666666664</v>
      </c>
      <c r="AK73" s="13">
        <f t="shared" si="89"/>
        <v>57.22150594977844</v>
      </c>
      <c r="AL73" s="20">
        <f t="shared" si="58"/>
        <v>507.81456730697511</v>
      </c>
      <c r="AM73" s="59">
        <f t="shared" si="59"/>
        <v>774.22011144398459</v>
      </c>
      <c r="AN73" s="59">
        <f ca="1">AVERAGE(OFFSET($AM$3,0,0,'Données projet'!$E$10+1,1))-AVERAGE(OFFSET($H$3,0,0,'Données projet'!$E$10+1,1))</f>
        <v>627.83896530587367</v>
      </c>
      <c r="AO73" s="59">
        <f t="shared" si="90"/>
        <v>323.54927030899489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36.283772474105817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36.283772474105817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365.99999999999966</v>
      </c>
      <c r="BE73" s="13">
        <f>BD73*VLOOKUP('Données projet'!$B$11,Paramètres!$A$1:$I$89,3,0)*VLOOKUP('Données projet'!$B$11,Paramètres!$A$1:$I$89,5,0)</f>
        <v>353.99519999999967</v>
      </c>
      <c r="BF73" s="13">
        <f t="shared" si="91"/>
        <v>82.384620192632156</v>
      </c>
      <c r="BG73" s="20">
        <f t="shared" si="61"/>
        <v>760.02818683550049</v>
      </c>
      <c r="BH73" s="59">
        <f t="shared" si="62"/>
        <v>1026.4337309725099</v>
      </c>
      <c r="BI73" s="59">
        <f ca="1">AVERAGE(OFFSET($BH$3,0,0,'Données projet'!$E$11+1,1))-AVERAGE(OFFSET($H$3,0,0,'Données projet'!$E$11+1,1))</f>
        <v>508.3185483454435</v>
      </c>
      <c r="BJ73" s="59">
        <f t="shared" si="92"/>
        <v>487.08233034004945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15</v>
      </c>
      <c r="BM73" s="16">
        <f>IF(ISNA(VLOOKUP(A73,'Données projet'!$A$87:$I$107,5,0)),0%,VLOOKUP(A73,'Données projet'!$A$87:$I$107,5,0)*VLOOKUP('Données projet'!$B$11,Paramètres!$A$1:$I$89,7,0))</f>
        <v>0.30099999999999999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24.733364379747901</v>
      </c>
      <c r="BQ73" s="21">
        <f>EXP(-LN(2)/25)*BQ72+(1-EXP(-LN(2)/25))/(LN(2)/25)*Calculateur!BL73*Calculateur!BN73*VLOOKUP('Données projet'!$B$11,Paramètres!$A$1:$I$89,3,0)*0.475*44/12</f>
        <v>6.5665111455521217</v>
      </c>
      <c r="BR73" s="21">
        <f>EXP(-LN(2)/2)*BR72+(1-EXP(-LN(2)/2))/(LN(2)/2)*BL73*BO73*VLOOKUP('Données projet'!$B$11,Paramètres!$A$1:$I$89,3,0)*0.475*44/12</f>
        <v>3.3763410502889384</v>
      </c>
      <c r="BS73" s="22">
        <f t="shared" si="63"/>
        <v>34.67621657558896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365.99999999999966</v>
      </c>
      <c r="BZ73" s="13">
        <f>BY73*VLOOKUP('Données projet'!$B$12,Paramètres!$A$1:$I$89,3,0)*VLOOKUP('Données projet'!$B$12,Paramètres!$A$1:$I$89,5,0)</f>
        <v>296.89919999999972</v>
      </c>
      <c r="CA73" s="13">
        <f t="shared" si="93"/>
        <v>70.526024141264102</v>
      </c>
      <c r="CB73" s="20">
        <f t="shared" si="64"/>
        <v>639.93226537936778</v>
      </c>
      <c r="CC73" s="59">
        <f t="shared" si="65"/>
        <v>906.33780951637732</v>
      </c>
      <c r="CD73" s="59">
        <f ca="1">AVERAGE(OFFSET($CC$3,0,0,'Données projet'!$E$12+1,1))-AVERAGE(OFFSET($H$3,0,0,'Données projet'!$E$12+1,1))</f>
        <v>436.50252985867149</v>
      </c>
      <c r="CE73" s="59">
        <f t="shared" si="94"/>
        <v>419.00806288456329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0.30099999999999999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0.2</v>
      </c>
      <c r="CK73" s="21">
        <f>EXP(-LN(2)/35)*CK72+(1-EXP(-LN(2)/35))/(LN(2)/35)*CG73*CH73*VLOOKUP('Données projet'!$B$12,Paramètres!$A$1:$I$89,3,0)*0.475*44/12</f>
        <v>20.744112060433729</v>
      </c>
      <c r="CL73" s="21">
        <f>EXP(-LN(2)/25)*CL72+(1-EXP(-LN(2)/25))/(LN(2)/25)*Calculateur!CG73*Calculateur!CI73*VLOOKUP('Données projet'!$B$12,Paramètres!$A$1:$I$89,3,0)*0.475*44/12</f>
        <v>5.5073964446566199</v>
      </c>
      <c r="CM73" s="21">
        <f>EXP(-LN(2)/2)*CM72+(1-EXP(-LN(2)/2))/(LN(2)/2)*CG73*CJ73*VLOOKUP('Données projet'!$B$12,Paramètres!$A$1:$I$89,3,0)*0.475*44/12</f>
        <v>2.8317699131455609</v>
      </c>
      <c r="CN73" s="22">
        <f t="shared" si="66"/>
        <v>29.08327841823591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366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365.99999999999966</v>
      </c>
      <c r="CU73" s="17">
        <f>CT73*VLOOKUP('Données projet'!$B$13,Paramètres!$A$1:$I$89,3,0)*VLOOKUP('Données projet'!$B$13,Paramètres!$A$1:$I$89,5,0)</f>
        <v>353.99519999999967</v>
      </c>
      <c r="CV73" s="13">
        <f t="shared" si="95"/>
        <v>82.384620192632156</v>
      </c>
      <c r="CW73" s="20">
        <f t="shared" si="67"/>
        <v>760.02818683550049</v>
      </c>
      <c r="CX73" s="59">
        <f t="shared" si="68"/>
        <v>1026.4337309725099</v>
      </c>
      <c r="CY73" s="59">
        <f ca="1">AVERAGE(OFFSET($CX$3,0,0,'Données projet'!$E$13+1,1))-AVERAGE(OFFSET($H$3,0,0,'Données projet'!$E$13+1,1))</f>
        <v>508.3185483454435</v>
      </c>
      <c r="CZ73" s="59">
        <f t="shared" si="96"/>
        <v>487.08233034004945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15</v>
      </c>
      <c r="DC73" s="16">
        <f>IF(ISNA(VLOOKUP(A73,'Données projet'!$A$139:$I$159,5,0)),0%,VLOOKUP(A73,'Données projet'!$A$139:$I$159,5,0)*VLOOKUP('Données projet'!$B$13,Paramètres!$A$1:$I$89,7,0))</f>
        <v>0.30099999999999999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0.2</v>
      </c>
      <c r="DF73" s="21">
        <f>EXP(-LN(2)/35)*DF72+(1-EXP(-LN(2)/35))/(LN(2)/35)*DB73*DC73*VLOOKUP('Données projet'!$B$13,Paramètres!$A$1:$I$89,3,0)*0.475*44/12</f>
        <v>24.733364379747901</v>
      </c>
      <c r="DG73" s="21">
        <f>EXP(-LN(2)/25)*DG72+(1-EXP(-LN(2)/25))/(LN(2)/25)*Calculateur!DB73*Calculateur!DD73*VLOOKUP('Données projet'!$B$13,Paramètres!$A$1:$I$89,3,0)*0.475*44/12</f>
        <v>6.5665111455521217</v>
      </c>
      <c r="DH73" s="21">
        <f>EXP(-LN(2)/2)*DH72+(1-EXP(-LN(2)/2))/(LN(2)/2)*DB73*DE73*VLOOKUP('Données projet'!$B$13,Paramètres!$A$1:$I$89,3,0)*0.475*44/12</f>
        <v>3.3763410502889384</v>
      </c>
      <c r="DI73" s="22">
        <f t="shared" si="69"/>
        <v>34.67621657558896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366</v>
      </c>
      <c r="DM73" s="12">
        <f>VLOOKUP(A73,'Données projet'!$A$165:$I$185,9,0)</f>
        <v>5.2</v>
      </c>
      <c r="DN73" s="12">
        <f t="array" ref="DN73">INDEX(DM:DM,MIN(IF(ISNUMBER(DM73:DM269),ROW(DM73:DM269),"")))</f>
        <v>5.2</v>
      </c>
      <c r="DO73" s="12">
        <f>IF('Données projet'!$A$166&gt;35,DO72+DN73-DW72,IF(A73&lt;'Données projet'!$A$166,$DL$205^A73,IF(A73='Données projet'!$A$166,'Données projet'!$B$166,DO72+DN73-DW72)))</f>
        <v>365.99999999999966</v>
      </c>
      <c r="DP73" s="17">
        <f>DO73*VLOOKUP('Données projet'!$B$14,Paramètres!$A$1:$I$89,3,0)*VLOOKUP('Données projet'!$B$14,Paramètres!$A$1:$I$89,5,0)</f>
        <v>353.99519999999967</v>
      </c>
      <c r="DQ73" s="13">
        <f t="shared" si="97"/>
        <v>82.384620192632156</v>
      </c>
      <c r="DR73" s="20">
        <f t="shared" si="70"/>
        <v>760.02818683550049</v>
      </c>
      <c r="DS73" s="59">
        <f t="shared" si="71"/>
        <v>1026.4337309725099</v>
      </c>
      <c r="DT73" s="59">
        <f ca="1">AVERAGE(OFFSET($DS$3,0,0,'Données projet'!$E$14+1,1))-AVERAGE(OFFSET($H$3,0,0,'Données projet'!$E$14+1,1))</f>
        <v>508.3185483454435</v>
      </c>
      <c r="DU73" s="59">
        <f t="shared" si="98"/>
        <v>487.08233034004945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15</v>
      </c>
      <c r="DX73" s="16">
        <f>IF(ISNA(VLOOKUP(A73,'Données projet'!$A$165:$I$185,5,0)),0%,VLOOKUP(A73,'Données projet'!$A$165:$I$185,5,0)*VLOOKUP('Données projet'!$B$14,Paramètres!$A$1:$I$89,7,0))</f>
        <v>0.30099999999999999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0.2</v>
      </c>
      <c r="EA73" s="21">
        <f>EXP(-LN(2)/35)*EA72+(1-EXP(-LN(2)/35))/(LN(2)/35)*DW73*DX73*VLOOKUP('Données projet'!$B$14,Paramètres!$A$1:$I$89,3,0)*0.475*44/12</f>
        <v>24.733364379747901</v>
      </c>
      <c r="EB73" s="21">
        <f>EXP(-LN(2)/25)*EB72+(1-EXP(-LN(2)/25))/(LN(2)/25)*Calculateur!DW73*Calculateur!DY73*VLOOKUP('Données projet'!$B$14,Paramètres!$A$1:$I$89,3,0)*0.475*44/12</f>
        <v>6.5665111455521217</v>
      </c>
      <c r="EC73" s="21">
        <f>EXP(-LN(2)/2)*EC72+(1-EXP(-LN(2)/2))/(LN(2)/2)*DW73*DZ73*VLOOKUP('Données projet'!$B$14,Paramètres!$A$1:$I$89,3,0)*0.475*44/12</f>
        <v>3.3763410502889384</v>
      </c>
      <c r="ED73" s="22">
        <f t="shared" si="72"/>
        <v>34.67621657558896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8.1111111111111107</v>
      </c>
      <c r="N74" s="13">
        <f>IF('Données projet'!$A$36&gt;35,N73+M74-V73,IF(A74&lt;'Données projet'!$A$36,$K$205^A74,IF(A74='Données projet'!$A$36,'Données projet'!$B$36,N73+M74-V73)))</f>
        <v>239.2222222222222</v>
      </c>
      <c r="O74" s="13">
        <f>N74*VLOOKUP('Données projet'!$B$9,Paramètres!$A$1:$I$89,3,0)*VLOOKUP('Données projet'!$B$9,Paramètres!$A$1:$I$89,5,0)</f>
        <v>216.44826666666665</v>
      </c>
      <c r="P74" s="13">
        <f t="shared" si="87"/>
        <v>53.342204311943696</v>
      </c>
      <c r="Q74" s="20">
        <f t="shared" si="54"/>
        <v>469.88507028774637</v>
      </c>
      <c r="R74" s="59">
        <f t="shared" si="55"/>
        <v>736.75775136579432</v>
      </c>
      <c r="S74" s="59">
        <f ca="1">AVERAGE(OFFSET($R$3,0,0,'Données projet'!$E$9+1,1))-AVERAGE(OFFSET($H$3,0,0,'Données projet'!$E$9+1,1))</f>
        <v>569.49435820174267</v>
      </c>
      <c r="T74" s="59">
        <f t="shared" si="88"/>
        <v>295.37730858134739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31.490957951504637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31.490957951504637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8.1111111111111107</v>
      </c>
      <c r="AI74" s="13">
        <f>IF('Données projet'!$A$62&gt;35,AI73+AH74-AQ73,IF(A74&lt;'Données projet'!$A$62,$AF$205^A74,IF(A74='Données projet'!$A$62,'Données projet'!$B$62,AI73+AH74-AQ73)))</f>
        <v>239.2222222222222</v>
      </c>
      <c r="AJ74" s="13">
        <f>AI74*VLOOKUP('Données projet'!$B$10,Paramètres!$A$1:$I$89,3,0)*VLOOKUP('Données projet'!$B$10,Paramètres!$A$1:$I$89,5,0)</f>
        <v>242.57133333333334</v>
      </c>
      <c r="AK74" s="13">
        <f t="shared" si="89"/>
        <v>58.992421773802171</v>
      </c>
      <c r="AL74" s="20">
        <f t="shared" si="58"/>
        <v>525.22354014492771</v>
      </c>
      <c r="AM74" s="59">
        <f t="shared" si="59"/>
        <v>792.0962212229756</v>
      </c>
      <c r="AN74" s="59">
        <f ca="1">AVERAGE(OFFSET($AM$3,0,0,'Données projet'!$E$10+1,1))-AVERAGE(OFFSET($H$3,0,0,'Données projet'!$E$10+1,1))</f>
        <v>627.83896530587367</v>
      </c>
      <c r="AO74" s="59">
        <f t="shared" si="90"/>
        <v>323.54927030899489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35.291590807720723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35.291590807720723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355.79999999999967</v>
      </c>
      <c r="BE74" s="13">
        <f>BD74*VLOOKUP('Données projet'!$B$11,Paramètres!$A$1:$I$89,3,0)*VLOOKUP('Données projet'!$B$11,Paramètres!$A$1:$I$89,5,0)</f>
        <v>344.12975999999969</v>
      </c>
      <c r="BF74" s="13">
        <f t="shared" si="91"/>
        <v>80.3525805270543</v>
      </c>
      <c r="BG74" s="20">
        <f t="shared" si="61"/>
        <v>739.30674308461903</v>
      </c>
      <c r="BH74" s="59">
        <f t="shared" si="62"/>
        <v>1006.1794241626669</v>
      </c>
      <c r="BI74" s="59">
        <f ca="1">AVERAGE(OFFSET($BH$3,0,0,'Données projet'!$E$11+1,1))-AVERAGE(OFFSET($H$3,0,0,'Données projet'!$E$11+1,1))</f>
        <v>508.3185483454435</v>
      </c>
      <c r="BJ74" s="59">
        <f t="shared" si="92"/>
        <v>487.08233034004945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24.24835819012371</v>
      </c>
      <c r="BQ74" s="21">
        <f>EXP(-LN(2)/25)*BQ73+(1-EXP(-LN(2)/25))/(LN(2)/25)*Calculateur!BL74*Calculateur!BN74*VLOOKUP('Données projet'!$B$11,Paramètres!$A$1:$I$89,3,0)*0.475*44/12</f>
        <v>6.3869495529591855</v>
      </c>
      <c r="BR74" s="21">
        <f>EXP(-LN(2)/2)*BR73+(1-EXP(-LN(2)/2))/(LN(2)/2)*BL74*BO74*VLOOKUP('Données projet'!$B$11,Paramètres!$A$1:$I$89,3,0)*0.475*44/12</f>
        <v>2.3874336522578186</v>
      </c>
      <c r="BS74" s="22">
        <f t="shared" si="63"/>
        <v>33.022741395340717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355.79999999999967</v>
      </c>
      <c r="BZ74" s="13">
        <f>BY74*VLOOKUP('Données projet'!$B$12,Paramètres!$A$1:$I$89,3,0)*VLOOKUP('Données projet'!$B$12,Paramètres!$A$1:$I$89,5,0)</f>
        <v>288.62495999999976</v>
      </c>
      <c r="CA74" s="13">
        <f t="shared" si="93"/>
        <v>68.786480059183503</v>
      </c>
      <c r="CB74" s="20">
        <f t="shared" si="64"/>
        <v>622.49159143641089</v>
      </c>
      <c r="CC74" s="59">
        <f t="shared" si="65"/>
        <v>889.36427251445889</v>
      </c>
      <c r="CD74" s="59">
        <f ca="1">AVERAGE(OFFSET($CC$3,0,0,'Données projet'!$E$12+1,1))-AVERAGE(OFFSET($H$3,0,0,'Données projet'!$E$12+1,1))</f>
        <v>436.50252985867149</v>
      </c>
      <c r="CE74" s="59">
        <f t="shared" si="94"/>
        <v>419.00806288456329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20.337332675587632</v>
      </c>
      <c r="CL74" s="21">
        <f>EXP(-LN(2)/25)*CL73+(1-EXP(-LN(2)/25))/(LN(2)/25)*Calculateur!CG74*Calculateur!CI74*VLOOKUP('Données projet'!$B$12,Paramètres!$A$1:$I$89,3,0)*0.475*44/12</f>
        <v>5.3567963992560932</v>
      </c>
      <c r="CM74" s="21">
        <f>EXP(-LN(2)/2)*CM73+(1-EXP(-LN(2)/2))/(LN(2)/2)*CG74*CJ74*VLOOKUP('Données projet'!$B$12,Paramètres!$A$1:$I$89,3,0)*0.475*44/12</f>
        <v>2.0023637083452668</v>
      </c>
      <c r="CN74" s="22">
        <f t="shared" si="66"/>
        <v>27.696492783188994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355.79999999999967</v>
      </c>
      <c r="CU74" s="17">
        <f>CT74*VLOOKUP('Données projet'!$B$13,Paramètres!$A$1:$I$89,3,0)*VLOOKUP('Données projet'!$B$13,Paramètres!$A$1:$I$89,5,0)</f>
        <v>344.12975999999969</v>
      </c>
      <c r="CV74" s="13">
        <f t="shared" si="95"/>
        <v>80.3525805270543</v>
      </c>
      <c r="CW74" s="20">
        <f t="shared" si="67"/>
        <v>739.30674308461903</v>
      </c>
      <c r="CX74" s="59">
        <f t="shared" si="68"/>
        <v>1006.1794241626669</v>
      </c>
      <c r="CY74" s="59">
        <f ca="1">AVERAGE(OFFSET($CX$3,0,0,'Données projet'!$E$13+1,1))-AVERAGE(OFFSET($H$3,0,0,'Données projet'!$E$13+1,1))</f>
        <v>508.3185483454435</v>
      </c>
      <c r="CZ74" s="59">
        <f t="shared" si="96"/>
        <v>487.08233034004945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24.24835819012371</v>
      </c>
      <c r="DG74" s="21">
        <f>EXP(-LN(2)/25)*DG73+(1-EXP(-LN(2)/25))/(LN(2)/25)*Calculateur!DB74*Calculateur!DD74*VLOOKUP('Données projet'!$B$13,Paramètres!$A$1:$I$89,3,0)*0.475*44/12</f>
        <v>6.3869495529591855</v>
      </c>
      <c r="DH74" s="21">
        <f>EXP(-LN(2)/2)*DH73+(1-EXP(-LN(2)/2))/(LN(2)/2)*DB74*DE74*VLOOKUP('Données projet'!$B$13,Paramètres!$A$1:$I$89,3,0)*0.475*44/12</f>
        <v>2.3874336522578186</v>
      </c>
      <c r="DI74" s="22">
        <f t="shared" si="69"/>
        <v>33.022741395340717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4.8</v>
      </c>
      <c r="DO74" s="12">
        <f>IF('Données projet'!$A$166&gt;35,DO73+DN74-DW73,IF(A74&lt;'Données projet'!$A$166,$DL$205^A74,IF(A74='Données projet'!$A$166,'Données projet'!$B$166,DO73+DN74-DW73)))</f>
        <v>355.79999999999967</v>
      </c>
      <c r="DP74" s="17">
        <f>DO74*VLOOKUP('Données projet'!$B$14,Paramètres!$A$1:$I$89,3,0)*VLOOKUP('Données projet'!$B$14,Paramètres!$A$1:$I$89,5,0)</f>
        <v>344.12975999999969</v>
      </c>
      <c r="DQ74" s="13">
        <f t="shared" si="97"/>
        <v>80.3525805270543</v>
      </c>
      <c r="DR74" s="20">
        <f t="shared" si="70"/>
        <v>739.30674308461903</v>
      </c>
      <c r="DS74" s="59">
        <f t="shared" si="71"/>
        <v>1006.1794241626669</v>
      </c>
      <c r="DT74" s="59">
        <f ca="1">AVERAGE(OFFSET($DS$3,0,0,'Données projet'!$E$14+1,1))-AVERAGE(OFFSET($H$3,0,0,'Données projet'!$E$14+1,1))</f>
        <v>508.3185483454435</v>
      </c>
      <c r="DU74" s="59">
        <f t="shared" si="98"/>
        <v>487.08233034004945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24.24835819012371</v>
      </c>
      <c r="EB74" s="21">
        <f>EXP(-LN(2)/25)*EB73+(1-EXP(-LN(2)/25))/(LN(2)/25)*Calculateur!DW74*Calculateur!DY74*VLOOKUP('Données projet'!$B$14,Paramètres!$A$1:$I$89,3,0)*0.475*44/12</f>
        <v>6.3869495529591855</v>
      </c>
      <c r="EC74" s="21">
        <f>EXP(-LN(2)/2)*EC73+(1-EXP(-LN(2)/2))/(LN(2)/2)*DW74*DZ74*VLOOKUP('Données projet'!$B$14,Paramètres!$A$1:$I$89,3,0)*0.475*44/12</f>
        <v>2.3874336522578186</v>
      </c>
      <c r="ED74" s="22">
        <f t="shared" si="72"/>
        <v>33.022741395340717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8.1111111111111107</v>
      </c>
      <c r="N75" s="13">
        <f>IF('Données projet'!$A$36&gt;35,N74+M75-V74,IF(A75&lt;'Données projet'!$A$36,$K$205^A75,IF(A75='Données projet'!$A$36,'Données projet'!$B$36,N74+M75-V74)))</f>
        <v>247.33333333333331</v>
      </c>
      <c r="O75" s="13">
        <f>N75*VLOOKUP('Données projet'!$B$9,Paramètres!$A$1:$I$89,3,0)*VLOOKUP('Données projet'!$B$9,Paramètres!$A$1:$I$89,5,0)</f>
        <v>223.78719999999998</v>
      </c>
      <c r="P75" s="13">
        <f t="shared" si="87"/>
        <v>54.937195482089855</v>
      </c>
      <c r="Q75" s="20">
        <f t="shared" si="54"/>
        <v>485.44498879797311</v>
      </c>
      <c r="R75" s="59">
        <f t="shared" si="55"/>
        <v>752.77670303549417</v>
      </c>
      <c r="S75" s="59">
        <f ca="1">AVERAGE(OFFSET($R$3,0,0,'Données projet'!$E$9+1,1))-AVERAGE(OFFSET($H$3,0,0,'Données projet'!$E$9+1,1))</f>
        <v>569.49435820174267</v>
      </c>
      <c r="T75" s="59">
        <f t="shared" si="88"/>
        <v>295.37730858134739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30.629836050283238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30.629836050283238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8.1111111111111107</v>
      </c>
      <c r="AI75" s="13">
        <f>IF('Données projet'!$A$62&gt;35,AI74+AH75-AQ74,IF(A75&lt;'Données projet'!$A$62,$AF$205^A75,IF(A75='Données projet'!$A$62,'Données projet'!$B$62,AI74+AH75-AQ74)))</f>
        <v>247.33333333333331</v>
      </c>
      <c r="AJ75" s="13">
        <f>AI75*VLOOKUP('Données projet'!$B$10,Paramètres!$A$1:$I$89,3,0)*VLOOKUP('Données projet'!$B$10,Paramètres!$A$1:$I$89,5,0)</f>
        <v>250.79599999999999</v>
      </c>
      <c r="AK75" s="13">
        <f t="shared" si="89"/>
        <v>60.756360723240782</v>
      </c>
      <c r="AL75" s="20">
        <f t="shared" si="58"/>
        <v>542.6203615929777</v>
      </c>
      <c r="AM75" s="59">
        <f t="shared" si="59"/>
        <v>809.95207583049887</v>
      </c>
      <c r="AN75" s="59">
        <f ca="1">AVERAGE(OFFSET($AM$3,0,0,'Données projet'!$E$10+1,1))-AVERAGE(OFFSET($H$3,0,0,'Données projet'!$E$10+1,1))</f>
        <v>627.83896530587367</v>
      </c>
      <c r="AO75" s="59">
        <f t="shared" si="90"/>
        <v>323.54927030899489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34.3265404011795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34.3265404011795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360.59999999999968</v>
      </c>
      <c r="BE75" s="13">
        <f>BD75*VLOOKUP('Données projet'!$B$11,Paramètres!$A$1:$I$89,3,0)*VLOOKUP('Données projet'!$B$11,Paramètres!$A$1:$I$89,5,0)</f>
        <v>348.7723199999997</v>
      </c>
      <c r="BF75" s="13">
        <f t="shared" si="91"/>
        <v>81.309667502080231</v>
      </c>
      <c r="BG75" s="20">
        <f t="shared" si="61"/>
        <v>749.05946156612254</v>
      </c>
      <c r="BH75" s="59">
        <f t="shared" si="62"/>
        <v>1016.3911758036436</v>
      </c>
      <c r="BI75" s="59">
        <f ca="1">AVERAGE(OFFSET($BH$3,0,0,'Données projet'!$E$11+1,1))-AVERAGE(OFFSET($H$3,0,0,'Données projet'!$E$11+1,1))</f>
        <v>508.3185483454435</v>
      </c>
      <c r="BJ75" s="59">
        <f t="shared" si="92"/>
        <v>487.08233034004945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23.772862676053485</v>
      </c>
      <c r="BQ75" s="21">
        <f>EXP(-LN(2)/25)*BQ74+(1-EXP(-LN(2)/25))/(LN(2)/25)*Calculateur!BL75*Calculateur!BN75*VLOOKUP('Données projet'!$B$11,Paramètres!$A$1:$I$89,3,0)*0.475*44/12</f>
        <v>6.212298081558437</v>
      </c>
      <c r="BR75" s="21">
        <f>EXP(-LN(2)/2)*BR74+(1-EXP(-LN(2)/2))/(LN(2)/2)*BL75*BO75*VLOOKUP('Données projet'!$B$11,Paramètres!$A$1:$I$89,3,0)*0.475*44/12</f>
        <v>1.6881705251444694</v>
      </c>
      <c r="BS75" s="22">
        <f t="shared" si="63"/>
        <v>31.67333128275639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360.59999999999968</v>
      </c>
      <c r="BZ75" s="13">
        <f>BY75*VLOOKUP('Données projet'!$B$12,Paramètres!$A$1:$I$89,3,0)*VLOOKUP('Données projet'!$B$12,Paramètres!$A$1:$I$89,5,0)</f>
        <v>292.51871999999975</v>
      </c>
      <c r="CA75" s="13">
        <f t="shared" si="93"/>
        <v>69.60580214804105</v>
      </c>
      <c r="CB75" s="20">
        <f t="shared" si="64"/>
        <v>630.70020940783763</v>
      </c>
      <c r="CC75" s="59">
        <f t="shared" si="65"/>
        <v>898.0319236453588</v>
      </c>
      <c r="CD75" s="59">
        <f ca="1">AVERAGE(OFFSET($CC$3,0,0,'Données projet'!$E$12+1,1))-AVERAGE(OFFSET($H$3,0,0,'Données projet'!$E$12+1,1))</f>
        <v>436.50252985867149</v>
      </c>
      <c r="CE75" s="59">
        <f t="shared" si="94"/>
        <v>419.00806288456329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19.938529986367442</v>
      </c>
      <c r="CL75" s="21">
        <f>EXP(-LN(2)/25)*CL74+(1-EXP(-LN(2)/25))/(LN(2)/25)*Calculateur!CG75*Calculateur!CI75*VLOOKUP('Données projet'!$B$12,Paramètres!$A$1:$I$89,3,0)*0.475*44/12</f>
        <v>5.2103145200167562</v>
      </c>
      <c r="CM75" s="21">
        <f>EXP(-LN(2)/2)*CM74+(1-EXP(-LN(2)/2))/(LN(2)/2)*CG75*CJ75*VLOOKUP('Données projet'!$B$12,Paramètres!$A$1:$I$89,3,0)*0.475*44/12</f>
        <v>1.4158849565727805</v>
      </c>
      <c r="CN75" s="22">
        <f t="shared" si="66"/>
        <v>26.564729462956979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360.59999999999968</v>
      </c>
      <c r="CU75" s="17">
        <f>CT75*VLOOKUP('Données projet'!$B$13,Paramètres!$A$1:$I$89,3,0)*VLOOKUP('Données projet'!$B$13,Paramètres!$A$1:$I$89,5,0)</f>
        <v>348.7723199999997</v>
      </c>
      <c r="CV75" s="13">
        <f t="shared" si="95"/>
        <v>81.309667502080231</v>
      </c>
      <c r="CW75" s="20">
        <f t="shared" si="67"/>
        <v>749.05946156612254</v>
      </c>
      <c r="CX75" s="59">
        <f t="shared" si="68"/>
        <v>1016.3911758036436</v>
      </c>
      <c r="CY75" s="59">
        <f ca="1">AVERAGE(OFFSET($CX$3,0,0,'Données projet'!$E$13+1,1))-AVERAGE(OFFSET($H$3,0,0,'Données projet'!$E$13+1,1))</f>
        <v>508.3185483454435</v>
      </c>
      <c r="CZ75" s="59">
        <f t="shared" si="96"/>
        <v>487.08233034004945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23.772862676053485</v>
      </c>
      <c r="DG75" s="21">
        <f>EXP(-LN(2)/25)*DG74+(1-EXP(-LN(2)/25))/(LN(2)/25)*Calculateur!DB75*Calculateur!DD75*VLOOKUP('Données projet'!$B$13,Paramètres!$A$1:$I$89,3,0)*0.475*44/12</f>
        <v>6.212298081558437</v>
      </c>
      <c r="DH75" s="21">
        <f>EXP(-LN(2)/2)*DH74+(1-EXP(-LN(2)/2))/(LN(2)/2)*DB75*DE75*VLOOKUP('Données projet'!$B$13,Paramètres!$A$1:$I$89,3,0)*0.475*44/12</f>
        <v>1.6881705251444694</v>
      </c>
      <c r="DI75" s="22">
        <f t="shared" si="69"/>
        <v>31.67333128275639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4.8</v>
      </c>
      <c r="DO75" s="12">
        <f>IF('Données projet'!$A$166&gt;35,DO74+DN75-DW74,IF(A75&lt;'Données projet'!$A$166,$DL$205^A75,IF(A75='Données projet'!$A$166,'Données projet'!$B$166,DO74+DN75-DW74)))</f>
        <v>360.59999999999968</v>
      </c>
      <c r="DP75" s="17">
        <f>DO75*VLOOKUP('Données projet'!$B$14,Paramètres!$A$1:$I$89,3,0)*VLOOKUP('Données projet'!$B$14,Paramètres!$A$1:$I$89,5,0)</f>
        <v>348.7723199999997</v>
      </c>
      <c r="DQ75" s="13">
        <f t="shared" si="97"/>
        <v>81.309667502080231</v>
      </c>
      <c r="DR75" s="20">
        <f t="shared" si="70"/>
        <v>749.05946156612254</v>
      </c>
      <c r="DS75" s="59">
        <f t="shared" si="71"/>
        <v>1016.3911758036436</v>
      </c>
      <c r="DT75" s="59">
        <f ca="1">AVERAGE(OFFSET($DS$3,0,0,'Données projet'!$E$14+1,1))-AVERAGE(OFFSET($H$3,0,0,'Données projet'!$E$14+1,1))</f>
        <v>508.3185483454435</v>
      </c>
      <c r="DU75" s="59">
        <f t="shared" si="98"/>
        <v>487.08233034004945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23.772862676053485</v>
      </c>
      <c r="EB75" s="21">
        <f>EXP(-LN(2)/25)*EB74+(1-EXP(-LN(2)/25))/(LN(2)/25)*Calculateur!DW75*Calculateur!DY75*VLOOKUP('Données projet'!$B$14,Paramètres!$A$1:$I$89,3,0)*0.475*44/12</f>
        <v>6.212298081558437</v>
      </c>
      <c r="EC75" s="21">
        <f>EXP(-LN(2)/2)*EC74+(1-EXP(-LN(2)/2))/(LN(2)/2)*DW75*DZ75*VLOOKUP('Données projet'!$B$14,Paramètres!$A$1:$I$89,3,0)*0.475*44/12</f>
        <v>1.6881705251444694</v>
      </c>
      <c r="ED75" s="22">
        <f t="shared" si="72"/>
        <v>31.67333128275639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8.1111111111111107</v>
      </c>
      <c r="N76" s="13">
        <f>IF('Données projet'!$A$36&gt;35,N75+M76-V75,IF(A76&lt;'Données projet'!$A$36,$K$205^A76,IF(A76='Données projet'!$A$36,'Données projet'!$B$36,N75+M76-V75)))</f>
        <v>255.44444444444443</v>
      </c>
      <c r="O76" s="13">
        <f>N76*VLOOKUP('Données projet'!$B$9,Paramètres!$A$1:$I$89,3,0)*VLOOKUP('Données projet'!$B$9,Paramètres!$A$1:$I$89,5,0)</f>
        <v>231.12613333333331</v>
      </c>
      <c r="P76" s="13">
        <f t="shared" si="87"/>
        <v>56.526108626018512</v>
      </c>
      <c r="Q76" s="20">
        <f t="shared" si="54"/>
        <v>500.99432141253783</v>
      </c>
      <c r="R76" s="59">
        <f t="shared" si="55"/>
        <v>768.77710561045956</v>
      </c>
      <c r="S76" s="59">
        <f ca="1">AVERAGE(OFFSET($R$3,0,0,'Données projet'!$E$9+1,1))-AVERAGE(OFFSET($H$3,0,0,'Données projet'!$E$9+1,1))</f>
        <v>569.49435820174267</v>
      </c>
      <c r="T76" s="59">
        <f t="shared" si="88"/>
        <v>295.37730858134739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29.792261572735171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29.792261572735171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8.1111111111111107</v>
      </c>
      <c r="AI76" s="13">
        <f>IF('Données projet'!$A$62&gt;35,AI75+AH76-AQ75,IF(A76&lt;'Données projet'!$A$62,$AF$205^A76,IF(A76='Données projet'!$A$62,'Données projet'!$B$62,AI75+AH76-AQ75)))</f>
        <v>255.44444444444443</v>
      </c>
      <c r="AJ76" s="13">
        <f>AI76*VLOOKUP('Données projet'!$B$10,Paramètres!$A$1:$I$89,3,0)*VLOOKUP('Données projet'!$B$10,Paramètres!$A$1:$I$89,5,0)</f>
        <v>259.02066666666667</v>
      </c>
      <c r="AK76" s="13">
        <f t="shared" si="89"/>
        <v>62.513577837862201</v>
      </c>
      <c r="AL76" s="20">
        <f t="shared" si="58"/>
        <v>560.00547584538776</v>
      </c>
      <c r="AM76" s="59">
        <f t="shared" si="59"/>
        <v>827.78826004330949</v>
      </c>
      <c r="AN76" s="59">
        <f ca="1">AVERAGE(OFFSET($AM$3,0,0,'Données projet'!$E$10+1,1))-AVERAGE(OFFSET($H$3,0,0,'Données projet'!$E$10+1,1))</f>
        <v>627.83896530587367</v>
      </c>
      <c r="AO76" s="59">
        <f t="shared" si="90"/>
        <v>323.54927030899489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33.387879348754943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33.387879348754943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365.39999999999969</v>
      </c>
      <c r="BE76" s="13">
        <f>BD76*VLOOKUP('Données projet'!$B$11,Paramètres!$A$1:$I$89,3,0)*VLOOKUP('Données projet'!$B$11,Paramètres!$A$1:$I$89,5,0)</f>
        <v>353.4148799999997</v>
      </c>
      <c r="BF76" s="13">
        <f t="shared" si="91"/>
        <v>82.265272651637517</v>
      </c>
      <c r="BG76" s="20">
        <f t="shared" si="61"/>
        <v>758.80959920160149</v>
      </c>
      <c r="BH76" s="59">
        <f t="shared" si="62"/>
        <v>1026.5923833995232</v>
      </c>
      <c r="BI76" s="59">
        <f ca="1">AVERAGE(OFFSET($BH$3,0,0,'Données projet'!$E$11+1,1))-AVERAGE(OFFSET($H$3,0,0,'Données projet'!$E$11+1,1))</f>
        <v>508.3185483454435</v>
      </c>
      <c r="BJ76" s="59">
        <f t="shared" si="92"/>
        <v>487.08233034004945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23.30669133899055</v>
      </c>
      <c r="BQ76" s="21">
        <f>EXP(-LN(2)/25)*BQ75+(1-EXP(-LN(2)/25))/(LN(2)/25)*Calculateur!BL76*Calculateur!BN76*VLOOKUP('Données projet'!$B$11,Paramètres!$A$1:$I$89,3,0)*0.475*44/12</f>
        <v>6.0424224638276636</v>
      </c>
      <c r="BR76" s="21">
        <f>EXP(-LN(2)/2)*BR75+(1-EXP(-LN(2)/2))/(LN(2)/2)*BL76*BO76*VLOOKUP('Données projet'!$B$11,Paramètres!$A$1:$I$89,3,0)*0.475*44/12</f>
        <v>1.1937168261289095</v>
      </c>
      <c r="BS76" s="22">
        <f t="shared" si="63"/>
        <v>30.542830628947122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365.39999999999969</v>
      </c>
      <c r="BZ76" s="13">
        <f>BY76*VLOOKUP('Données projet'!$B$12,Paramètres!$A$1:$I$89,3,0)*VLOOKUP('Données projet'!$B$12,Paramètres!$A$1:$I$89,5,0)</f>
        <v>296.41247999999973</v>
      </c>
      <c r="CA76" s="13">
        <f t="shared" si="93"/>
        <v>70.423855708154704</v>
      </c>
      <c r="CB76" s="20">
        <f t="shared" si="64"/>
        <v>638.90661802503564</v>
      </c>
      <c r="CC76" s="59">
        <f t="shared" si="65"/>
        <v>906.68940222295737</v>
      </c>
      <c r="CD76" s="59">
        <f ca="1">AVERAGE(OFFSET($CC$3,0,0,'Données projet'!$E$12+1,1))-AVERAGE(OFFSET($H$3,0,0,'Données projet'!$E$12+1,1))</f>
        <v>436.50252985867149</v>
      </c>
      <c r="CE76" s="59">
        <f t="shared" si="94"/>
        <v>419.00806288456329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19.547547574637239</v>
      </c>
      <c r="CL76" s="21">
        <f>EXP(-LN(2)/25)*CL75+(1-EXP(-LN(2)/25))/(LN(2)/25)*Calculateur!CG76*Calculateur!CI76*VLOOKUP('Données projet'!$B$12,Paramètres!$A$1:$I$89,3,0)*0.475*44/12</f>
        <v>5.067838195468366</v>
      </c>
      <c r="CM76" s="21">
        <f>EXP(-LN(2)/2)*CM75+(1-EXP(-LN(2)/2))/(LN(2)/2)*CG76*CJ76*VLOOKUP('Données projet'!$B$12,Paramètres!$A$1:$I$89,3,0)*0.475*44/12</f>
        <v>1.0011818541726334</v>
      </c>
      <c r="CN76" s="22">
        <f t="shared" si="66"/>
        <v>25.616567624278236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365.39999999999969</v>
      </c>
      <c r="CU76" s="17">
        <f>CT76*VLOOKUP('Données projet'!$B$13,Paramètres!$A$1:$I$89,3,0)*VLOOKUP('Données projet'!$B$13,Paramètres!$A$1:$I$89,5,0)</f>
        <v>353.4148799999997</v>
      </c>
      <c r="CV76" s="13">
        <f t="shared" si="95"/>
        <v>82.265272651637517</v>
      </c>
      <c r="CW76" s="20">
        <f t="shared" si="67"/>
        <v>758.80959920160149</v>
      </c>
      <c r="CX76" s="59">
        <f t="shared" si="68"/>
        <v>1026.5923833995232</v>
      </c>
      <c r="CY76" s="59">
        <f ca="1">AVERAGE(OFFSET($CX$3,0,0,'Données projet'!$E$13+1,1))-AVERAGE(OFFSET($H$3,0,0,'Données projet'!$E$13+1,1))</f>
        <v>508.3185483454435</v>
      </c>
      <c r="CZ76" s="59">
        <f t="shared" si="96"/>
        <v>487.08233034004945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23.30669133899055</v>
      </c>
      <c r="DG76" s="21">
        <f>EXP(-LN(2)/25)*DG75+(1-EXP(-LN(2)/25))/(LN(2)/25)*Calculateur!DB76*Calculateur!DD76*VLOOKUP('Données projet'!$B$13,Paramètres!$A$1:$I$89,3,0)*0.475*44/12</f>
        <v>6.0424224638276636</v>
      </c>
      <c r="DH76" s="21">
        <f>EXP(-LN(2)/2)*DH75+(1-EXP(-LN(2)/2))/(LN(2)/2)*DB76*DE76*VLOOKUP('Données projet'!$B$13,Paramètres!$A$1:$I$89,3,0)*0.475*44/12</f>
        <v>1.1937168261289095</v>
      </c>
      <c r="DI76" s="22">
        <f t="shared" si="69"/>
        <v>30.542830628947122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4.8</v>
      </c>
      <c r="DO76" s="12">
        <f>IF('Données projet'!$A$166&gt;35,DO75+DN76-DW75,IF(A76&lt;'Données projet'!$A$166,$DL$205^A76,IF(A76='Données projet'!$A$166,'Données projet'!$B$166,DO75+DN76-DW75)))</f>
        <v>365.39999999999969</v>
      </c>
      <c r="DP76" s="17">
        <f>DO76*VLOOKUP('Données projet'!$B$14,Paramètres!$A$1:$I$89,3,0)*VLOOKUP('Données projet'!$B$14,Paramètres!$A$1:$I$89,5,0)</f>
        <v>353.4148799999997</v>
      </c>
      <c r="DQ76" s="13">
        <f t="shared" si="97"/>
        <v>82.265272651637517</v>
      </c>
      <c r="DR76" s="20">
        <f t="shared" si="70"/>
        <v>758.80959920160149</v>
      </c>
      <c r="DS76" s="59">
        <f t="shared" si="71"/>
        <v>1026.5923833995232</v>
      </c>
      <c r="DT76" s="59">
        <f ca="1">AVERAGE(OFFSET($DS$3,0,0,'Données projet'!$E$14+1,1))-AVERAGE(OFFSET($H$3,0,0,'Données projet'!$E$14+1,1))</f>
        <v>508.3185483454435</v>
      </c>
      <c r="DU76" s="59">
        <f t="shared" si="98"/>
        <v>487.08233034004945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23.30669133899055</v>
      </c>
      <c r="EB76" s="21">
        <f>EXP(-LN(2)/25)*EB75+(1-EXP(-LN(2)/25))/(LN(2)/25)*Calculateur!DW76*Calculateur!DY76*VLOOKUP('Données projet'!$B$14,Paramètres!$A$1:$I$89,3,0)*0.475*44/12</f>
        <v>6.0424224638276636</v>
      </c>
      <c r="EC76" s="21">
        <f>EXP(-LN(2)/2)*EC75+(1-EXP(-LN(2)/2))/(LN(2)/2)*DW76*DZ76*VLOOKUP('Données projet'!$B$14,Paramètres!$A$1:$I$89,3,0)*0.475*44/12</f>
        <v>1.1937168261289095</v>
      </c>
      <c r="ED76" s="22">
        <f t="shared" si="72"/>
        <v>30.542830628947122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8.1111111111111107</v>
      </c>
      <c r="N77" s="13">
        <f>IF('Données projet'!$A$36&gt;35,N76+M77-V76,IF(A77&lt;'Données projet'!$A$36,$K$205^A77,IF(A77='Données projet'!$A$36,'Données projet'!$B$36,N76+M77-V76)))</f>
        <v>263.55555555555554</v>
      </c>
      <c r="O77" s="13">
        <f>N77*VLOOKUP('Données projet'!$B$9,Paramètres!$A$1:$I$89,3,0)*VLOOKUP('Données projet'!$B$9,Paramètres!$A$1:$I$89,5,0)</f>
        <v>238.46506666666667</v>
      </c>
      <c r="P77" s="13">
        <f t="shared" si="87"/>
        <v>58.109158879235501</v>
      </c>
      <c r="Q77" s="20">
        <f t="shared" si="54"/>
        <v>516.53344282577962</v>
      </c>
      <c r="R77" s="59">
        <f t="shared" si="55"/>
        <v>784.75947192873048</v>
      </c>
      <c r="S77" s="59">
        <f ca="1">AVERAGE(OFFSET($R$3,0,0,'Données projet'!$E$9+1,1))-AVERAGE(OFFSET($H$3,0,0,'Données projet'!$E$9+1,1))</f>
        <v>569.49435820174267</v>
      </c>
      <c r="T77" s="59">
        <f t="shared" si="88"/>
        <v>295.37730858134739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28.977590613321784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28.977590613321784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8.1111111111111107</v>
      </c>
      <c r="AI77" s="13">
        <f>IF('Données projet'!$A$62&gt;35,AI76+AH77-AQ76,IF(A77&lt;'Données projet'!$A$62,$AF$205^A77,IF(A77='Données projet'!$A$62,'Données projet'!$B$62,AI76+AH77-AQ76)))</f>
        <v>263.55555555555554</v>
      </c>
      <c r="AJ77" s="13">
        <f>AI77*VLOOKUP('Données projet'!$B$10,Paramètres!$A$1:$I$89,3,0)*VLOOKUP('Données projet'!$B$10,Paramètres!$A$1:$I$89,5,0)</f>
        <v>267.24533333333335</v>
      </c>
      <c r="AK77" s="13">
        <f t="shared" si="89"/>
        <v>64.264311041176555</v>
      </c>
      <c r="AL77" s="20">
        <f t="shared" si="58"/>
        <v>577.37929728560482</v>
      </c>
      <c r="AM77" s="59">
        <f t="shared" si="59"/>
        <v>845.60532638855568</v>
      </c>
      <c r="AN77" s="59">
        <f ca="1">AVERAGE(OFFSET($AM$3,0,0,'Données projet'!$E$10+1,1))-AVERAGE(OFFSET($H$3,0,0,'Données projet'!$E$10+1,1))</f>
        <v>627.83896530587367</v>
      </c>
      <c r="AO77" s="59">
        <f t="shared" si="90"/>
        <v>323.54927030899489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32.474886032170971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32.474886032170971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370.1999999999997</v>
      </c>
      <c r="BE77" s="13">
        <f>BD77*VLOOKUP('Données projet'!$B$11,Paramètres!$A$1:$I$89,3,0)*VLOOKUP('Données projet'!$B$11,Paramètres!$A$1:$I$89,5,0)</f>
        <v>358.0574399999997</v>
      </c>
      <c r="BF77" s="13">
        <f t="shared" si="91"/>
        <v>83.219417691870433</v>
      </c>
      <c r="BG77" s="20">
        <f t="shared" si="61"/>
        <v>768.5571938133404</v>
      </c>
      <c r="BH77" s="59">
        <f t="shared" si="62"/>
        <v>1036.7832229162914</v>
      </c>
      <c r="BI77" s="59">
        <f ca="1">AVERAGE(OFFSET($BH$3,0,0,'Données projet'!$E$11+1,1))-AVERAGE(OFFSET($H$3,0,0,'Données projet'!$E$11+1,1))</f>
        <v>508.3185483454435</v>
      </c>
      <c r="BJ77" s="59">
        <f t="shared" si="92"/>
        <v>487.08233034004945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22.84966133751098</v>
      </c>
      <c r="BQ77" s="21">
        <f>EXP(-LN(2)/25)*BQ76+(1-EXP(-LN(2)/25))/(LN(2)/25)*Calculateur!BL77*Calculateur!BN77*VLOOKUP('Données projet'!$B$11,Paramètres!$A$1:$I$89,3,0)*0.475*44/12</f>
        <v>5.8771921037971087</v>
      </c>
      <c r="BR77" s="21">
        <f>EXP(-LN(2)/2)*BR76+(1-EXP(-LN(2)/2))/(LN(2)/2)*BL77*BO77*VLOOKUP('Données projet'!$B$11,Paramètres!$A$1:$I$89,3,0)*0.475*44/12</f>
        <v>0.84408526257223482</v>
      </c>
      <c r="BS77" s="22">
        <f t="shared" si="63"/>
        <v>29.570938703880323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370.1999999999997</v>
      </c>
      <c r="BZ77" s="13">
        <f>BY77*VLOOKUP('Données projet'!$B$12,Paramètres!$A$1:$I$89,3,0)*VLOOKUP('Données projet'!$B$12,Paramètres!$A$1:$I$89,5,0)</f>
        <v>300.30623999999978</v>
      </c>
      <c r="CA77" s="13">
        <f t="shared" si="93"/>
        <v>71.240659329806377</v>
      </c>
      <c r="CB77" s="20">
        <f t="shared" si="64"/>
        <v>647.11084966607893</v>
      </c>
      <c r="CC77" s="59">
        <f t="shared" si="65"/>
        <v>915.33687876902979</v>
      </c>
      <c r="CD77" s="59">
        <f ca="1">AVERAGE(OFFSET($CC$3,0,0,'Données projet'!$E$12+1,1))-AVERAGE(OFFSET($H$3,0,0,'Données projet'!$E$12+1,1))</f>
        <v>436.50252985867149</v>
      </c>
      <c r="CE77" s="59">
        <f t="shared" si="94"/>
        <v>419.00806288456329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19.164232089525342</v>
      </c>
      <c r="CL77" s="21">
        <f>EXP(-LN(2)/25)*CL76+(1-EXP(-LN(2)/25))/(LN(2)/25)*Calculateur!CG77*Calculateur!CI77*VLOOKUP('Données projet'!$B$12,Paramètres!$A$1:$I$89,3,0)*0.475*44/12</f>
        <v>4.9292578935072555</v>
      </c>
      <c r="CM77" s="21">
        <f>EXP(-LN(2)/2)*CM76+(1-EXP(-LN(2)/2))/(LN(2)/2)*CG77*CJ77*VLOOKUP('Données projet'!$B$12,Paramètres!$A$1:$I$89,3,0)*0.475*44/12</f>
        <v>0.70794247828639023</v>
      </c>
      <c r="CN77" s="22">
        <f t="shared" si="66"/>
        <v>24.801432461318988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370.1999999999997</v>
      </c>
      <c r="CU77" s="17">
        <f>CT77*VLOOKUP('Données projet'!$B$13,Paramètres!$A$1:$I$89,3,0)*VLOOKUP('Données projet'!$B$13,Paramètres!$A$1:$I$89,5,0)</f>
        <v>358.0574399999997</v>
      </c>
      <c r="CV77" s="13">
        <f t="shared" si="95"/>
        <v>83.219417691870433</v>
      </c>
      <c r="CW77" s="20">
        <f t="shared" si="67"/>
        <v>768.5571938133404</v>
      </c>
      <c r="CX77" s="59">
        <f t="shared" si="68"/>
        <v>1036.7832229162914</v>
      </c>
      <c r="CY77" s="59">
        <f ca="1">AVERAGE(OFFSET($CX$3,0,0,'Données projet'!$E$13+1,1))-AVERAGE(OFFSET($H$3,0,0,'Données projet'!$E$13+1,1))</f>
        <v>508.3185483454435</v>
      </c>
      <c r="CZ77" s="59">
        <f t="shared" si="96"/>
        <v>487.08233034004945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22.84966133751098</v>
      </c>
      <c r="DG77" s="21">
        <f>EXP(-LN(2)/25)*DG76+(1-EXP(-LN(2)/25))/(LN(2)/25)*Calculateur!DB77*Calculateur!DD77*VLOOKUP('Données projet'!$B$13,Paramètres!$A$1:$I$89,3,0)*0.475*44/12</f>
        <v>5.8771921037971087</v>
      </c>
      <c r="DH77" s="21">
        <f>EXP(-LN(2)/2)*DH76+(1-EXP(-LN(2)/2))/(LN(2)/2)*DB77*DE77*VLOOKUP('Données projet'!$B$13,Paramètres!$A$1:$I$89,3,0)*0.475*44/12</f>
        <v>0.84408526257223482</v>
      </c>
      <c r="DI77" s="22">
        <f t="shared" si="69"/>
        <v>29.570938703880323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4.8</v>
      </c>
      <c r="DO77" s="12">
        <f>IF('Données projet'!$A$166&gt;35,DO76+DN77-DW76,IF(A77&lt;'Données projet'!$A$166,$DL$205^A77,IF(A77='Données projet'!$A$166,'Données projet'!$B$166,DO76+DN77-DW76)))</f>
        <v>370.1999999999997</v>
      </c>
      <c r="DP77" s="17">
        <f>DO77*VLOOKUP('Données projet'!$B$14,Paramètres!$A$1:$I$89,3,0)*VLOOKUP('Données projet'!$B$14,Paramètres!$A$1:$I$89,5,0)</f>
        <v>358.0574399999997</v>
      </c>
      <c r="DQ77" s="13">
        <f t="shared" si="97"/>
        <v>83.219417691870433</v>
      </c>
      <c r="DR77" s="20">
        <f t="shared" si="70"/>
        <v>768.5571938133404</v>
      </c>
      <c r="DS77" s="59">
        <f t="shared" si="71"/>
        <v>1036.7832229162914</v>
      </c>
      <c r="DT77" s="59">
        <f ca="1">AVERAGE(OFFSET($DS$3,0,0,'Données projet'!$E$14+1,1))-AVERAGE(OFFSET($H$3,0,0,'Données projet'!$E$14+1,1))</f>
        <v>508.3185483454435</v>
      </c>
      <c r="DU77" s="59">
        <f t="shared" si="98"/>
        <v>487.08233034004945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22.84966133751098</v>
      </c>
      <c r="EB77" s="21">
        <f>EXP(-LN(2)/25)*EB76+(1-EXP(-LN(2)/25))/(LN(2)/25)*Calculateur!DW77*Calculateur!DY77*VLOOKUP('Données projet'!$B$14,Paramètres!$A$1:$I$89,3,0)*0.475*44/12</f>
        <v>5.8771921037971087</v>
      </c>
      <c r="EC77" s="21">
        <f>EXP(-LN(2)/2)*EC76+(1-EXP(-LN(2)/2))/(LN(2)/2)*DW77*DZ77*VLOOKUP('Données projet'!$B$14,Paramètres!$A$1:$I$89,3,0)*0.475*44/12</f>
        <v>0.84408526257223482</v>
      </c>
      <c r="ED77" s="22">
        <f t="shared" si="72"/>
        <v>29.570938703880323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8.1111111111111107</v>
      </c>
      <c r="N78" s="13">
        <f>IF('Données projet'!$A$36&gt;35,N77+M78-V77,IF(A78&lt;'Données projet'!$A$36,$K$205^A78,IF(A78='Données projet'!$A$36,'Données projet'!$B$36,N77+M78-V77)))</f>
        <v>271.66666666666663</v>
      </c>
      <c r="O78" s="13">
        <f>N78*VLOOKUP('Données projet'!$B$9,Paramètres!$A$1:$I$89,3,0)*VLOOKUP('Données projet'!$B$9,Paramètres!$A$1:$I$89,5,0)</f>
        <v>245.80399999999995</v>
      </c>
      <c r="P78" s="13">
        <f t="shared" si="87"/>
        <v>59.686547383038381</v>
      </c>
      <c r="Q78" s="20">
        <f t="shared" si="54"/>
        <v>532.06270335879174</v>
      </c>
      <c r="R78" s="59">
        <f t="shared" si="55"/>
        <v>800.72428805861659</v>
      </c>
      <c r="S78" s="59">
        <f ca="1">AVERAGE(OFFSET($R$3,0,0,'Données projet'!$E$9+1,1))-AVERAGE(OFFSET($H$3,0,0,'Données projet'!$E$9+1,1))</f>
        <v>569.49435820174267</v>
      </c>
      <c r="T78" s="59">
        <f t="shared" si="88"/>
        <v>295.37730858134739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28.18519687413524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28.18519687413524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8.1111111111111107</v>
      </c>
      <c r="AI78" s="13">
        <f>IF('Données projet'!$A$62&gt;35,AI77+AH78-AQ77,IF(A78&lt;'Données projet'!$A$62,$AF$205^A78,IF(A78='Données projet'!$A$62,'Données projet'!$B$62,AI77+AH78-AQ77)))</f>
        <v>271.66666666666663</v>
      </c>
      <c r="AJ78" s="13">
        <f>AI78*VLOOKUP('Données projet'!$B$10,Paramètres!$A$1:$I$89,3,0)*VLOOKUP('Données projet'!$B$10,Paramètres!$A$1:$I$89,5,0)</f>
        <v>275.46999999999997</v>
      </c>
      <c r="AK78" s="13">
        <f t="shared" si="89"/>
        <v>66.008782780164168</v>
      </c>
      <c r="AL78" s="20">
        <f t="shared" si="58"/>
        <v>594.74221334211904</v>
      </c>
      <c r="AM78" s="59">
        <f t="shared" si="59"/>
        <v>863.4037980419439</v>
      </c>
      <c r="AN78" s="59">
        <f ca="1">AVERAGE(OFFSET($AM$3,0,0,'Données projet'!$E$10+1,1))-AVERAGE(OFFSET($H$3,0,0,'Données projet'!$E$10+1,1))</f>
        <v>627.83896530587367</v>
      </c>
      <c r="AO78" s="59">
        <f t="shared" si="90"/>
        <v>323.54927030899489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31.586858565841222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31.586858565841222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375</v>
      </c>
      <c r="BB78" s="12">
        <f>VLOOKUP(A78,'Données projet'!$A$87:$I$107,9,0)</f>
        <v>4.8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374.99999999999972</v>
      </c>
      <c r="BE78" s="13">
        <f>BD78*VLOOKUP('Données projet'!$B$11,Paramètres!$A$1:$I$89,3,0)*VLOOKUP('Données projet'!$B$11,Paramètres!$A$1:$I$89,5,0)</f>
        <v>362.69999999999976</v>
      </c>
      <c r="BF78" s="13">
        <f t="shared" si="91"/>
        <v>84.172123743406701</v>
      </c>
      <c r="BG78" s="20">
        <f t="shared" si="61"/>
        <v>778.30228218643288</v>
      </c>
      <c r="BH78" s="59">
        <f t="shared" si="62"/>
        <v>1046.9638668862576</v>
      </c>
      <c r="BI78" s="59">
        <f ca="1">AVERAGE(OFFSET($BH$3,0,0,'Données projet'!$E$11+1,1))-AVERAGE(OFFSET($H$3,0,0,'Données projet'!$E$11+1,1))</f>
        <v>508.3185483454435</v>
      </c>
      <c r="BJ78" s="59">
        <f t="shared" si="92"/>
        <v>487.08233034004945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0.30099999999999999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26.90724836346876</v>
      </c>
      <c r="BQ78" s="21">
        <f>EXP(-LN(2)/25)*BQ77+(1-EXP(-LN(2)/25))/(LN(2)/25)*Calculateur!BL78*Calculateur!BN78*VLOOKUP('Données projet'!$B$11,Paramètres!$A$1:$I$89,3,0)*0.475*44/12</f>
        <v>5.7164799766506764</v>
      </c>
      <c r="BR78" s="21">
        <f>EXP(-LN(2)/2)*BR77+(1-EXP(-LN(2)/2))/(LN(2)/2)*BL78*BO78*VLOOKUP('Données projet'!$B$11,Paramètres!$A$1:$I$89,3,0)*0.475*44/12</f>
        <v>3.1520802621221828</v>
      </c>
      <c r="BS78" s="22">
        <f t="shared" si="63"/>
        <v>35.775808602241618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375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374.99999999999972</v>
      </c>
      <c r="BZ78" s="13">
        <f>BY78*VLOOKUP('Données projet'!$B$12,Paramètres!$A$1:$I$89,3,0)*VLOOKUP('Données projet'!$B$12,Paramètres!$A$1:$I$89,5,0)</f>
        <v>304.19999999999976</v>
      </c>
      <c r="CA78" s="13">
        <f t="shared" si="93"/>
        <v>72.056231093481074</v>
      </c>
      <c r="CB78" s="20">
        <f t="shared" si="64"/>
        <v>655.31293582114574</v>
      </c>
      <c r="CC78" s="59">
        <f t="shared" si="65"/>
        <v>923.9745205209706</v>
      </c>
      <c r="CD78" s="59">
        <f ca="1">AVERAGE(OFFSET($CC$3,0,0,'Données projet'!$E$12+1,1))-AVERAGE(OFFSET($H$3,0,0,'Données projet'!$E$12+1,1))</f>
        <v>436.50252985867149</v>
      </c>
      <c r="CE78" s="59">
        <f t="shared" si="94"/>
        <v>419.00806288456329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0.30099999999999999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0.2</v>
      </c>
      <c r="CK78" s="21">
        <f>EXP(-LN(2)/35)*CK77+(1-EXP(-LN(2)/35))/(LN(2)/35)*CG78*CH78*VLOOKUP('Données projet'!$B$12,Paramètres!$A$1:$I$89,3,0)*0.475*44/12</f>
        <v>22.567369595167349</v>
      </c>
      <c r="CL78" s="21">
        <f>EXP(-LN(2)/25)*CL77+(1-EXP(-LN(2)/25))/(LN(2)/25)*Calculateur!CG78*Calculateur!CI78*VLOOKUP('Données projet'!$B$12,Paramètres!$A$1:$I$89,3,0)*0.475*44/12</f>
        <v>4.7944670771908928</v>
      </c>
      <c r="CM78" s="21">
        <f>EXP(-LN(2)/2)*CM77+(1-EXP(-LN(2)/2))/(LN(2)/2)*CG78*CJ78*VLOOKUP('Données projet'!$B$12,Paramètres!$A$1:$I$89,3,0)*0.475*44/12</f>
        <v>2.6436802198444109</v>
      </c>
      <c r="CN78" s="22">
        <f t="shared" si="66"/>
        <v>30.005516892202657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375</v>
      </c>
      <c r="CR78" s="12">
        <f>VLOOKUP(A78,'Données projet'!$A$139:$I$159,9,0)</f>
        <v>4.8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374.99999999999972</v>
      </c>
      <c r="CU78" s="17">
        <f>CT78*VLOOKUP('Données projet'!$B$13,Paramètres!$A$1:$I$89,3,0)*VLOOKUP('Données projet'!$B$13,Paramètres!$A$1:$I$89,5,0)</f>
        <v>362.69999999999976</v>
      </c>
      <c r="CV78" s="13">
        <f t="shared" si="95"/>
        <v>84.172123743406701</v>
      </c>
      <c r="CW78" s="20">
        <f t="shared" si="67"/>
        <v>778.30228218643288</v>
      </c>
      <c r="CX78" s="59">
        <f t="shared" si="68"/>
        <v>1046.9638668862576</v>
      </c>
      <c r="CY78" s="59">
        <f ca="1">AVERAGE(OFFSET($CX$3,0,0,'Données projet'!$E$13+1,1))-AVERAGE(OFFSET($H$3,0,0,'Données projet'!$E$13+1,1))</f>
        <v>508.3185483454435</v>
      </c>
      <c r="CZ78" s="59">
        <f t="shared" si="96"/>
        <v>487.08233034004945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0.30099999999999999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0.2</v>
      </c>
      <c r="DF78" s="21">
        <f>EXP(-LN(2)/35)*DF77+(1-EXP(-LN(2)/35))/(LN(2)/35)*DB78*DC78*VLOOKUP('Données projet'!$B$13,Paramètres!$A$1:$I$89,3,0)*0.475*44/12</f>
        <v>26.90724836346876</v>
      </c>
      <c r="DG78" s="21">
        <f>EXP(-LN(2)/25)*DG77+(1-EXP(-LN(2)/25))/(LN(2)/25)*Calculateur!DB78*Calculateur!DD78*VLOOKUP('Données projet'!$B$13,Paramètres!$A$1:$I$89,3,0)*0.475*44/12</f>
        <v>5.7164799766506764</v>
      </c>
      <c r="DH78" s="21">
        <f>EXP(-LN(2)/2)*DH77+(1-EXP(-LN(2)/2))/(LN(2)/2)*DB78*DE78*VLOOKUP('Données projet'!$B$13,Paramètres!$A$1:$I$89,3,0)*0.475*44/12</f>
        <v>3.1520802621221828</v>
      </c>
      <c r="DI78" s="22">
        <f t="shared" si="69"/>
        <v>35.775808602241618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375</v>
      </c>
      <c r="DM78" s="12">
        <f>VLOOKUP(A78,'Données projet'!$A$165:$I$185,9,0)</f>
        <v>4.8</v>
      </c>
      <c r="DN78" s="12">
        <f t="array" ref="DN78">INDEX(DM:DM,MIN(IF(ISNUMBER(DM78:DM274),ROW(DM78:DM274),"")))</f>
        <v>4.8</v>
      </c>
      <c r="DO78" s="12">
        <f>IF('Données projet'!$A$166&gt;35,DO77+DN78-DW77,IF(A78&lt;'Données projet'!$A$166,$DL$205^A78,IF(A78='Données projet'!$A$166,'Données projet'!$B$166,DO77+DN78-DW77)))</f>
        <v>374.99999999999972</v>
      </c>
      <c r="DP78" s="17">
        <f>DO78*VLOOKUP('Données projet'!$B$14,Paramètres!$A$1:$I$89,3,0)*VLOOKUP('Données projet'!$B$14,Paramètres!$A$1:$I$89,5,0)</f>
        <v>362.69999999999976</v>
      </c>
      <c r="DQ78" s="13">
        <f t="shared" si="97"/>
        <v>84.172123743406701</v>
      </c>
      <c r="DR78" s="20">
        <f t="shared" si="70"/>
        <v>778.30228218643288</v>
      </c>
      <c r="DS78" s="59">
        <f t="shared" si="71"/>
        <v>1046.9638668862576</v>
      </c>
      <c r="DT78" s="59">
        <f ca="1">AVERAGE(OFFSET($DS$3,0,0,'Données projet'!$E$14+1,1))-AVERAGE(OFFSET($H$3,0,0,'Données projet'!$E$14+1,1))</f>
        <v>508.3185483454435</v>
      </c>
      <c r="DU78" s="59">
        <f t="shared" si="98"/>
        <v>487.08233034004945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14</v>
      </c>
      <c r="DX78" s="16">
        <f>IF(ISNA(VLOOKUP(A78,'Données projet'!$A$165:$I$185,5,0)),0%,VLOOKUP(A78,'Données projet'!$A$165:$I$185,5,0)*VLOOKUP('Données projet'!$B$14,Paramètres!$A$1:$I$89,7,0))</f>
        <v>0.30099999999999999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0.2</v>
      </c>
      <c r="EA78" s="21">
        <f>EXP(-LN(2)/35)*EA77+(1-EXP(-LN(2)/35))/(LN(2)/35)*DW78*DX78*VLOOKUP('Données projet'!$B$14,Paramètres!$A$1:$I$89,3,0)*0.475*44/12</f>
        <v>26.90724836346876</v>
      </c>
      <c r="EB78" s="21">
        <f>EXP(-LN(2)/25)*EB77+(1-EXP(-LN(2)/25))/(LN(2)/25)*Calculateur!DW78*Calculateur!DY78*VLOOKUP('Données projet'!$B$14,Paramètres!$A$1:$I$89,3,0)*0.475*44/12</f>
        <v>5.7164799766506764</v>
      </c>
      <c r="EC78" s="21">
        <f>EXP(-LN(2)/2)*EC77+(1-EXP(-LN(2)/2))/(LN(2)/2)*DW78*DZ78*VLOOKUP('Données projet'!$B$14,Paramètres!$A$1:$I$89,3,0)*0.475*44/12</f>
        <v>3.1520802621221828</v>
      </c>
      <c r="ED78" s="22">
        <f t="shared" si="72"/>
        <v>35.775808602241618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8.1111111111111107</v>
      </c>
      <c r="N79" s="13">
        <f>IF('Données projet'!$A$36&gt;35,N78+M79-V78,IF(A79&lt;'Données projet'!$A$36,$K$205^A79,IF(A79='Données projet'!$A$36,'Données projet'!$B$36,N78+M79-V78)))</f>
        <v>279.77777777777771</v>
      </c>
      <c r="O79" s="13">
        <f>N79*VLOOKUP('Données projet'!$B$9,Paramètres!$A$1:$I$89,3,0)*VLOOKUP('Données projet'!$B$9,Paramètres!$A$1:$I$89,5,0)</f>
        <v>253.14293333333325</v>
      </c>
      <c r="P79" s="13">
        <f t="shared" si="87"/>
        <v>61.258462585145814</v>
      </c>
      <c r="Q79" s="20">
        <f t="shared" si="54"/>
        <v>547.58243122468434</v>
      </c>
      <c r="R79" s="59">
        <f t="shared" si="55"/>
        <v>816.67201560553372</v>
      </c>
      <c r="S79" s="59">
        <f ca="1">AVERAGE(OFFSET($R$3,0,0,'Données projet'!$E$9+1,1))-AVERAGE(OFFSET($H$3,0,0,'Données projet'!$E$9+1,1))</f>
        <v>569.49435820174267</v>
      </c>
      <c r="T79" s="59">
        <f t="shared" si="88"/>
        <v>295.37730858134739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27.414471183416925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27.414471183416925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8.1111111111111107</v>
      </c>
      <c r="AI79" s="13">
        <f>IF('Données projet'!$A$62&gt;35,AI78+AH79-AQ78,IF(A79&lt;'Données projet'!$A$62,$AF$205^A79,IF(A79='Données projet'!$A$62,'Données projet'!$B$62,AI78+AH79-AQ78)))</f>
        <v>279.77777777777771</v>
      </c>
      <c r="AJ79" s="13">
        <f>AI79*VLOOKUP('Données projet'!$B$10,Paramètres!$A$1:$I$89,3,0)*VLOOKUP('Données projet'!$B$10,Paramètres!$A$1:$I$89,5,0)</f>
        <v>283.69466666666665</v>
      </c>
      <c r="AK79" s="13">
        <f t="shared" si="89"/>
        <v>67.747201463671971</v>
      </c>
      <c r="AL79" s="20">
        <f t="shared" si="58"/>
        <v>612.09458699367303</v>
      </c>
      <c r="AM79" s="59">
        <f t="shared" si="59"/>
        <v>881.18417137452252</v>
      </c>
      <c r="AN79" s="59">
        <f ca="1">AVERAGE(OFFSET($AM$3,0,0,'Données projet'!$E$10+1,1))-AVERAGE(OFFSET($H$3,0,0,'Données projet'!$E$10+1,1))</f>
        <v>627.83896530587367</v>
      </c>
      <c r="AO79" s="59">
        <f t="shared" si="90"/>
        <v>323.54927030899489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30.723114257277594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30.723114257277594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364.99999999999972</v>
      </c>
      <c r="BE79" s="13">
        <f>BD79*VLOOKUP('Données projet'!$B$11,Paramètres!$A$1:$I$89,3,0)*VLOOKUP('Données projet'!$B$11,Paramètres!$A$1:$I$89,5,0)</f>
        <v>353.02799999999974</v>
      </c>
      <c r="BF79" s="13">
        <f t="shared" si="91"/>
        <v>82.185694952754559</v>
      </c>
      <c r="BG79" s="20">
        <f t="shared" si="61"/>
        <v>757.99718537604701</v>
      </c>
      <c r="BH79" s="59">
        <f t="shared" si="62"/>
        <v>1027.0867697568965</v>
      </c>
      <c r="BI79" s="59">
        <f ca="1">AVERAGE(OFFSET($BH$3,0,0,'Données projet'!$E$11+1,1))-AVERAGE(OFFSET($H$3,0,0,'Données projet'!$E$11+1,1))</f>
        <v>508.3185483454435</v>
      </c>
      <c r="BJ79" s="59">
        <f t="shared" si="92"/>
        <v>487.08233034004945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26.379613634862107</v>
      </c>
      <c r="BQ79" s="21">
        <f>EXP(-LN(2)/25)*BQ78+(1-EXP(-LN(2)/25))/(LN(2)/25)*Calculateur!BL79*Calculateur!BN79*VLOOKUP('Données projet'!$B$11,Paramètres!$A$1:$I$89,3,0)*0.475*44/12</f>
        <v>5.5601625310725469</v>
      </c>
      <c r="BR79" s="21">
        <f>EXP(-LN(2)/2)*BR78+(1-EXP(-LN(2)/2))/(LN(2)/2)*BL79*BO79*VLOOKUP('Données projet'!$B$11,Paramètres!$A$1:$I$89,3,0)*0.475*44/12</f>
        <v>2.2288573281908657</v>
      </c>
      <c r="BS79" s="22">
        <f t="shared" si="63"/>
        <v>34.168633494125515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364.99999999999972</v>
      </c>
      <c r="BZ79" s="13">
        <f>BY79*VLOOKUP('Données projet'!$B$12,Paramètres!$A$1:$I$89,3,0)*VLOOKUP('Données projet'!$B$12,Paramètres!$A$1:$I$89,5,0)</f>
        <v>296.08799999999979</v>
      </c>
      <c r="CA79" s="13">
        <f t="shared" si="93"/>
        <v>70.35573257182898</v>
      </c>
      <c r="CB79" s="20">
        <f t="shared" si="64"/>
        <v>638.22283422926841</v>
      </c>
      <c r="CC79" s="59">
        <f t="shared" si="65"/>
        <v>907.3124186101179</v>
      </c>
      <c r="CD79" s="59">
        <f ca="1">AVERAGE(OFFSET($CC$3,0,0,'Données projet'!$E$12+1,1))-AVERAGE(OFFSET($H$3,0,0,'Données projet'!$E$12+1,1))</f>
        <v>436.50252985867149</v>
      </c>
      <c r="CE79" s="59">
        <f t="shared" si="94"/>
        <v>419.00806288456329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22.124837242142416</v>
      </c>
      <c r="CL79" s="21">
        <f>EXP(-LN(2)/25)*CL78+(1-EXP(-LN(2)/25))/(LN(2)/25)*Calculateur!CG79*Calculateur!CI79*VLOOKUP('Données projet'!$B$12,Paramètres!$A$1:$I$89,3,0)*0.475*44/12</f>
        <v>4.6633621228350419</v>
      </c>
      <c r="CM79" s="21">
        <f>EXP(-LN(2)/2)*CM78+(1-EXP(-LN(2)/2))/(LN(2)/2)*CG79*CJ79*VLOOKUP('Données projet'!$B$12,Paramètres!$A$1:$I$89,3,0)*0.475*44/12</f>
        <v>1.8693642107407258</v>
      </c>
      <c r="CN79" s="22">
        <f t="shared" si="66"/>
        <v>28.657563575718186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364.99999999999972</v>
      </c>
      <c r="CU79" s="17">
        <f>CT79*VLOOKUP('Données projet'!$B$13,Paramètres!$A$1:$I$89,3,0)*VLOOKUP('Données projet'!$B$13,Paramètres!$A$1:$I$89,5,0)</f>
        <v>353.02799999999974</v>
      </c>
      <c r="CV79" s="13">
        <f t="shared" si="95"/>
        <v>82.185694952754559</v>
      </c>
      <c r="CW79" s="20">
        <f t="shared" si="67"/>
        <v>757.99718537604701</v>
      </c>
      <c r="CX79" s="59">
        <f t="shared" si="68"/>
        <v>1027.0867697568965</v>
      </c>
      <c r="CY79" s="59">
        <f ca="1">AVERAGE(OFFSET($CX$3,0,0,'Données projet'!$E$13+1,1))-AVERAGE(OFFSET($H$3,0,0,'Données projet'!$E$13+1,1))</f>
        <v>508.3185483454435</v>
      </c>
      <c r="CZ79" s="59">
        <f t="shared" si="96"/>
        <v>487.08233034004945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26.379613634862107</v>
      </c>
      <c r="DG79" s="21">
        <f>EXP(-LN(2)/25)*DG78+(1-EXP(-LN(2)/25))/(LN(2)/25)*Calculateur!DB79*Calculateur!DD79*VLOOKUP('Données projet'!$B$13,Paramètres!$A$1:$I$89,3,0)*0.475*44/12</f>
        <v>5.5601625310725469</v>
      </c>
      <c r="DH79" s="21">
        <f>EXP(-LN(2)/2)*DH78+(1-EXP(-LN(2)/2))/(LN(2)/2)*DB79*DE79*VLOOKUP('Données projet'!$B$13,Paramètres!$A$1:$I$89,3,0)*0.475*44/12</f>
        <v>2.2288573281908657</v>
      </c>
      <c r="DI79" s="22">
        <f t="shared" si="69"/>
        <v>34.168633494125515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</v>
      </c>
      <c r="DO79" s="12">
        <f>IF('Données projet'!$A$166&gt;35,DO78+DN79-DW78,IF(A79&lt;'Données projet'!$A$166,$DL$205^A79,IF(A79='Données projet'!$A$166,'Données projet'!$B$166,DO78+DN79-DW78)))</f>
        <v>364.99999999999972</v>
      </c>
      <c r="DP79" s="17">
        <f>DO79*VLOOKUP('Données projet'!$B$14,Paramètres!$A$1:$I$89,3,0)*VLOOKUP('Données projet'!$B$14,Paramètres!$A$1:$I$89,5,0)</f>
        <v>353.02799999999974</v>
      </c>
      <c r="DQ79" s="13">
        <f t="shared" si="97"/>
        <v>82.185694952754559</v>
      </c>
      <c r="DR79" s="20">
        <f t="shared" si="70"/>
        <v>757.99718537604701</v>
      </c>
      <c r="DS79" s="59">
        <f t="shared" si="71"/>
        <v>1027.0867697568965</v>
      </c>
      <c r="DT79" s="59">
        <f ca="1">AVERAGE(OFFSET($DS$3,0,0,'Données projet'!$E$14+1,1))-AVERAGE(OFFSET($H$3,0,0,'Données projet'!$E$14+1,1))</f>
        <v>508.3185483454435</v>
      </c>
      <c r="DU79" s="59">
        <f t="shared" si="98"/>
        <v>487.08233034004945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26.379613634862107</v>
      </c>
      <c r="EB79" s="21">
        <f>EXP(-LN(2)/25)*EB78+(1-EXP(-LN(2)/25))/(LN(2)/25)*Calculateur!DW79*Calculateur!DY79*VLOOKUP('Données projet'!$B$14,Paramètres!$A$1:$I$89,3,0)*0.475*44/12</f>
        <v>5.5601625310725469</v>
      </c>
      <c r="EC79" s="21">
        <f>EXP(-LN(2)/2)*EC78+(1-EXP(-LN(2)/2))/(LN(2)/2)*DW79*DZ79*VLOOKUP('Données projet'!$B$14,Paramètres!$A$1:$I$89,3,0)*0.475*44/12</f>
        <v>2.2288573281908657</v>
      </c>
      <c r="ED79" s="22">
        <f t="shared" si="72"/>
        <v>34.168633494125515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8.1111111111111107</v>
      </c>
      <c r="N80" s="13">
        <f>IF('Données projet'!$A$36&gt;35,N79+M80-V79,IF(A80&lt;'Données projet'!$A$36,$K$205^A80,IF(A80='Données projet'!$A$36,'Données projet'!$B$36,N79+M80-V79)))</f>
        <v>287.8888888888888</v>
      </c>
      <c r="O80" s="13">
        <f>N80*VLOOKUP('Données projet'!$B$9,Paramètres!$A$1:$I$89,3,0)*VLOOKUP('Données projet'!$B$9,Paramètres!$A$1:$I$89,5,0)</f>
        <v>260.48186666666658</v>
      </c>
      <c r="P80" s="13">
        <f t="shared" si="87"/>
        <v>62.825081385259836</v>
      </c>
      <c r="Q80" s="20">
        <f t="shared" si="54"/>
        <v>563.09293452377176</v>
      </c>
      <c r="R80" s="59">
        <f t="shared" si="55"/>
        <v>832.6030937480441</v>
      </c>
      <c r="S80" s="59">
        <f ca="1">AVERAGE(OFFSET($R$3,0,0,'Données projet'!$E$9+1,1))-AVERAGE(OFFSET($H$3,0,0,'Données projet'!$E$9+1,1))</f>
        <v>569.49435820174267</v>
      </c>
      <c r="T80" s="59">
        <f t="shared" si="88"/>
        <v>295.37730858134739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26.664821027242006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26.664821027242006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8.1111111111111107</v>
      </c>
      <c r="AI80" s="13">
        <f>IF('Données projet'!$A$62&gt;35,AI79+AH80-AQ79,IF(A80&lt;'Données projet'!$A$62,$AF$205^A80,IF(A80='Données projet'!$A$62,'Données projet'!$B$62,AI79+AH80-AQ79)))</f>
        <v>287.8888888888888</v>
      </c>
      <c r="AJ80" s="13">
        <f>AI80*VLOOKUP('Données projet'!$B$10,Paramètres!$A$1:$I$89,3,0)*VLOOKUP('Données projet'!$B$10,Paramètres!$A$1:$I$89,5,0)</f>
        <v>291.91933333333327</v>
      </c>
      <c r="AK80" s="13">
        <f t="shared" si="89"/>
        <v>69.479762729318765</v>
      </c>
      <c r="AL80" s="20">
        <f t="shared" si="58"/>
        <v>629.43675897578566</v>
      </c>
      <c r="AM80" s="59">
        <f t="shared" si="59"/>
        <v>898.94691820005801</v>
      </c>
      <c r="AN80" s="59">
        <f ca="1">AVERAGE(OFFSET($AM$3,0,0,'Données projet'!$E$10+1,1))-AVERAGE(OFFSET($H$3,0,0,'Données projet'!$E$10+1,1))</f>
        <v>627.83896530587367</v>
      </c>
      <c r="AO80" s="59">
        <f t="shared" si="90"/>
        <v>323.54927030899489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29.882989082253978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29.882989082253978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368.99999999999972</v>
      </c>
      <c r="BE80" s="13">
        <f>BD80*VLOOKUP('Données projet'!$B$11,Paramètres!$A$1:$I$89,3,0)*VLOOKUP('Données projet'!$B$11,Paramètres!$A$1:$I$89,5,0)</f>
        <v>356.89679999999976</v>
      </c>
      <c r="BF80" s="13">
        <f t="shared" si="91"/>
        <v>82.981017152077428</v>
      </c>
      <c r="BG80" s="20">
        <f t="shared" si="61"/>
        <v>766.12053153986756</v>
      </c>
      <c r="BH80" s="59">
        <f t="shared" si="62"/>
        <v>1035.6306907641399</v>
      </c>
      <c r="BI80" s="59">
        <f ca="1">AVERAGE(OFFSET($BH$3,0,0,'Données projet'!$E$11+1,1))-AVERAGE(OFFSET($H$3,0,0,'Données projet'!$E$11+1,1))</f>
        <v>508.3185483454435</v>
      </c>
      <c r="BJ80" s="59">
        <f t="shared" si="92"/>
        <v>487.08233034004945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25.862325501458024</v>
      </c>
      <c r="BQ80" s="21">
        <f>EXP(-LN(2)/25)*BQ79+(1-EXP(-LN(2)/25))/(LN(2)/25)*Calculateur!BL80*Calculateur!BN80*VLOOKUP('Données projet'!$B$11,Paramètres!$A$1:$I$89,3,0)*0.475*44/12</f>
        <v>5.4081195942641287</v>
      </c>
      <c r="BR80" s="21">
        <f>EXP(-LN(2)/2)*BR79+(1-EXP(-LN(2)/2))/(LN(2)/2)*BL80*BO80*VLOOKUP('Données projet'!$B$11,Paramètres!$A$1:$I$89,3,0)*0.475*44/12</f>
        <v>1.5760401310610914</v>
      </c>
      <c r="BS80" s="22">
        <f t="shared" si="63"/>
        <v>32.846485226783244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368.99999999999972</v>
      </c>
      <c r="BZ80" s="13">
        <f>BY80*VLOOKUP('Données projet'!$B$12,Paramètres!$A$1:$I$89,3,0)*VLOOKUP('Données projet'!$B$12,Paramètres!$A$1:$I$89,5,0)</f>
        <v>299.33279999999979</v>
      </c>
      <c r="CA80" s="13">
        <f t="shared" si="93"/>
        <v>71.03657460883025</v>
      </c>
      <c r="CB80" s="20">
        <f t="shared" si="64"/>
        <v>645.05999411037908</v>
      </c>
      <c r="CC80" s="59">
        <f t="shared" si="65"/>
        <v>914.57015333465142</v>
      </c>
      <c r="CD80" s="59">
        <f ca="1">AVERAGE(OFFSET($CC$3,0,0,'Données projet'!$E$12+1,1))-AVERAGE(OFFSET($H$3,0,0,'Données projet'!$E$12+1,1))</f>
        <v>436.50252985867149</v>
      </c>
      <c r="CE80" s="59">
        <f t="shared" si="94"/>
        <v>419.00806288456329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21.690982678642218</v>
      </c>
      <c r="CL80" s="21">
        <f>EXP(-LN(2)/25)*CL79+(1-EXP(-LN(2)/25))/(LN(2)/25)*Calculateur!CG80*Calculateur!CI80*VLOOKUP('Données projet'!$B$12,Paramètres!$A$1:$I$89,3,0)*0.475*44/12</f>
        <v>4.5358422403505623</v>
      </c>
      <c r="CM80" s="21">
        <f>EXP(-LN(2)/2)*CM79+(1-EXP(-LN(2)/2))/(LN(2)/2)*CG80*CJ80*VLOOKUP('Données projet'!$B$12,Paramètres!$A$1:$I$89,3,0)*0.475*44/12</f>
        <v>1.3218401099222057</v>
      </c>
      <c r="CN80" s="22">
        <f t="shared" si="66"/>
        <v>27.548665028914986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368.99999999999972</v>
      </c>
      <c r="CU80" s="17">
        <f>CT80*VLOOKUP('Données projet'!$B$13,Paramètres!$A$1:$I$89,3,0)*VLOOKUP('Données projet'!$B$13,Paramètres!$A$1:$I$89,5,0)</f>
        <v>356.89679999999976</v>
      </c>
      <c r="CV80" s="13">
        <f t="shared" si="95"/>
        <v>82.981017152077428</v>
      </c>
      <c r="CW80" s="20">
        <f t="shared" si="67"/>
        <v>766.12053153986756</v>
      </c>
      <c r="CX80" s="59">
        <f t="shared" si="68"/>
        <v>1035.6306907641399</v>
      </c>
      <c r="CY80" s="59">
        <f ca="1">AVERAGE(OFFSET($CX$3,0,0,'Données projet'!$E$13+1,1))-AVERAGE(OFFSET($H$3,0,0,'Données projet'!$E$13+1,1))</f>
        <v>508.3185483454435</v>
      </c>
      <c r="CZ80" s="59">
        <f t="shared" si="96"/>
        <v>487.08233034004945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25.862325501458024</v>
      </c>
      <c r="DG80" s="21">
        <f>EXP(-LN(2)/25)*DG79+(1-EXP(-LN(2)/25))/(LN(2)/25)*Calculateur!DB80*Calculateur!DD80*VLOOKUP('Données projet'!$B$13,Paramètres!$A$1:$I$89,3,0)*0.475*44/12</f>
        <v>5.4081195942641287</v>
      </c>
      <c r="DH80" s="21">
        <f>EXP(-LN(2)/2)*DH79+(1-EXP(-LN(2)/2))/(LN(2)/2)*DB80*DE80*VLOOKUP('Données projet'!$B$13,Paramètres!$A$1:$I$89,3,0)*0.475*44/12</f>
        <v>1.5760401310610914</v>
      </c>
      <c r="DI80" s="22">
        <f t="shared" si="69"/>
        <v>32.846485226783244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</v>
      </c>
      <c r="DO80" s="12">
        <f>IF('Données projet'!$A$166&gt;35,DO79+DN80-DW79,IF(A80&lt;'Données projet'!$A$166,$DL$205^A80,IF(A80='Données projet'!$A$166,'Données projet'!$B$166,DO79+DN80-DW79)))</f>
        <v>368.99999999999972</v>
      </c>
      <c r="DP80" s="17">
        <f>DO80*VLOOKUP('Données projet'!$B$14,Paramètres!$A$1:$I$89,3,0)*VLOOKUP('Données projet'!$B$14,Paramètres!$A$1:$I$89,5,0)</f>
        <v>356.89679999999976</v>
      </c>
      <c r="DQ80" s="13">
        <f t="shared" si="97"/>
        <v>82.981017152077428</v>
      </c>
      <c r="DR80" s="20">
        <f t="shared" si="70"/>
        <v>766.12053153986756</v>
      </c>
      <c r="DS80" s="59">
        <f t="shared" si="71"/>
        <v>1035.6306907641399</v>
      </c>
      <c r="DT80" s="59">
        <f ca="1">AVERAGE(OFFSET($DS$3,0,0,'Données projet'!$E$14+1,1))-AVERAGE(OFFSET($H$3,0,0,'Données projet'!$E$14+1,1))</f>
        <v>508.3185483454435</v>
      </c>
      <c r="DU80" s="59">
        <f t="shared" si="98"/>
        <v>487.08233034004945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25.862325501458024</v>
      </c>
      <c r="EB80" s="21">
        <f>EXP(-LN(2)/25)*EB79+(1-EXP(-LN(2)/25))/(LN(2)/25)*Calculateur!DW80*Calculateur!DY80*VLOOKUP('Données projet'!$B$14,Paramètres!$A$1:$I$89,3,0)*0.475*44/12</f>
        <v>5.4081195942641287</v>
      </c>
      <c r="EC80" s="21">
        <f>EXP(-LN(2)/2)*EC79+(1-EXP(-LN(2)/2))/(LN(2)/2)*DW80*DZ80*VLOOKUP('Données projet'!$B$14,Paramètres!$A$1:$I$89,3,0)*0.475*44/12</f>
        <v>1.5760401310610914</v>
      </c>
      <c r="ED80" s="22">
        <f t="shared" si="72"/>
        <v>32.846485226783244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>
        <f>VLOOKUP(A81,'Données projet'!$A$35:$I$55,2,0)</f>
        <v>296</v>
      </c>
      <c r="L81" s="12">
        <f>VLOOKUP(A81,'Données projet'!$A$35:$I$55,9,0)</f>
        <v>8.1111111111111107</v>
      </c>
      <c r="M81" s="12">
        <f t="array" ref="M81">INDEX(L:L,MIN(IF(ISNUMBER(L81:L277),ROW(L81:L277),"")))</f>
        <v>8.1111111111111107</v>
      </c>
      <c r="N81" s="13">
        <f>IF('Données projet'!$A$36&gt;35,N80+M81-V80,IF(A81&lt;'Données projet'!$A$36,$K$205^A81,IF(A81='Données projet'!$A$36,'Données projet'!$B$36,N80+M81-V80)))</f>
        <v>295.99999999999989</v>
      </c>
      <c r="O81" s="13">
        <f>N81*VLOOKUP('Données projet'!$B$9,Paramètres!$A$1:$I$89,3,0)*VLOOKUP('Données projet'!$B$9,Paramètres!$A$1:$I$89,5,0)</f>
        <v>267.82079999999991</v>
      </c>
      <c r="P81" s="13">
        <f t="shared" si="87"/>
        <v>64.386570147897302</v>
      </c>
      <c r="Q81" s="20">
        <f t="shared" si="54"/>
        <v>578.5945030075876</v>
      </c>
      <c r="R81" s="59">
        <f t="shared" si="55"/>
        <v>848.51794104201383</v>
      </c>
      <c r="S81" s="59">
        <f ca="1">AVERAGE(OFFSET($R$3,0,0,'Données projet'!$E$9+1,1))-AVERAGE(OFFSET($H$3,0,0,'Données projet'!$E$9+1,1))</f>
        <v>569.49435820174267</v>
      </c>
      <c r="T81" s="59">
        <f t="shared" si="88"/>
        <v>295.37730858134739</v>
      </c>
      <c r="U81" s="15">
        <f>IF(ISNA(VLOOKUP(A81,'Données projet'!$A$35:$I$55,3,0)),0,VLOOKUP(A81,'Données projet'!$A$35:$I$55,3,0))</f>
        <v>6</v>
      </c>
      <c r="V81" s="15">
        <f>IF(ISNA(VLOOKUP(A81,'Données projet'!$A$35:$I$55,4,0)),0,VLOOKUP(A81,'Données projet'!$A$35:$I$55,4,0))</f>
        <v>49</v>
      </c>
      <c r="W81" s="16">
        <f>IF(ISNA(VLOOKUP(A81,'Données projet'!$A$35:$I$55,5,0)),0%,VLOOKUP(A81,'Données projet'!$A$35:$I$55,5,0)*VLOOKUP('Données projet'!$B$9,Paramètres!$A$1:$I$89,7,0))</f>
        <v>4.3000000000000003E-2</v>
      </c>
      <c r="X81" s="16">
        <f>IF(ISNA(VLOOKUP(A81,'Données projet'!$A$35:$I$55,6,0)),0%,VLOOKUP(A81,'Données projet'!$A$35:$I$55,6,0)*VLOOKUP('Données projet'!$B$9,Paramètres!$A$1:$I$89,7,0))</f>
        <v>0.215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2.107483765938778</v>
      </c>
      <c r="AA81" s="21">
        <f>EXP(-LN(2)/25)*AA80+(1-EXP(-LN(2)/25))/(LN(2)/25)*Calculateur!V81*Calculateur!X81*VLOOKUP('Données projet'!$B$9,Paramètres!$A$1:$I$89,3,0)*0.475*44/12</f>
        <v>36.431599090700111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38.539082856638892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296</v>
      </c>
      <c r="AG81" s="12">
        <f>VLOOKUP(A81,'Données projet'!$A$61:$I$81,9,0)</f>
        <v>8.1111111111111107</v>
      </c>
      <c r="AH81" s="12">
        <f t="array" ref="AH81">INDEX(AG:AG,MIN(IF(ISNUMBER(AG81:AG277),ROW(AG81:AG277),"")))</f>
        <v>8.1111111111111107</v>
      </c>
      <c r="AI81" s="13">
        <f>IF('Données projet'!$A$62&gt;35,AI80+AH81-AQ80,IF(A81&lt;'Données projet'!$A$62,$AF$205^A81,IF(A81='Données projet'!$A$62,'Données projet'!$B$62,AI80+AH81-AQ80)))</f>
        <v>295.99999999999989</v>
      </c>
      <c r="AJ81" s="13">
        <f>AI81*VLOOKUP('Données projet'!$B$10,Paramètres!$A$1:$I$89,3,0)*VLOOKUP('Données projet'!$B$10,Paramètres!$A$1:$I$89,5,0)</f>
        <v>300.14399999999989</v>
      </c>
      <c r="AK81" s="13">
        <f t="shared" si="89"/>
        <v>71.206650563609855</v>
      </c>
      <c r="AL81" s="20">
        <f t="shared" si="58"/>
        <v>646.76904973162027</v>
      </c>
      <c r="AM81" s="59">
        <f t="shared" si="59"/>
        <v>916.6924877660465</v>
      </c>
      <c r="AN81" s="59">
        <f ca="1">AVERAGE(OFFSET($AM$3,0,0,'Données projet'!$E$10+1,1))-AVERAGE(OFFSET($H$3,0,0,'Données projet'!$E$10+1,1))</f>
        <v>627.83896530587367</v>
      </c>
      <c r="AO81" s="59">
        <f t="shared" si="90"/>
        <v>323.54927030899489</v>
      </c>
      <c r="AP81" s="15">
        <f>IF(ISNA(VLOOKUP(A81,'Données projet'!$A$61:$I$81,3,0)),0,VLOOKUP(A81,'Données projet'!$A$61:$I$81,3,0))</f>
        <v>6</v>
      </c>
      <c r="AQ81" s="15">
        <f>IF(ISNA(VLOOKUP(A81,'Données projet'!$A$61:$I$81,4,0)),0,VLOOKUP(A81,'Données projet'!$A$61:$I$81,4,0))</f>
        <v>49</v>
      </c>
      <c r="AR81" s="16">
        <f>IF(ISNA(VLOOKUP(A81,'Données projet'!$A$61:$I$81,5,0)),0%,VLOOKUP(A81,'Données projet'!$A$61:$I$81,5,0)*VLOOKUP('Données projet'!$B$10,Paramètres!$A$1:$I$89,7,0))</f>
        <v>4.3000000000000003E-2</v>
      </c>
      <c r="AS81" s="16">
        <f>IF(ISNA(VLOOKUP(A81,'Données projet'!$A$61:$I$81,6,0)),0%,VLOOKUP(A81,'Données projet'!$A$61:$I$81,6,0)*VLOOKUP('Données projet'!$B$10,Paramètres!$A$1:$I$89,7,0))</f>
        <v>0.215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2.3618352549313895</v>
      </c>
      <c r="AV81" s="21">
        <f>EXP(-LN(2)/25)*AV80+(1-EXP(-LN(2)/25))/(LN(2)/25)*Calculateur!AQ81*Calculateur!AS81*VLOOKUP('Données projet'!$B$10,Paramètres!$A$1:$I$89,3,0)*0.475*44/12</f>
        <v>40.82851622233634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43.190351477267733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372.99999999999972</v>
      </c>
      <c r="BE81" s="13">
        <f>BD81*VLOOKUP('Données projet'!$B$11,Paramètres!$A$1:$I$89,3,0)*VLOOKUP('Données projet'!$B$11,Paramètres!$A$1:$I$89,5,0)</f>
        <v>360.76559999999972</v>
      </c>
      <c r="BF81" s="13">
        <f t="shared" si="91"/>
        <v>83.77533643498333</v>
      </c>
      <c r="BG81" s="20">
        <f t="shared" si="61"/>
        <v>774.24213095759535</v>
      </c>
      <c r="BH81" s="59">
        <f t="shared" si="62"/>
        <v>1044.1655689920217</v>
      </c>
      <c r="BI81" s="59">
        <f ca="1">AVERAGE(OFFSET($BH$3,0,0,'Données projet'!$E$11+1,1))-AVERAGE(OFFSET($H$3,0,0,'Données projet'!$E$11+1,1))</f>
        <v>508.3185483454435</v>
      </c>
      <c r="BJ81" s="59">
        <f t="shared" si="92"/>
        <v>487.08233034004945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25.355181072835389</v>
      </c>
      <c r="BQ81" s="21">
        <f>EXP(-LN(2)/25)*BQ80+(1-EXP(-LN(2)/25))/(LN(2)/25)*Calculateur!BL81*Calculateur!BN81*VLOOKUP('Données projet'!$B$11,Paramètres!$A$1:$I$89,3,0)*0.475*44/12</f>
        <v>5.2602342795583272</v>
      </c>
      <c r="BR81" s="21">
        <f>EXP(-LN(2)/2)*BR80+(1-EXP(-LN(2)/2))/(LN(2)/2)*BL81*BO81*VLOOKUP('Données projet'!$B$11,Paramètres!$A$1:$I$89,3,0)*0.475*44/12</f>
        <v>1.1144286640954328</v>
      </c>
      <c r="BS81" s="22">
        <f t="shared" si="63"/>
        <v>31.72984401648915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372.99999999999972</v>
      </c>
      <c r="BZ81" s="13">
        <f>BY81*VLOOKUP('Données projet'!$B$12,Paramètres!$A$1:$I$89,3,0)*VLOOKUP('Données projet'!$B$12,Paramètres!$A$1:$I$89,5,0)</f>
        <v>302.57759999999979</v>
      </c>
      <c r="CA81" s="13">
        <f t="shared" si="93"/>
        <v>71.716558091076237</v>
      </c>
      <c r="CB81" s="20">
        <f t="shared" si="64"/>
        <v>651.89565867529075</v>
      </c>
      <c r="CC81" s="59">
        <f t="shared" si="65"/>
        <v>921.81909670971697</v>
      </c>
      <c r="CD81" s="59">
        <f ca="1">AVERAGE(OFFSET($CC$3,0,0,'Données projet'!$E$12+1,1))-AVERAGE(OFFSET($H$3,0,0,'Données projet'!$E$12+1,1))</f>
        <v>436.50252985867149</v>
      </c>
      <c r="CE81" s="59">
        <f t="shared" si="94"/>
        <v>419.00806288456329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21.265635738507104</v>
      </c>
      <c r="CL81" s="21">
        <f>EXP(-LN(2)/25)*CL80+(1-EXP(-LN(2)/25))/(LN(2)/25)*Calculateur!CG81*Calculateur!CI81*VLOOKUP('Données projet'!$B$12,Paramètres!$A$1:$I$89,3,0)*0.475*44/12</f>
        <v>4.4118093957585991</v>
      </c>
      <c r="CM81" s="21">
        <f>EXP(-LN(2)/2)*CM80+(1-EXP(-LN(2)/2))/(LN(2)/2)*CG81*CJ81*VLOOKUP('Données projet'!$B$12,Paramètres!$A$1:$I$89,3,0)*0.475*44/12</f>
        <v>0.93468210537036311</v>
      </c>
      <c r="CN81" s="22">
        <f t="shared" si="66"/>
        <v>26.612127239636067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372.99999999999972</v>
      </c>
      <c r="CU81" s="17">
        <f>CT81*VLOOKUP('Données projet'!$B$13,Paramètres!$A$1:$I$89,3,0)*VLOOKUP('Données projet'!$B$13,Paramètres!$A$1:$I$89,5,0)</f>
        <v>360.76559999999972</v>
      </c>
      <c r="CV81" s="13">
        <f t="shared" si="95"/>
        <v>83.77533643498333</v>
      </c>
      <c r="CW81" s="20">
        <f t="shared" si="67"/>
        <v>774.24213095759535</v>
      </c>
      <c r="CX81" s="59">
        <f t="shared" si="68"/>
        <v>1044.1655689920217</v>
      </c>
      <c r="CY81" s="59">
        <f ca="1">AVERAGE(OFFSET($CX$3,0,0,'Données projet'!$E$13+1,1))-AVERAGE(OFFSET($H$3,0,0,'Données projet'!$E$13+1,1))</f>
        <v>508.3185483454435</v>
      </c>
      <c r="CZ81" s="59">
        <f t="shared" si="96"/>
        <v>487.08233034004945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25.355181072835389</v>
      </c>
      <c r="DG81" s="21">
        <f>EXP(-LN(2)/25)*DG80+(1-EXP(-LN(2)/25))/(LN(2)/25)*Calculateur!DB81*Calculateur!DD81*VLOOKUP('Données projet'!$B$13,Paramètres!$A$1:$I$89,3,0)*0.475*44/12</f>
        <v>5.2602342795583272</v>
      </c>
      <c r="DH81" s="21">
        <f>EXP(-LN(2)/2)*DH80+(1-EXP(-LN(2)/2))/(LN(2)/2)*DB81*DE81*VLOOKUP('Données projet'!$B$13,Paramètres!$A$1:$I$89,3,0)*0.475*44/12</f>
        <v>1.1144286640954328</v>
      </c>
      <c r="DI81" s="22">
        <f t="shared" si="69"/>
        <v>31.72984401648915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</v>
      </c>
      <c r="DO81" s="12">
        <f>IF('Données projet'!$A$166&gt;35,DO80+DN81-DW80,IF(A81&lt;'Données projet'!$A$166,$DL$205^A81,IF(A81='Données projet'!$A$166,'Données projet'!$B$166,DO80+DN81-DW80)))</f>
        <v>372.99999999999972</v>
      </c>
      <c r="DP81" s="17">
        <f>DO81*VLOOKUP('Données projet'!$B$14,Paramètres!$A$1:$I$89,3,0)*VLOOKUP('Données projet'!$B$14,Paramètres!$A$1:$I$89,5,0)</f>
        <v>360.76559999999972</v>
      </c>
      <c r="DQ81" s="13">
        <f t="shared" si="97"/>
        <v>83.77533643498333</v>
      </c>
      <c r="DR81" s="20">
        <f t="shared" si="70"/>
        <v>774.24213095759535</v>
      </c>
      <c r="DS81" s="59">
        <f t="shared" si="71"/>
        <v>1044.1655689920217</v>
      </c>
      <c r="DT81" s="59">
        <f ca="1">AVERAGE(OFFSET($DS$3,0,0,'Données projet'!$E$14+1,1))-AVERAGE(OFFSET($H$3,0,0,'Données projet'!$E$14+1,1))</f>
        <v>508.3185483454435</v>
      </c>
      <c r="DU81" s="59">
        <f t="shared" si="98"/>
        <v>487.08233034004945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25.355181072835389</v>
      </c>
      <c r="EB81" s="21">
        <f>EXP(-LN(2)/25)*EB80+(1-EXP(-LN(2)/25))/(LN(2)/25)*Calculateur!DW81*Calculateur!DY81*VLOOKUP('Données projet'!$B$14,Paramètres!$A$1:$I$89,3,0)*0.475*44/12</f>
        <v>5.2602342795583272</v>
      </c>
      <c r="EC81" s="21">
        <f>EXP(-LN(2)/2)*EC80+(1-EXP(-LN(2)/2))/(LN(2)/2)*DW81*DZ81*VLOOKUP('Données projet'!$B$14,Paramètres!$A$1:$I$89,3,0)*0.475*44/12</f>
        <v>1.1144286640954328</v>
      </c>
      <c r="ED81" s="22">
        <f t="shared" si="72"/>
        <v>31.72984401648915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7.7777777777777777</v>
      </c>
      <c r="N82" s="13">
        <f>IF('Données projet'!$A$36&gt;35,N81+M82-V81,IF(A82&lt;'Données projet'!$A$36,$K$205^A82,IF(A82='Données projet'!$A$36,'Données projet'!$B$36,N81+M82-V81)))</f>
        <v>254.77777777777766</v>
      </c>
      <c r="O82" s="13">
        <f>N82*VLOOKUP('Données projet'!$B$9,Paramètres!$A$1:$I$89,3,0)*VLOOKUP('Données projet'!$B$9,Paramètres!$A$1:$I$89,5,0)</f>
        <v>230.52293333333321</v>
      </c>
      <c r="P82" s="13">
        <f t="shared" si="87"/>
        <v>56.395736994607496</v>
      </c>
      <c r="Q82" s="20">
        <f t="shared" si="54"/>
        <v>499.71668415449676</v>
      </c>
      <c r="R82" s="59">
        <f t="shared" si="55"/>
        <v>770.04623153567377</v>
      </c>
      <c r="S82" s="59">
        <f ca="1">AVERAGE(OFFSET($R$3,0,0,'Données projet'!$E$9+1,1))-AVERAGE(OFFSET($H$3,0,0,'Données projet'!$E$9+1,1))</f>
        <v>569.49435820174267</v>
      </c>
      <c r="T82" s="59">
        <f t="shared" si="88"/>
        <v>295.37730858134739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2.0661572947268891</v>
      </c>
      <c r="AA82" s="21">
        <f>EXP(-LN(2)/25)*AA81+(1-EXP(-LN(2)/25))/(LN(2)/25)*Calculateur!V82*Calculateur!X82*VLOOKUP('Données projet'!$B$9,Paramètres!$A$1:$I$89,3,0)*0.475*44/12</f>
        <v>35.435375097710384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37.501532392437277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7.7777777777777777</v>
      </c>
      <c r="AI82" s="13">
        <f>IF('Données projet'!$A$62&gt;35,AI81+AH82-AQ81,IF(A82&lt;'Données projet'!$A$62,$AF$205^A82,IF(A82='Données projet'!$A$62,'Données projet'!$B$62,AI81+AH82-AQ81)))</f>
        <v>254.77777777777766</v>
      </c>
      <c r="AJ82" s="13">
        <f>AI82*VLOOKUP('Données projet'!$B$10,Paramètres!$A$1:$I$89,3,0)*VLOOKUP('Données projet'!$B$10,Paramètres!$A$1:$I$89,5,0)</f>
        <v>258.34466666666651</v>
      </c>
      <c r="AK82" s="13">
        <f t="shared" si="89"/>
        <v>62.369396727112374</v>
      </c>
      <c r="AL82" s="20">
        <f t="shared" si="58"/>
        <v>558.57699374416472</v>
      </c>
      <c r="AM82" s="59">
        <f t="shared" si="59"/>
        <v>828.90654112534162</v>
      </c>
      <c r="AN82" s="59">
        <f ca="1">AVERAGE(OFFSET($AM$3,0,0,'Données projet'!$E$10+1,1))-AVERAGE(OFFSET($H$3,0,0,'Données projet'!$E$10+1,1))</f>
        <v>627.83896530587367</v>
      </c>
      <c r="AO82" s="59">
        <f t="shared" si="90"/>
        <v>323.54927030899489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2.3155211061594452</v>
      </c>
      <c r="AV82" s="21">
        <f>EXP(-LN(2)/25)*AV81+(1-EXP(-LN(2)/25))/(LN(2)/25)*Calculateur!AQ82*Calculateur!AS82*VLOOKUP('Données projet'!$B$10,Paramètres!$A$1:$I$89,3,0)*0.475*44/12</f>
        <v>39.712058299158201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42.027579405317645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376.99999999999972</v>
      </c>
      <c r="BE82" s="13">
        <f>BD82*VLOOKUP('Données projet'!$B$11,Paramètres!$A$1:$I$89,3,0)*VLOOKUP('Données projet'!$B$11,Paramètres!$A$1:$I$89,5,0)</f>
        <v>364.63439999999974</v>
      </c>
      <c r="BF82" s="13">
        <f t="shared" si="91"/>
        <v>84.568664801477581</v>
      </c>
      <c r="BG82" s="20">
        <f t="shared" si="61"/>
        <v>782.36200452923958</v>
      </c>
      <c r="BH82" s="59">
        <f t="shared" si="62"/>
        <v>1052.6915519104166</v>
      </c>
      <c r="BI82" s="59">
        <f ca="1">AVERAGE(OFFSET($BH$3,0,0,'Données projet'!$E$11+1,1))-AVERAGE(OFFSET($H$3,0,0,'Données projet'!$E$11+1,1))</f>
        <v>508.3185483454435</v>
      </c>
      <c r="BJ82" s="59">
        <f t="shared" si="92"/>
        <v>487.08233034004945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24.857981437130487</v>
      </c>
      <c r="BQ82" s="21">
        <f>EXP(-LN(2)/25)*BQ81+(1-EXP(-LN(2)/25))/(LN(2)/25)*Calculateur!BL82*Calculateur!BN82*VLOOKUP('Données projet'!$B$11,Paramètres!$A$1:$I$89,3,0)*0.475*44/12</f>
        <v>5.1163928965601064</v>
      </c>
      <c r="BR82" s="21">
        <f>EXP(-LN(2)/2)*BR81+(1-EXP(-LN(2)/2))/(LN(2)/2)*BL82*BO82*VLOOKUP('Données projet'!$B$11,Paramètres!$A$1:$I$89,3,0)*0.475*44/12</f>
        <v>0.78802006553054571</v>
      </c>
      <c r="BS82" s="22">
        <f t="shared" si="63"/>
        <v>30.76239439922114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376.99999999999972</v>
      </c>
      <c r="BZ82" s="13">
        <f>BY82*VLOOKUP('Données projet'!$B$12,Paramètres!$A$1:$I$89,3,0)*VLOOKUP('Données projet'!$B$12,Paramètres!$A$1:$I$89,5,0)</f>
        <v>305.82239999999979</v>
      </c>
      <c r="CA82" s="13">
        <f t="shared" si="93"/>
        <v>72.39569329126887</v>
      </c>
      <c r="CB82" s="20">
        <f t="shared" si="64"/>
        <v>658.72984581562616</v>
      </c>
      <c r="CC82" s="59">
        <f t="shared" si="65"/>
        <v>929.05939319680306</v>
      </c>
      <c r="CD82" s="59">
        <f ca="1">AVERAGE(OFFSET($CC$3,0,0,'Données projet'!$E$12+1,1))-AVERAGE(OFFSET($H$3,0,0,'Données projet'!$E$12+1,1))</f>
        <v>436.50252985867149</v>
      </c>
      <c r="CE82" s="59">
        <f t="shared" si="94"/>
        <v>419.00806288456329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20.848629592432026</v>
      </c>
      <c r="CL82" s="21">
        <f>EXP(-LN(2)/25)*CL81+(1-EXP(-LN(2)/25))/(LN(2)/25)*Calculateur!CG82*Calculateur!CI82*VLOOKUP('Données projet'!$B$12,Paramètres!$A$1:$I$89,3,0)*0.475*44/12</f>
        <v>4.2911682358246077</v>
      </c>
      <c r="CM82" s="21">
        <f>EXP(-LN(2)/2)*CM81+(1-EXP(-LN(2)/2))/(LN(2)/2)*CG82*CJ82*VLOOKUP('Données projet'!$B$12,Paramètres!$A$1:$I$89,3,0)*0.475*44/12</f>
        <v>0.66092005496110295</v>
      </c>
      <c r="CN82" s="22">
        <f t="shared" si="66"/>
        <v>25.800717883217736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376.99999999999972</v>
      </c>
      <c r="CU82" s="17">
        <f>CT82*VLOOKUP('Données projet'!$B$13,Paramètres!$A$1:$I$89,3,0)*VLOOKUP('Données projet'!$B$13,Paramètres!$A$1:$I$89,5,0)</f>
        <v>364.63439999999974</v>
      </c>
      <c r="CV82" s="13">
        <f t="shared" si="95"/>
        <v>84.568664801477581</v>
      </c>
      <c r="CW82" s="20">
        <f t="shared" si="67"/>
        <v>782.36200452923958</v>
      </c>
      <c r="CX82" s="59">
        <f t="shared" si="68"/>
        <v>1052.6915519104166</v>
      </c>
      <c r="CY82" s="59">
        <f ca="1">AVERAGE(OFFSET($CX$3,0,0,'Données projet'!$E$13+1,1))-AVERAGE(OFFSET($H$3,0,0,'Données projet'!$E$13+1,1))</f>
        <v>508.3185483454435</v>
      </c>
      <c r="CZ82" s="59">
        <f t="shared" si="96"/>
        <v>487.08233034004945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24.857981437130487</v>
      </c>
      <c r="DG82" s="21">
        <f>EXP(-LN(2)/25)*DG81+(1-EXP(-LN(2)/25))/(LN(2)/25)*Calculateur!DB82*Calculateur!DD82*VLOOKUP('Données projet'!$B$13,Paramètres!$A$1:$I$89,3,0)*0.475*44/12</f>
        <v>5.1163928965601064</v>
      </c>
      <c r="DH82" s="21">
        <f>EXP(-LN(2)/2)*DH81+(1-EXP(-LN(2)/2))/(LN(2)/2)*DB82*DE82*VLOOKUP('Données projet'!$B$13,Paramètres!$A$1:$I$89,3,0)*0.475*44/12</f>
        <v>0.78802006553054571</v>
      </c>
      <c r="DI82" s="22">
        <f t="shared" si="69"/>
        <v>30.76239439922114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</v>
      </c>
      <c r="DO82" s="12">
        <f>IF('Données projet'!$A$166&gt;35,DO81+DN82-DW81,IF(A82&lt;'Données projet'!$A$166,$DL$205^A82,IF(A82='Données projet'!$A$166,'Données projet'!$B$166,DO81+DN82-DW81)))</f>
        <v>376.99999999999972</v>
      </c>
      <c r="DP82" s="17">
        <f>DO82*VLOOKUP('Données projet'!$B$14,Paramètres!$A$1:$I$89,3,0)*VLOOKUP('Données projet'!$B$14,Paramètres!$A$1:$I$89,5,0)</f>
        <v>364.63439999999974</v>
      </c>
      <c r="DQ82" s="13">
        <f t="shared" si="97"/>
        <v>84.568664801477581</v>
      </c>
      <c r="DR82" s="20">
        <f t="shared" si="70"/>
        <v>782.36200452923958</v>
      </c>
      <c r="DS82" s="59">
        <f t="shared" si="71"/>
        <v>1052.6915519104166</v>
      </c>
      <c r="DT82" s="59">
        <f ca="1">AVERAGE(OFFSET($DS$3,0,0,'Données projet'!$E$14+1,1))-AVERAGE(OFFSET($H$3,0,0,'Données projet'!$E$14+1,1))</f>
        <v>508.3185483454435</v>
      </c>
      <c r="DU82" s="59">
        <f t="shared" si="98"/>
        <v>487.08233034004945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24.857981437130487</v>
      </c>
      <c r="EB82" s="21">
        <f>EXP(-LN(2)/25)*EB81+(1-EXP(-LN(2)/25))/(LN(2)/25)*Calculateur!DW82*Calculateur!DY82*VLOOKUP('Données projet'!$B$14,Paramètres!$A$1:$I$89,3,0)*0.475*44/12</f>
        <v>5.1163928965601064</v>
      </c>
      <c r="EC82" s="21">
        <f>EXP(-LN(2)/2)*EC81+(1-EXP(-LN(2)/2))/(LN(2)/2)*DW82*DZ82*VLOOKUP('Données projet'!$B$14,Paramètres!$A$1:$I$89,3,0)*0.475*44/12</f>
        <v>0.78802006553054571</v>
      </c>
      <c r="ED82" s="22">
        <f t="shared" si="72"/>
        <v>30.76239439922114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7.7777777777777777</v>
      </c>
      <c r="N83" s="13">
        <f>IF('Données projet'!$A$36&gt;35,N82+M83-V82,IF(A83&lt;'Données projet'!$A$36,$K$205^A83,IF(A83='Données projet'!$A$36,'Données projet'!$B$36,N82+M83-V82)))</f>
        <v>262.55555555555543</v>
      </c>
      <c r="O83" s="13">
        <f>N83*VLOOKUP('Données projet'!$B$9,Paramètres!$A$1:$I$89,3,0)*VLOOKUP('Données projet'!$B$9,Paramètres!$A$1:$I$89,5,0)</f>
        <v>237.56026666666656</v>
      </c>
      <c r="P83" s="13">
        <f t="shared" si="87"/>
        <v>57.914298227932981</v>
      </c>
      <c r="Q83" s="20">
        <f t="shared" si="54"/>
        <v>514.61820052476094</v>
      </c>
      <c r="R83" s="59">
        <f t="shared" si="55"/>
        <v>785.34681216344711</v>
      </c>
      <c r="S83" s="59">
        <f ca="1">AVERAGE(OFFSET($R$3,0,0,'Données projet'!$E$9+1,1))-AVERAGE(OFFSET($H$3,0,0,'Données projet'!$E$9+1,1))</f>
        <v>569.49435820174267</v>
      </c>
      <c r="T83" s="59">
        <f t="shared" si="88"/>
        <v>295.37730858134739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2.0256412104088071</v>
      </c>
      <c r="AA83" s="21">
        <f>EXP(-LN(2)/25)*AA82+(1-EXP(-LN(2)/25))/(LN(2)/25)*Calculateur!V83*Calculateur!X83*VLOOKUP('Données projet'!$B$9,Paramètres!$A$1:$I$89,3,0)*0.475*44/12</f>
        <v>34.466392902198109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36.492034112606916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7.7777777777777777</v>
      </c>
      <c r="AI83" s="13">
        <f>IF('Données projet'!$A$62&gt;35,AI82+AH83-AQ82,IF(A83&lt;'Données projet'!$A$62,$AF$205^A83,IF(A83='Données projet'!$A$62,'Données projet'!$B$62,AI82+AH83-AQ82)))</f>
        <v>262.55555555555543</v>
      </c>
      <c r="AJ83" s="13">
        <f>AI83*VLOOKUP('Données projet'!$B$10,Paramètres!$A$1:$I$89,3,0)*VLOOKUP('Données projet'!$B$10,Paramètres!$A$1:$I$89,5,0)</f>
        <v>266.23133333333323</v>
      </c>
      <c r="AK83" s="13">
        <f t="shared" si="89"/>
        <v>64.048809978237188</v>
      </c>
      <c r="AL83" s="20">
        <f t="shared" si="58"/>
        <v>575.23791626765171</v>
      </c>
      <c r="AM83" s="59">
        <f t="shared" si="59"/>
        <v>845.96652790633789</v>
      </c>
      <c r="AN83" s="59">
        <f ca="1">AVERAGE(OFFSET($AM$3,0,0,'Données projet'!$E$10+1,1))-AVERAGE(OFFSET($H$3,0,0,'Données projet'!$E$10+1,1))</f>
        <v>627.83896530587367</v>
      </c>
      <c r="AO83" s="59">
        <f t="shared" si="90"/>
        <v>323.54927030899489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2.2701151495960774</v>
      </c>
      <c r="AV83" s="21">
        <f>EXP(-LN(2)/25)*AV82+(1-EXP(-LN(2)/25))/(LN(2)/25)*Calculateur!AQ83*Calculateur!AS83*VLOOKUP('Données projet'!$B$10,Paramètres!$A$1:$I$89,3,0)*0.475*44/12</f>
        <v>38.626129976601341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40.896245126197421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381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380.99999999999972</v>
      </c>
      <c r="BE83" s="13">
        <f>BD83*VLOOKUP('Données projet'!$B$11,Paramètres!$A$1:$I$89,3,0)*VLOOKUP('Données projet'!$B$11,Paramètres!$A$1:$I$89,5,0)</f>
        <v>368.50319999999977</v>
      </c>
      <c r="BF83" s="13">
        <f t="shared" si="91"/>
        <v>85.361013982254164</v>
      </c>
      <c r="BG83" s="20">
        <f t="shared" si="61"/>
        <v>790.48017268575893</v>
      </c>
      <c r="BH83" s="59">
        <f t="shared" si="62"/>
        <v>1061.2087843244451</v>
      </c>
      <c r="BI83" s="59">
        <f ca="1">AVERAGE(OFFSET($BH$3,0,0,'Données projet'!$E$11+1,1))-AVERAGE(OFFSET($H$3,0,0,'Données projet'!$E$11+1,1))</f>
        <v>508.3185483454435</v>
      </c>
      <c r="BJ83" s="59">
        <f t="shared" si="92"/>
        <v>487.08233034004945</v>
      </c>
      <c r="BK83" s="15" t="str">
        <f>IF(ISNA(VLOOKUP(A83,'Données projet'!$A$87:$I$107,3,0)),0,VLOOKUP(A83,'Données projet'!$A$87:$I$107,3,0))</f>
        <v>CR</v>
      </c>
      <c r="BL83" s="21">
        <f>IF(ISNA(VLOOKUP(A83,'Données projet'!$A$87:$I$107,4,0)),0,VLOOKUP(A83,'Données projet'!$A$87:$I$107,4,0))</f>
        <v>381</v>
      </c>
      <c r="BM83" s="16">
        <f>IF(ISNA(VLOOKUP(A83,'Données projet'!$A$87:$I$107,5,0)),0%,VLOOKUP(A83,'Données projet'!$A$87:$I$107,5,0)*VLOOKUP('Données projet'!$B$11,Paramètres!$A$1:$I$89,7,0))</f>
        <v>0.30099999999999999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146.98871266431502</v>
      </c>
      <c r="BQ83" s="21">
        <f>EXP(-LN(2)/25)*BQ82+(1-EXP(-LN(2)/25))/(LN(2)/25)*Calculateur!BL83*Calculateur!BN83*VLOOKUP('Données projet'!$B$11,Paramètres!$A$1:$I$89,3,0)*0.475*44/12</f>
        <v>4.9764848637442611</v>
      </c>
      <c r="BR83" s="21">
        <f>EXP(-LN(2)/2)*BR82+(1-EXP(-LN(2)/2))/(LN(2)/2)*BL83*BO83*VLOOKUP('Données projet'!$B$11,Paramètres!$A$1:$I$89,3,0)*0.475*44/12</f>
        <v>70.095751795690191</v>
      </c>
      <c r="BS83" s="22">
        <f t="shared" si="63"/>
        <v>222.06094932374947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381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380.99999999999972</v>
      </c>
      <c r="BZ83" s="13">
        <f>BY83*VLOOKUP('Données projet'!$B$12,Paramètres!$A$1:$I$89,3,0)*VLOOKUP('Données projet'!$B$12,Paramètres!$A$1:$I$89,5,0)</f>
        <v>309.06719999999979</v>
      </c>
      <c r="CA83" s="13">
        <f t="shared" si="93"/>
        <v>73.073990251564354</v>
      </c>
      <c r="CB83" s="20">
        <f t="shared" si="64"/>
        <v>665.56257302147412</v>
      </c>
      <c r="CC83" s="59">
        <f t="shared" si="65"/>
        <v>936.2911846601603</v>
      </c>
      <c r="CD83" s="59">
        <f ca="1">AVERAGE(OFFSET($CC$3,0,0,'Données projet'!$E$12+1,1))-AVERAGE(OFFSET($H$3,0,0,'Données projet'!$E$12+1,1))</f>
        <v>436.50252985867149</v>
      </c>
      <c r="CE83" s="59">
        <f t="shared" si="94"/>
        <v>419.00806288456329</v>
      </c>
      <c r="CF83" s="15" t="str">
        <f>IF(ISNA(VLOOKUP(A83,'Données projet'!$A$113:$I$133,3,0)),0,VLOOKUP(A83,'Données projet'!$A$113:$I$133,3,0))</f>
        <v>CR</v>
      </c>
      <c r="CG83" s="15">
        <f>IF(ISNA(VLOOKUP(A83,'Données projet'!$A$113:$I$133,4,0)),0,VLOOKUP(A83,'Données projet'!$A$113:$I$133,4,0))</f>
        <v>381</v>
      </c>
      <c r="CH83" s="16">
        <f>IF(ISNA(VLOOKUP(A83,'Données projet'!$A$113:$I$133,5,0)),0%,VLOOKUP(A83,'Données projet'!$A$113:$I$133,5,0)*VLOOKUP('Données projet'!$B$12,Paramètres!$A$1:$I$89,7,0))</f>
        <v>0.30099999999999999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0.2</v>
      </c>
      <c r="CK83" s="21">
        <f>EXP(-LN(2)/35)*CK82+(1-EXP(-LN(2)/35))/(LN(2)/35)*CG83*CH83*VLOOKUP('Données projet'!$B$12,Paramètres!$A$1:$I$89,3,0)*0.475*44/12</f>
        <v>123.28085578297389</v>
      </c>
      <c r="CL83" s="21">
        <f>EXP(-LN(2)/25)*CL82+(1-EXP(-LN(2)/25))/(LN(2)/25)*Calculateur!CG83*Calculateur!CI83*VLOOKUP('Données projet'!$B$12,Paramètres!$A$1:$I$89,3,0)*0.475*44/12</f>
        <v>4.1738260147532538</v>
      </c>
      <c r="CM83" s="21">
        <f>EXP(-LN(2)/2)*CM82+(1-EXP(-LN(2)/2))/(LN(2)/2)*CG83*CJ83*VLOOKUP('Données projet'!$B$12,Paramètres!$A$1:$I$89,3,0)*0.475*44/12</f>
        <v>58.789985377030476</v>
      </c>
      <c r="CN83" s="22">
        <f t="shared" si="66"/>
        <v>186.24466717475764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381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380.99999999999972</v>
      </c>
      <c r="CU83" s="17">
        <f>CT83*VLOOKUP('Données projet'!$B$13,Paramètres!$A$1:$I$89,3,0)*VLOOKUP('Données projet'!$B$13,Paramètres!$A$1:$I$89,5,0)</f>
        <v>368.50319999999977</v>
      </c>
      <c r="CV83" s="13">
        <f t="shared" si="95"/>
        <v>85.361013982254164</v>
      </c>
      <c r="CW83" s="20">
        <f t="shared" si="67"/>
        <v>790.48017268575893</v>
      </c>
      <c r="CX83" s="59">
        <f t="shared" si="68"/>
        <v>1061.2087843244451</v>
      </c>
      <c r="CY83" s="59">
        <f ca="1">AVERAGE(OFFSET($CX$3,0,0,'Données projet'!$E$13+1,1))-AVERAGE(OFFSET($H$3,0,0,'Données projet'!$E$13+1,1))</f>
        <v>508.3185483454435</v>
      </c>
      <c r="CZ83" s="59">
        <f t="shared" si="96"/>
        <v>487.08233034004945</v>
      </c>
      <c r="DA83" s="15" t="str">
        <f>IF(ISNA(VLOOKUP(A83,'Données projet'!$A$139:$I$159,3,0)),0,VLOOKUP(A83,'Données projet'!$A$139:$I$159,3,0))</f>
        <v>CR</v>
      </c>
      <c r="DB83" s="15">
        <f>IF(ISNA(VLOOKUP(A83,'Données projet'!$A$139:$I$159,4,0)),0,VLOOKUP(A83,'Données projet'!$A$139:$I$159,4,0))</f>
        <v>381</v>
      </c>
      <c r="DC83" s="16">
        <f>IF(ISNA(VLOOKUP(A83,'Données projet'!$A$139:$I$159,5,0)),0%,VLOOKUP(A83,'Données projet'!$A$139:$I$159,5,0)*VLOOKUP('Données projet'!$B$13,Paramètres!$A$1:$I$89,7,0))</f>
        <v>0.30099999999999999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0.2</v>
      </c>
      <c r="DF83" s="21">
        <f>EXP(-LN(2)/35)*DF82+(1-EXP(-LN(2)/35))/(LN(2)/35)*DB83*DC83*VLOOKUP('Données projet'!$B$13,Paramètres!$A$1:$I$89,3,0)*0.475*44/12</f>
        <v>146.98871266431502</v>
      </c>
      <c r="DG83" s="21">
        <f>EXP(-LN(2)/25)*DG82+(1-EXP(-LN(2)/25))/(LN(2)/25)*Calculateur!DB83*Calculateur!DD83*VLOOKUP('Données projet'!$B$13,Paramètres!$A$1:$I$89,3,0)*0.475*44/12</f>
        <v>4.9764848637442611</v>
      </c>
      <c r="DH83" s="21">
        <f>EXP(-LN(2)/2)*DH82+(1-EXP(-LN(2)/2))/(LN(2)/2)*DB83*DE83*VLOOKUP('Données projet'!$B$13,Paramètres!$A$1:$I$89,3,0)*0.475*44/12</f>
        <v>70.095751795690191</v>
      </c>
      <c r="DI83" s="22">
        <f t="shared" si="69"/>
        <v>222.06094932374947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381</v>
      </c>
      <c r="DM83" s="12">
        <f>VLOOKUP(A83,'Données projet'!$A$165:$I$185,9,0)</f>
        <v>4</v>
      </c>
      <c r="DN83" s="12">
        <f t="array" ref="DN83">INDEX(DM:DM,MIN(IF(ISNUMBER(DM83:DM279),ROW(DM83:DM279),"")))</f>
        <v>4</v>
      </c>
      <c r="DO83" s="12">
        <f>IF('Données projet'!$A$166&gt;35,DO82+DN83-DW82,IF(A83&lt;'Données projet'!$A$166,$DL$205^A83,IF(A83='Données projet'!$A$166,'Données projet'!$B$166,DO82+DN83-DW82)))</f>
        <v>380.99999999999972</v>
      </c>
      <c r="DP83" s="17">
        <f>DO83*VLOOKUP('Données projet'!$B$14,Paramètres!$A$1:$I$89,3,0)*VLOOKUP('Données projet'!$B$14,Paramètres!$A$1:$I$89,5,0)</f>
        <v>368.50319999999977</v>
      </c>
      <c r="DQ83" s="13">
        <f t="shared" si="97"/>
        <v>85.361013982254164</v>
      </c>
      <c r="DR83" s="20">
        <f t="shared" si="70"/>
        <v>790.48017268575893</v>
      </c>
      <c r="DS83" s="59">
        <f t="shared" si="71"/>
        <v>1061.2087843244451</v>
      </c>
      <c r="DT83" s="59">
        <f ca="1">AVERAGE(OFFSET($DS$3,0,0,'Données projet'!$E$14+1,1))-AVERAGE(OFFSET($H$3,0,0,'Données projet'!$E$14+1,1))</f>
        <v>508.3185483454435</v>
      </c>
      <c r="DU83" s="59">
        <f t="shared" si="98"/>
        <v>487.08233034004945</v>
      </c>
      <c r="DV83" s="15" t="str">
        <f>IF(ISNA(VLOOKUP(A83,'Données projet'!$A$165:$I$185,3,0)),0,VLOOKUP(A83,'Données projet'!$A$165:$I$185,3,0))</f>
        <v>CR</v>
      </c>
      <c r="DW83" s="15">
        <f>IF(ISNA(VLOOKUP(A83,'Données projet'!$A$165:$I$185,4,0)),0,VLOOKUP(A83,'Données projet'!$A$165:$I$185,4,0))</f>
        <v>381</v>
      </c>
      <c r="DX83" s="16">
        <f>IF(ISNA(VLOOKUP(A83,'Données projet'!$A$165:$I$185,5,0)),0%,VLOOKUP(A83,'Données projet'!$A$165:$I$185,5,0)*VLOOKUP('Données projet'!$B$14,Paramètres!$A$1:$I$89,7,0))</f>
        <v>0.30099999999999999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0.2</v>
      </c>
      <c r="EA83" s="21">
        <f>EXP(-LN(2)/35)*EA82+(1-EXP(-LN(2)/35))/(LN(2)/35)*DW83*DX83*VLOOKUP('Données projet'!$B$14,Paramètres!$A$1:$I$89,3,0)*0.475*44/12</f>
        <v>146.98871266431502</v>
      </c>
      <c r="EB83" s="21">
        <f>EXP(-LN(2)/25)*EB82+(1-EXP(-LN(2)/25))/(LN(2)/25)*Calculateur!DW83*Calculateur!DY83*VLOOKUP('Données projet'!$B$14,Paramètres!$A$1:$I$89,3,0)*0.475*44/12</f>
        <v>4.9764848637442611</v>
      </c>
      <c r="EC83" s="21">
        <f>EXP(-LN(2)/2)*EC82+(1-EXP(-LN(2)/2))/(LN(2)/2)*DW83*DZ83*VLOOKUP('Données projet'!$B$14,Paramètres!$A$1:$I$89,3,0)*0.475*44/12</f>
        <v>70.095751795690191</v>
      </c>
      <c r="ED83" s="22">
        <f t="shared" si="72"/>
        <v>222.06094932374947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7.7777777777777777</v>
      </c>
      <c r="N84" s="13">
        <f>IF('Données projet'!$A$36&gt;35,N83+M84-V83,IF(A84&lt;'Données projet'!$A$36,$K$205^A84,IF(A84='Données projet'!$A$36,'Données projet'!$B$36,N83+M84-V83)))</f>
        <v>270.3333333333332</v>
      </c>
      <c r="O84" s="13">
        <f>N84*VLOOKUP('Données projet'!$B$9,Paramètres!$A$1:$I$89,3,0)*VLOOKUP('Données projet'!$B$9,Paramètres!$A$1:$I$89,5,0)</f>
        <v>244.59759999999986</v>
      </c>
      <c r="P84" s="13">
        <f t="shared" si="87"/>
        <v>59.427631429904153</v>
      </c>
      <c r="Q84" s="20">
        <f t="shared" si="54"/>
        <v>529.51061140708282</v>
      </c>
      <c r="R84" s="59">
        <f t="shared" si="55"/>
        <v>800.6313644305842</v>
      </c>
      <c r="S84" s="59">
        <f ca="1">AVERAGE(OFFSET($R$3,0,0,'Données projet'!$E$9+1,1))-AVERAGE(OFFSET($H$3,0,0,'Données projet'!$E$9+1,1))</f>
        <v>569.49435820174267</v>
      </c>
      <c r="T84" s="59">
        <f t="shared" si="88"/>
        <v>295.37730858134739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1.9859196217918313</v>
      </c>
      <c r="AA84" s="21">
        <f>EXP(-LN(2)/25)*AA83+(1-EXP(-LN(2)/25))/(LN(2)/25)*Calculateur!V84*Calculateur!X84*VLOOKUP('Données projet'!$B$9,Paramètres!$A$1:$I$89,3,0)*0.475*44/12</f>
        <v>33.523907575778672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35.509827197570502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7.7777777777777777</v>
      </c>
      <c r="AI84" s="13">
        <f>IF('Données projet'!$A$62&gt;35,AI83+AH84-AQ83,IF(A84&lt;'Données projet'!$A$62,$AF$205^A84,IF(A84='Données projet'!$A$62,'Données projet'!$B$62,AI83+AH84-AQ83)))</f>
        <v>270.3333333333332</v>
      </c>
      <c r="AJ84" s="13">
        <f>AI84*VLOOKUP('Données projet'!$B$10,Paramètres!$A$1:$I$89,3,0)*VLOOKUP('Données projet'!$B$10,Paramètres!$A$1:$I$89,5,0)</f>
        <v>274.11799999999988</v>
      </c>
      <c r="AK84" s="13">
        <f t="shared" si="89"/>
        <v>65.722441424228805</v>
      </c>
      <c r="AL84" s="20">
        <f t="shared" si="58"/>
        <v>591.88876881386489</v>
      </c>
      <c r="AM84" s="59">
        <f t="shared" si="59"/>
        <v>863.00952183736626</v>
      </c>
      <c r="AN84" s="59">
        <f ca="1">AVERAGE(OFFSET($AM$3,0,0,'Données projet'!$E$10+1,1))-AVERAGE(OFFSET($H$3,0,0,'Données projet'!$E$10+1,1))</f>
        <v>627.83896530587367</v>
      </c>
      <c r="AO84" s="59">
        <f t="shared" si="90"/>
        <v>323.54927030899489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2.2255995761460183</v>
      </c>
      <c r="AV84" s="21">
        <f>EXP(-LN(2)/25)*AV83+(1-EXP(-LN(2)/25))/(LN(2)/25)*Calculateur!AQ84*Calculateur!AS84*VLOOKUP('Données projet'!$B$10,Paramètres!$A$1:$I$89,3,0)*0.475*44/12</f>
        <v>37.569896421131283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39.7954959972773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-2.8421709430404007E-13</v>
      </c>
      <c r="BE84" s="13">
        <f>BD84*VLOOKUP('Données projet'!$B$11,Paramètres!$A$1:$I$89,3,0)*VLOOKUP('Données projet'!$B$11,Paramètres!$A$1:$I$89,5,0)</f>
        <v>-2.7489477361086758E-13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508.3185483454435</v>
      </c>
      <c r="BJ84" s="59">
        <f t="shared" si="92"/>
        <v>487.08233034004945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144.1063536632299</v>
      </c>
      <c r="BQ84" s="21">
        <f>EXP(-LN(2)/25)*BQ83+(1-EXP(-LN(2)/25))/(LN(2)/25)*Calculateur!BL84*Calculateur!BN84*VLOOKUP('Données projet'!$B$11,Paramètres!$A$1:$I$89,3,0)*0.475*44/12</f>
        <v>4.8404026234432092</v>
      </c>
      <c r="BR84" s="21">
        <f>EXP(-LN(2)/2)*BR83+(1-EXP(-LN(2)/2))/(LN(2)/2)*BL84*BO84*VLOOKUP('Données projet'!$B$11,Paramètres!$A$1:$I$89,3,0)*0.475*44/12</f>
        <v>49.565181427101656</v>
      </c>
      <c r="BS84" s="22">
        <f t="shared" si="63"/>
        <v>198.51193771377476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-2.8421709430404007E-13</v>
      </c>
      <c r="BZ84" s="13">
        <f>BY84*VLOOKUP('Données projet'!$B$12,Paramètres!$A$1:$I$89,3,0)*VLOOKUP('Données projet'!$B$12,Paramètres!$A$1:$I$89,5,0)</f>
        <v>-2.3055690689943731E-13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436.50252985867149</v>
      </c>
      <c r="CE84" s="59">
        <f t="shared" si="94"/>
        <v>419.00806288456329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120.86339339496702</v>
      </c>
      <c r="CL84" s="21">
        <f>EXP(-LN(2)/25)*CL83+(1-EXP(-LN(2)/25))/(LN(2)/25)*Calculateur!CG84*Calculateur!CI84*VLOOKUP('Données projet'!$B$12,Paramètres!$A$1:$I$89,3,0)*0.475*44/12</f>
        <v>4.0596925228878558</v>
      </c>
      <c r="CM84" s="21">
        <f>EXP(-LN(2)/2)*CM83+(1-EXP(-LN(2)/2))/(LN(2)/2)*CG84*CJ84*VLOOKUP('Données projet'!$B$12,Paramètres!$A$1:$I$89,3,0)*0.475*44/12</f>
        <v>41.570797325956221</v>
      </c>
      <c r="CN84" s="22">
        <f t="shared" si="66"/>
        <v>166.4938832438111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-2.8421709430404007E-13</v>
      </c>
      <c r="CU84" s="17">
        <f>CT84*VLOOKUP('Données projet'!$B$13,Paramètres!$A$1:$I$89,3,0)*VLOOKUP('Données projet'!$B$13,Paramètres!$A$1:$I$89,5,0)</f>
        <v>-2.7489477361086758E-13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508.3185483454435</v>
      </c>
      <c r="CZ84" s="59">
        <f t="shared" si="96"/>
        <v>487.08233034004945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144.1063536632299</v>
      </c>
      <c r="DG84" s="21">
        <f>EXP(-LN(2)/25)*DG83+(1-EXP(-LN(2)/25))/(LN(2)/25)*Calculateur!DB84*Calculateur!DD84*VLOOKUP('Données projet'!$B$13,Paramètres!$A$1:$I$89,3,0)*0.475*44/12</f>
        <v>4.8404026234432092</v>
      </c>
      <c r="DH84" s="21">
        <f>EXP(-LN(2)/2)*DH83+(1-EXP(-LN(2)/2))/(LN(2)/2)*DB84*DE84*VLOOKUP('Données projet'!$B$13,Paramètres!$A$1:$I$89,3,0)*0.475*44/12</f>
        <v>49.565181427101656</v>
      </c>
      <c r="DI84" s="22">
        <f t="shared" si="69"/>
        <v>198.51193771377476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-2.8421709430404007E-13</v>
      </c>
      <c r="DP84" s="17">
        <f>DO84*VLOOKUP('Données projet'!$B$14,Paramètres!$A$1:$I$89,3,0)*VLOOKUP('Données projet'!$B$14,Paramètres!$A$1:$I$89,5,0)</f>
        <v>-2.7489477361086758E-13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508.3185483454435</v>
      </c>
      <c r="DU84" s="59">
        <f t="shared" si="98"/>
        <v>487.08233034004945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144.1063536632299</v>
      </c>
      <c r="EB84" s="21">
        <f>EXP(-LN(2)/25)*EB83+(1-EXP(-LN(2)/25))/(LN(2)/25)*Calculateur!DW84*Calculateur!DY84*VLOOKUP('Données projet'!$B$14,Paramètres!$A$1:$I$89,3,0)*0.475*44/12</f>
        <v>4.8404026234432092</v>
      </c>
      <c r="EC84" s="21">
        <f>EXP(-LN(2)/2)*EC83+(1-EXP(-LN(2)/2))/(LN(2)/2)*DW84*DZ84*VLOOKUP('Données projet'!$B$14,Paramètres!$A$1:$I$89,3,0)*0.475*44/12</f>
        <v>49.565181427101656</v>
      </c>
      <c r="ED84" s="22">
        <f t="shared" si="72"/>
        <v>198.51193771377476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7.7777777777777777</v>
      </c>
      <c r="N85" s="13">
        <f>IF('Données projet'!$A$36&gt;35,N84+M85-V84,IF(A85&lt;'Données projet'!$A$36,$K$205^A85,IF(A85='Données projet'!$A$36,'Données projet'!$B$36,N84+M85-V84)))</f>
        <v>278.11111111111097</v>
      </c>
      <c r="O85" s="13">
        <f>N85*VLOOKUP('Données projet'!$B$9,Paramètres!$A$1:$I$89,3,0)*VLOOKUP('Données projet'!$B$9,Paramètres!$A$1:$I$89,5,0)</f>
        <v>251.63493333333321</v>
      </c>
      <c r="P85" s="13">
        <f t="shared" si="87"/>
        <v>60.935904290989214</v>
      </c>
      <c r="Q85" s="20">
        <f t="shared" si="54"/>
        <v>544.39420886236155</v>
      </c>
      <c r="R85" s="59">
        <f t="shared" si="55"/>
        <v>815.90030049434858</v>
      </c>
      <c r="S85" s="59">
        <f ca="1">AVERAGE(OFFSET($R$3,0,0,'Données projet'!$E$9+1,1))-AVERAGE(OFFSET($H$3,0,0,'Données projet'!$E$9+1,1))</f>
        <v>569.49435820174267</v>
      </c>
      <c r="T85" s="59">
        <f t="shared" si="88"/>
        <v>295.37730858134739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1.9469769492998577</v>
      </c>
      <c r="AA85" s="21">
        <f>EXP(-LN(2)/25)*AA84+(1-EXP(-LN(2)/25))/(LN(2)/25)*Calculateur!V85*Calculateur!X85*VLOOKUP('Données projet'!$B$9,Paramètres!$A$1:$I$89,3,0)*0.475*44/12</f>
        <v>32.607194560173326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34.554171509473186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7.7777777777777777</v>
      </c>
      <c r="AI85" s="13">
        <f>IF('Données projet'!$A$62&gt;35,AI84+AH85-AQ84,IF(A85&lt;'Données projet'!$A$62,$AF$205^A85,IF(A85='Données projet'!$A$62,'Données projet'!$B$62,AI84+AH85-AQ84)))</f>
        <v>278.11111111111097</v>
      </c>
      <c r="AJ85" s="13">
        <f>AI85*VLOOKUP('Données projet'!$B$10,Paramètres!$A$1:$I$89,3,0)*VLOOKUP('Données projet'!$B$10,Paramètres!$A$1:$I$89,5,0)</f>
        <v>282.00466666666654</v>
      </c>
      <c r="AK85" s="13">
        <f t="shared" si="89"/>
        <v>67.390476517993889</v>
      </c>
      <c r="AL85" s="20">
        <f t="shared" si="58"/>
        <v>608.52987437995023</v>
      </c>
      <c r="AM85" s="59">
        <f t="shared" si="59"/>
        <v>880.03596601193726</v>
      </c>
      <c r="AN85" s="59">
        <f ca="1">AVERAGE(OFFSET($AM$3,0,0,'Données projet'!$E$10+1,1))-AVERAGE(OFFSET($H$3,0,0,'Données projet'!$E$10+1,1))</f>
        <v>627.83896530587367</v>
      </c>
      <c r="AO85" s="59">
        <f t="shared" si="90"/>
        <v>323.54927030899489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2.1819569259394962</v>
      </c>
      <c r="AV85" s="21">
        <f>EXP(-LN(2)/25)*AV84+(1-EXP(-LN(2)/25))/(LN(2)/25)*Calculateur!AQ85*Calculateur!AS85*VLOOKUP('Données projet'!$B$10,Paramètres!$A$1:$I$89,3,0)*0.475*44/12</f>
        <v>36.542545627780463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38.724502553719958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-2.8421709430404007E-13</v>
      </c>
      <c r="BE85" s="13">
        <f>BD85*VLOOKUP('Données projet'!$B$11,Paramètres!$A$1:$I$89,3,0)*VLOOKUP('Données projet'!$B$11,Paramètres!$A$1:$I$89,5,0)</f>
        <v>-2.7489477361086758E-13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508.3185483454435</v>
      </c>
      <c r="BJ85" s="59">
        <f t="shared" si="92"/>
        <v>487.08233034004945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141.28051596409065</v>
      </c>
      <c r="BQ85" s="21">
        <f>EXP(-LN(2)/25)*BQ84+(1-EXP(-LN(2)/25))/(LN(2)/25)*Calculateur!BL85*Calculateur!BN85*VLOOKUP('Données projet'!$B$11,Paramètres!$A$1:$I$89,3,0)*0.475*44/12</f>
        <v>4.7080415591594438</v>
      </c>
      <c r="BR85" s="21">
        <f>EXP(-LN(2)/2)*BR84+(1-EXP(-LN(2)/2))/(LN(2)/2)*BL85*BO85*VLOOKUP('Données projet'!$B$11,Paramètres!$A$1:$I$89,3,0)*0.475*44/12</f>
        <v>35.047875897845103</v>
      </c>
      <c r="BS85" s="22">
        <f t="shared" si="63"/>
        <v>181.03643342109521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-2.8421709430404007E-13</v>
      </c>
      <c r="BZ85" s="13">
        <f>BY85*VLOOKUP('Données projet'!$B$12,Paramètres!$A$1:$I$89,3,0)*VLOOKUP('Données projet'!$B$12,Paramètres!$A$1:$I$89,5,0)</f>
        <v>-2.3055690689943731E-13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436.50252985867149</v>
      </c>
      <c r="CE85" s="59">
        <f t="shared" si="94"/>
        <v>419.00806288456329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118.49333596988251</v>
      </c>
      <c r="CL85" s="21">
        <f>EXP(-LN(2)/25)*CL84+(1-EXP(-LN(2)/25))/(LN(2)/25)*Calculateur!CG85*Calculateur!CI85*VLOOKUP('Données projet'!$B$12,Paramètres!$A$1:$I$89,3,0)*0.475*44/12</f>
        <v>3.948680017359536</v>
      </c>
      <c r="CM85" s="21">
        <f>EXP(-LN(2)/2)*CM84+(1-EXP(-LN(2)/2))/(LN(2)/2)*CG85*CJ85*VLOOKUP('Données projet'!$B$12,Paramètres!$A$1:$I$89,3,0)*0.475*44/12</f>
        <v>29.394992688515241</v>
      </c>
      <c r="CN85" s="22">
        <f t="shared" si="66"/>
        <v>151.83700867575729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-2.8421709430404007E-13</v>
      </c>
      <c r="CU85" s="17">
        <f>CT85*VLOOKUP('Données projet'!$B$13,Paramètres!$A$1:$I$89,3,0)*VLOOKUP('Données projet'!$B$13,Paramètres!$A$1:$I$89,5,0)</f>
        <v>-2.7489477361086758E-13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508.3185483454435</v>
      </c>
      <c r="CZ85" s="59">
        <f t="shared" si="96"/>
        <v>487.08233034004945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141.28051596409065</v>
      </c>
      <c r="DG85" s="21">
        <f>EXP(-LN(2)/25)*DG84+(1-EXP(-LN(2)/25))/(LN(2)/25)*Calculateur!DB85*Calculateur!DD85*VLOOKUP('Données projet'!$B$13,Paramètres!$A$1:$I$89,3,0)*0.475*44/12</f>
        <v>4.7080415591594438</v>
      </c>
      <c r="DH85" s="21">
        <f>EXP(-LN(2)/2)*DH84+(1-EXP(-LN(2)/2))/(LN(2)/2)*DB85*DE85*VLOOKUP('Données projet'!$B$13,Paramètres!$A$1:$I$89,3,0)*0.475*44/12</f>
        <v>35.047875897845103</v>
      </c>
      <c r="DI85" s="22">
        <f t="shared" si="69"/>
        <v>181.03643342109521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-2.8421709430404007E-13</v>
      </c>
      <c r="DP85" s="17">
        <f>DO85*VLOOKUP('Données projet'!$B$14,Paramètres!$A$1:$I$89,3,0)*VLOOKUP('Données projet'!$B$14,Paramètres!$A$1:$I$89,5,0)</f>
        <v>-2.7489477361086758E-13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508.3185483454435</v>
      </c>
      <c r="DU85" s="59">
        <f t="shared" si="98"/>
        <v>487.08233034004945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141.28051596409065</v>
      </c>
      <c r="EB85" s="21">
        <f>EXP(-LN(2)/25)*EB84+(1-EXP(-LN(2)/25))/(LN(2)/25)*Calculateur!DW85*Calculateur!DY85*VLOOKUP('Données projet'!$B$14,Paramètres!$A$1:$I$89,3,0)*0.475*44/12</f>
        <v>4.7080415591594438</v>
      </c>
      <c r="EC85" s="21">
        <f>EXP(-LN(2)/2)*EC84+(1-EXP(-LN(2)/2))/(LN(2)/2)*DW85*DZ85*VLOOKUP('Données projet'!$B$14,Paramètres!$A$1:$I$89,3,0)*0.475*44/12</f>
        <v>35.047875897845103</v>
      </c>
      <c r="ED85" s="22">
        <f t="shared" si="72"/>
        <v>181.03643342109521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7.7777777777777777</v>
      </c>
      <c r="N86" s="13">
        <f>IF('Données projet'!$A$36&gt;35,N85+M86-V85,IF(A86&lt;'Données projet'!$A$36,$K$205^A86,IF(A86='Données projet'!$A$36,'Données projet'!$B$36,N85+M86-V85)))</f>
        <v>285.88888888888874</v>
      </c>
      <c r="O86" s="13">
        <f>N86*VLOOKUP('Données projet'!$B$9,Paramètres!$A$1:$I$89,3,0)*VLOOKUP('Données projet'!$B$9,Paramètres!$A$1:$I$89,5,0)</f>
        <v>258.67226666666653</v>
      </c>
      <c r="P86" s="13">
        <f t="shared" si="87"/>
        <v>62.439274588593669</v>
      </c>
      <c r="Q86" s="20">
        <f t="shared" si="54"/>
        <v>559.2692676862448</v>
      </c>
      <c r="R86" s="59">
        <f t="shared" si="55"/>
        <v>831.15401316334828</v>
      </c>
      <c r="S86" s="59">
        <f ca="1">AVERAGE(OFFSET($R$3,0,0,'Données projet'!$E$9+1,1))-AVERAGE(OFFSET($H$3,0,0,'Données projet'!$E$9+1,1))</f>
        <v>569.49435820174267</v>
      </c>
      <c r="T86" s="59">
        <f t="shared" si="88"/>
        <v>295.37730858134739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1.9087979188627668</v>
      </c>
      <c r="AA86" s="21">
        <f>EXP(-LN(2)/25)*AA85+(1-EXP(-LN(2)/25))/(LN(2)/25)*Calculateur!V86*Calculateur!X86*VLOOKUP('Données projet'!$B$9,Paramètres!$A$1:$I$89,3,0)*0.475*44/12</f>
        <v>31.715549110187549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33.624347029050313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7.7777777777777777</v>
      </c>
      <c r="AI86" s="13">
        <f>IF('Données projet'!$A$62&gt;35,AI85+AH86-AQ85,IF(A86&lt;'Données projet'!$A$62,$AF$205^A86,IF(A86='Données projet'!$A$62,'Données projet'!$B$62,AI85+AH86-AQ85)))</f>
        <v>285.88888888888874</v>
      </c>
      <c r="AJ86" s="13">
        <f>AI86*VLOOKUP('Données projet'!$B$10,Paramètres!$A$1:$I$89,3,0)*VLOOKUP('Données projet'!$B$10,Paramètres!$A$1:$I$89,5,0)</f>
        <v>289.89133333333319</v>
      </c>
      <c r="AK86" s="13">
        <f t="shared" si="89"/>
        <v>69.053089749345304</v>
      </c>
      <c r="AL86" s="20">
        <f t="shared" si="58"/>
        <v>625.16153686899827</v>
      </c>
      <c r="AM86" s="59">
        <f t="shared" si="59"/>
        <v>897.04628234610175</v>
      </c>
      <c r="AN86" s="59">
        <f ca="1">AVERAGE(OFFSET($AM$3,0,0,'Données projet'!$E$10+1,1))-AVERAGE(OFFSET($H$3,0,0,'Données projet'!$E$10+1,1))</f>
        <v>627.83896530587367</v>
      </c>
      <c r="AO86" s="59">
        <f t="shared" si="90"/>
        <v>323.54927030899489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2.1391700814841359</v>
      </c>
      <c r="AV86" s="21">
        <f>EXP(-LN(2)/25)*AV85+(1-EXP(-LN(2)/25))/(LN(2)/25)*Calculateur!AQ86*Calculateur!AS86*VLOOKUP('Données projet'!$B$10,Paramètres!$A$1:$I$89,3,0)*0.475*44/12</f>
        <v>35.54328779589985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37.682457877383989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-2.8421709430404007E-13</v>
      </c>
      <c r="BE86" s="13">
        <f>BD86*VLOOKUP('Données projet'!$B$11,Paramètres!$A$1:$I$89,3,0)*VLOOKUP('Données projet'!$B$11,Paramètres!$A$1:$I$89,5,0)</f>
        <v>-2.7489477361086758E-13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508.3185483454435</v>
      </c>
      <c r="BJ86" s="59">
        <f t="shared" si="92"/>
        <v>487.08233034004945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138.51009121864072</v>
      </c>
      <c r="BQ86" s="21">
        <f>EXP(-LN(2)/25)*BQ85+(1-EXP(-LN(2)/25))/(LN(2)/25)*Calculateur!BL86*Calculateur!BN86*VLOOKUP('Données projet'!$B$11,Paramètres!$A$1:$I$89,3,0)*0.475*44/12</f>
        <v>4.5792999151390834</v>
      </c>
      <c r="BR86" s="21">
        <f>EXP(-LN(2)/2)*BR85+(1-EXP(-LN(2)/2))/(LN(2)/2)*BL86*BO86*VLOOKUP('Données projet'!$B$11,Paramètres!$A$1:$I$89,3,0)*0.475*44/12</f>
        <v>24.782590713550832</v>
      </c>
      <c r="BS86" s="22">
        <f t="shared" si="63"/>
        <v>167.87198184733063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-2.8421709430404007E-13</v>
      </c>
      <c r="BZ86" s="13">
        <f>BY86*VLOOKUP('Données projet'!$B$12,Paramètres!$A$1:$I$89,3,0)*VLOOKUP('Données projet'!$B$12,Paramètres!$A$1:$I$89,5,0)</f>
        <v>-2.3055690689943731E-13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436.50252985867149</v>
      </c>
      <c r="CE86" s="59">
        <f t="shared" si="94"/>
        <v>419.00806288456329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116.16975392531161</v>
      </c>
      <c r="CL86" s="21">
        <f>EXP(-LN(2)/25)*CL85+(1-EXP(-LN(2)/25))/(LN(2)/25)*Calculateur!CG86*Calculateur!CI86*VLOOKUP('Données projet'!$B$12,Paramètres!$A$1:$I$89,3,0)*0.475*44/12</f>
        <v>3.8407031546327821</v>
      </c>
      <c r="CM86" s="21">
        <f>EXP(-LN(2)/2)*CM85+(1-EXP(-LN(2)/2))/(LN(2)/2)*CG86*CJ86*VLOOKUP('Données projet'!$B$12,Paramètres!$A$1:$I$89,3,0)*0.475*44/12</f>
        <v>20.785398662978114</v>
      </c>
      <c r="CN86" s="22">
        <f t="shared" si="66"/>
        <v>140.7958557429225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-2.8421709430404007E-13</v>
      </c>
      <c r="CU86" s="17">
        <f>CT86*VLOOKUP('Données projet'!$B$13,Paramètres!$A$1:$I$89,3,0)*VLOOKUP('Données projet'!$B$13,Paramètres!$A$1:$I$89,5,0)</f>
        <v>-2.7489477361086758E-13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508.3185483454435</v>
      </c>
      <c r="CZ86" s="59">
        <f t="shared" si="96"/>
        <v>487.08233034004945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138.51009121864072</v>
      </c>
      <c r="DG86" s="21">
        <f>EXP(-LN(2)/25)*DG85+(1-EXP(-LN(2)/25))/(LN(2)/25)*Calculateur!DB86*Calculateur!DD86*VLOOKUP('Données projet'!$B$13,Paramètres!$A$1:$I$89,3,0)*0.475*44/12</f>
        <v>4.5792999151390834</v>
      </c>
      <c r="DH86" s="21">
        <f>EXP(-LN(2)/2)*DH85+(1-EXP(-LN(2)/2))/(LN(2)/2)*DB86*DE86*VLOOKUP('Données projet'!$B$13,Paramètres!$A$1:$I$89,3,0)*0.475*44/12</f>
        <v>24.782590713550832</v>
      </c>
      <c r="DI86" s="22">
        <f t="shared" si="69"/>
        <v>167.87198184733063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-2.8421709430404007E-13</v>
      </c>
      <c r="DP86" s="17">
        <f>DO86*VLOOKUP('Données projet'!$B$14,Paramètres!$A$1:$I$89,3,0)*VLOOKUP('Données projet'!$B$14,Paramètres!$A$1:$I$89,5,0)</f>
        <v>-2.7489477361086758E-13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508.3185483454435</v>
      </c>
      <c r="DU86" s="59">
        <f t="shared" si="98"/>
        <v>487.08233034004945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138.51009121864072</v>
      </c>
      <c r="EB86" s="21">
        <f>EXP(-LN(2)/25)*EB85+(1-EXP(-LN(2)/25))/(LN(2)/25)*Calculateur!DW86*Calculateur!DY86*VLOOKUP('Données projet'!$B$14,Paramètres!$A$1:$I$89,3,0)*0.475*44/12</f>
        <v>4.5792999151390834</v>
      </c>
      <c r="EC86" s="21">
        <f>EXP(-LN(2)/2)*EC85+(1-EXP(-LN(2)/2))/(LN(2)/2)*DW86*DZ86*VLOOKUP('Données projet'!$B$14,Paramètres!$A$1:$I$89,3,0)*0.475*44/12</f>
        <v>24.782590713550832</v>
      </c>
      <c r="ED86" s="22">
        <f t="shared" si="72"/>
        <v>167.87198184733063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7.7777777777777777</v>
      </c>
      <c r="N87" s="13">
        <f>IF('Données projet'!$A$36&gt;35,N86+M87-V86,IF(A87&lt;'Données projet'!$A$36,$K$205^A87,IF(A87='Données projet'!$A$36,'Données projet'!$B$36,N86+M87-V86)))</f>
        <v>293.66666666666652</v>
      </c>
      <c r="O87" s="13">
        <f>N87*VLOOKUP('Données projet'!$B$9,Paramètres!$A$1:$I$89,3,0)*VLOOKUP('Données projet'!$B$9,Paramètres!$A$1:$I$89,5,0)</f>
        <v>265.70959999999985</v>
      </c>
      <c r="P87" s="13">
        <f t="shared" si="87"/>
        <v>63.937891026614295</v>
      </c>
      <c r="Q87" s="20">
        <f t="shared" si="54"/>
        <v>574.13604687135296</v>
      </c>
      <c r="R87" s="59">
        <f t="shared" si="55"/>
        <v>846.39287739590327</v>
      </c>
      <c r="S87" s="59">
        <f ca="1">AVERAGE(OFFSET($R$3,0,0,'Données projet'!$E$9+1,1))-AVERAGE(OFFSET($H$3,0,0,'Données projet'!$E$9+1,1))</f>
        <v>569.49435820174267</v>
      </c>
      <c r="T87" s="59">
        <f t="shared" si="88"/>
        <v>295.37730858134739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1.8713675559256382</v>
      </c>
      <c r="AA87" s="21">
        <f>EXP(-LN(2)/25)*AA86+(1-EXP(-LN(2)/25))/(LN(2)/25)*Calculateur!V87*Calculateur!X87*VLOOKUP('Données projet'!$B$9,Paramètres!$A$1:$I$89,3,0)*0.475*44/12</f>
        <v>30.848285751921228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32.719653307846869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7.7777777777777777</v>
      </c>
      <c r="AI87" s="13">
        <f>IF('Données projet'!$A$62&gt;35,AI86+AH87-AQ86,IF(A87&lt;'Données projet'!$A$62,$AF$205^A87,IF(A87='Données projet'!$A$62,'Données projet'!$B$62,AI86+AH87-AQ86)))</f>
        <v>293.66666666666652</v>
      </c>
      <c r="AJ87" s="13">
        <f>AI87*VLOOKUP('Données projet'!$B$10,Paramètres!$A$1:$I$89,3,0)*VLOOKUP('Données projet'!$B$10,Paramètres!$A$1:$I$89,5,0)</f>
        <v>297.77799999999985</v>
      </c>
      <c r="AK87" s="13">
        <f t="shared" si="89"/>
        <v>70.710445573485373</v>
      </c>
      <c r="AL87" s="20">
        <f t="shared" si="58"/>
        <v>641.78404270715339</v>
      </c>
      <c r="AM87" s="59">
        <f t="shared" si="59"/>
        <v>914.0408732317037</v>
      </c>
      <c r="AN87" s="59">
        <f ca="1">AVERAGE(OFFSET($AM$3,0,0,'Données projet'!$E$10+1,1))-AVERAGE(OFFSET($H$3,0,0,'Données projet'!$E$10+1,1))</f>
        <v>627.83896530587367</v>
      </c>
      <c r="AO87" s="59">
        <f t="shared" si="90"/>
        <v>323.54927030899489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2.0972222609511468</v>
      </c>
      <c r="AV87" s="21">
        <f>EXP(-LN(2)/25)*AV86+(1-EXP(-LN(2)/25))/(LN(2)/25)*Calculateur!AQ87*Calculateur!AS87*VLOOKUP('Données projet'!$B$10,Paramètres!$A$1:$I$89,3,0)*0.475*44/12</f>
        <v>34.571354721980697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36.668576982931846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-2.8421709430404007E-13</v>
      </c>
      <c r="BE87" s="13">
        <f>BD87*VLOOKUP('Données projet'!$B$11,Paramètres!$A$1:$I$89,3,0)*VLOOKUP('Données projet'!$B$11,Paramètres!$A$1:$I$89,5,0)</f>
        <v>-2.7489477361086758E-13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508.3185483454435</v>
      </c>
      <c r="BJ87" s="59">
        <f t="shared" si="92"/>
        <v>487.08233034004945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135.79399281265682</v>
      </c>
      <c r="BQ87" s="21">
        <f>EXP(-LN(2)/25)*BQ86+(1-EXP(-LN(2)/25))/(LN(2)/25)*Calculateur!BL87*Calculateur!BN87*VLOOKUP('Données projet'!$B$11,Paramètres!$A$1:$I$89,3,0)*0.475*44/12</f>
        <v>4.4540787181446886</v>
      </c>
      <c r="BR87" s="21">
        <f>EXP(-LN(2)/2)*BR86+(1-EXP(-LN(2)/2))/(LN(2)/2)*BL87*BO87*VLOOKUP('Données projet'!$B$11,Paramètres!$A$1:$I$89,3,0)*0.475*44/12</f>
        <v>17.523937948922555</v>
      </c>
      <c r="BS87" s="22">
        <f t="shared" si="63"/>
        <v>157.77200947972409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-2.8421709430404007E-13</v>
      </c>
      <c r="BZ87" s="13">
        <f>BY87*VLOOKUP('Données projet'!$B$12,Paramètres!$A$1:$I$89,3,0)*VLOOKUP('Données projet'!$B$12,Paramètres!$A$1:$I$89,5,0)</f>
        <v>-2.3055690689943731E-13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436.50252985867149</v>
      </c>
      <c r="CE87" s="59">
        <f t="shared" si="94"/>
        <v>419.00806288456329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113.89173590738964</v>
      </c>
      <c r="CL87" s="21">
        <f>EXP(-LN(2)/25)*CL86+(1-EXP(-LN(2)/25))/(LN(2)/25)*Calculateur!CG87*Calculateur!CI87*VLOOKUP('Données projet'!$B$12,Paramètres!$A$1:$I$89,3,0)*0.475*44/12</f>
        <v>3.7356789248955478</v>
      </c>
      <c r="CM87" s="21">
        <f>EXP(-LN(2)/2)*CM86+(1-EXP(-LN(2)/2))/(LN(2)/2)*CG87*CJ87*VLOOKUP('Données projet'!$B$12,Paramètres!$A$1:$I$89,3,0)*0.475*44/12</f>
        <v>14.697496344257624</v>
      </c>
      <c r="CN87" s="22">
        <f t="shared" si="66"/>
        <v>132.32491117654283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-2.8421709430404007E-13</v>
      </c>
      <c r="CU87" s="17">
        <f>CT87*VLOOKUP('Données projet'!$B$13,Paramètres!$A$1:$I$89,3,0)*VLOOKUP('Données projet'!$B$13,Paramètres!$A$1:$I$89,5,0)</f>
        <v>-2.7489477361086758E-13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508.3185483454435</v>
      </c>
      <c r="CZ87" s="59">
        <f t="shared" si="96"/>
        <v>487.08233034004945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135.79399281265682</v>
      </c>
      <c r="DG87" s="21">
        <f>EXP(-LN(2)/25)*DG86+(1-EXP(-LN(2)/25))/(LN(2)/25)*Calculateur!DB87*Calculateur!DD87*VLOOKUP('Données projet'!$B$13,Paramètres!$A$1:$I$89,3,0)*0.475*44/12</f>
        <v>4.4540787181446886</v>
      </c>
      <c r="DH87" s="21">
        <f>EXP(-LN(2)/2)*DH86+(1-EXP(-LN(2)/2))/(LN(2)/2)*DB87*DE87*VLOOKUP('Données projet'!$B$13,Paramètres!$A$1:$I$89,3,0)*0.475*44/12</f>
        <v>17.523937948922555</v>
      </c>
      <c r="DI87" s="22">
        <f t="shared" si="69"/>
        <v>157.77200947972409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-2.8421709430404007E-13</v>
      </c>
      <c r="DP87" s="17">
        <f>DO87*VLOOKUP('Données projet'!$B$14,Paramètres!$A$1:$I$89,3,0)*VLOOKUP('Données projet'!$B$14,Paramètres!$A$1:$I$89,5,0)</f>
        <v>-2.7489477361086758E-13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508.3185483454435</v>
      </c>
      <c r="DU87" s="59">
        <f t="shared" si="98"/>
        <v>487.08233034004945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135.79399281265682</v>
      </c>
      <c r="EB87" s="21">
        <f>EXP(-LN(2)/25)*EB86+(1-EXP(-LN(2)/25))/(LN(2)/25)*Calculateur!DW87*Calculateur!DY87*VLOOKUP('Données projet'!$B$14,Paramètres!$A$1:$I$89,3,0)*0.475*44/12</f>
        <v>4.4540787181446886</v>
      </c>
      <c r="EC87" s="21">
        <f>EXP(-LN(2)/2)*EC86+(1-EXP(-LN(2)/2))/(LN(2)/2)*DW87*DZ87*VLOOKUP('Données projet'!$B$14,Paramètres!$A$1:$I$89,3,0)*0.475*44/12</f>
        <v>17.523937948922555</v>
      </c>
      <c r="ED87" s="22">
        <f t="shared" si="72"/>
        <v>157.77200947972409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7.7777777777777777</v>
      </c>
      <c r="N88" s="13">
        <f>IF('Données projet'!$A$36&gt;35,N87+M88-V87,IF(A88&lt;'Données projet'!$A$36,$K$205^A88,IF(A88='Données projet'!$A$36,'Données projet'!$B$36,N87+M88-V87)))</f>
        <v>301.44444444444429</v>
      </c>
      <c r="O88" s="13">
        <f>N88*VLOOKUP('Données projet'!$B$9,Paramètres!$A$1:$I$89,3,0)*VLOOKUP('Données projet'!$B$9,Paramètres!$A$1:$I$89,5,0)</f>
        <v>272.74693333333317</v>
      </c>
      <c r="P88" s="13">
        <f t="shared" si="87"/>
        <v>65.431893983549415</v>
      </c>
      <c r="Q88" s="20">
        <f t="shared" si="54"/>
        <v>588.99479091023716</v>
      </c>
      <c r="R88" s="59">
        <f t="shared" si="55"/>
        <v>861.61725163851861</v>
      </c>
      <c r="S88" s="59">
        <f ca="1">AVERAGE(OFFSET($R$3,0,0,'Données projet'!$E$9+1,1))-AVERAGE(OFFSET($H$3,0,0,'Données projet'!$E$9+1,1))</f>
        <v>569.49435820174267</v>
      </c>
      <c r="T88" s="59">
        <f t="shared" si="88"/>
        <v>295.37730858134739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1.8346711795754396</v>
      </c>
      <c r="AA88" s="21">
        <f>EXP(-LN(2)/25)*AA87+(1-EXP(-LN(2)/25))/(LN(2)/25)*Calculateur!V88*Calculateur!X88*VLOOKUP('Données projet'!$B$9,Paramètres!$A$1:$I$89,3,0)*0.475*44/12</f>
        <v>30.0047377557941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31.839408935369541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7.7777777777777777</v>
      </c>
      <c r="AI88" s="13">
        <f>IF('Données projet'!$A$62&gt;35,AI87+AH88-AQ87,IF(A88&lt;'Données projet'!$A$62,$AF$205^A88,IF(A88='Données projet'!$A$62,'Données projet'!$B$62,AI87+AH88-AQ87)))</f>
        <v>301.44444444444429</v>
      </c>
      <c r="AJ88" s="13">
        <f>AI88*VLOOKUP('Données projet'!$B$10,Paramètres!$A$1:$I$89,3,0)*VLOOKUP('Données projet'!$B$10,Paramètres!$A$1:$I$89,5,0)</f>
        <v>305.66466666666651</v>
      </c>
      <c r="AK88" s="13">
        <f t="shared" si="89"/>
        <v>72.362699238358573</v>
      </c>
      <c r="AL88" s="20">
        <f t="shared" si="58"/>
        <v>658.39766228458541</v>
      </c>
      <c r="AM88" s="59">
        <f t="shared" si="59"/>
        <v>931.02012301286686</v>
      </c>
      <c r="AN88" s="59">
        <f ca="1">AVERAGE(OFFSET($AM$3,0,0,'Données projet'!$E$10+1,1))-AVERAGE(OFFSET($H$3,0,0,'Données projet'!$E$10+1,1))</f>
        <v>627.83896530587367</v>
      </c>
      <c r="AO88" s="59">
        <f t="shared" si="90"/>
        <v>323.54927030899489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2.0560970115931654</v>
      </c>
      <c r="AV88" s="21">
        <f>EXP(-LN(2)/25)*AV87+(1-EXP(-LN(2)/25))/(LN(2)/25)*Calculateur!AQ88*Calculateur!AS88*VLOOKUP('Données projet'!$B$10,Paramètres!$A$1:$I$89,3,0)*0.475*44/12</f>
        <v>33.625999209079602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35.682096220672769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-2.8421709430404007E-13</v>
      </c>
      <c r="BE88" s="13">
        <f>BD88*VLOOKUP('Données projet'!$B$11,Paramètres!$A$1:$I$89,3,0)*VLOOKUP('Données projet'!$B$11,Paramètres!$A$1:$I$89,5,0)</f>
        <v>-2.7489477361086758E-13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508.3185483454435</v>
      </c>
      <c r="BJ88" s="59">
        <f t="shared" si="92"/>
        <v>487.08233034004945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133.13115543975783</v>
      </c>
      <c r="BQ88" s="21">
        <f>EXP(-LN(2)/25)*BQ87+(1-EXP(-LN(2)/25))/(LN(2)/25)*Calculateur!BL88*Calculateur!BN88*VLOOKUP('Données projet'!$B$11,Paramètres!$A$1:$I$89,3,0)*0.475*44/12</f>
        <v>4.3322817013672026</v>
      </c>
      <c r="BR88" s="21">
        <f>EXP(-LN(2)/2)*BR87+(1-EXP(-LN(2)/2))/(LN(2)/2)*BL88*BO88*VLOOKUP('Données projet'!$B$11,Paramètres!$A$1:$I$89,3,0)*0.475*44/12</f>
        <v>12.391295356775418</v>
      </c>
      <c r="BS88" s="22">
        <f t="shared" si="63"/>
        <v>149.85473249790047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-2.8421709430404007E-13</v>
      </c>
      <c r="BZ88" s="13">
        <f>BY88*VLOOKUP('Données projet'!$B$12,Paramètres!$A$1:$I$89,3,0)*VLOOKUP('Données projet'!$B$12,Paramètres!$A$1:$I$89,5,0)</f>
        <v>-2.3055690689943731E-13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436.50252985867149</v>
      </c>
      <c r="CE88" s="59">
        <f t="shared" si="94"/>
        <v>419.00806288456329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111.65838843334534</v>
      </c>
      <c r="CL88" s="21">
        <f>EXP(-LN(2)/25)*CL87+(1-EXP(-LN(2)/25))/(LN(2)/25)*Calculateur!CG88*Calculateur!CI88*VLOOKUP('Données projet'!$B$12,Paramètres!$A$1:$I$89,3,0)*0.475*44/12</f>
        <v>3.6335265882434622</v>
      </c>
      <c r="CM88" s="21">
        <f>EXP(-LN(2)/2)*CM87+(1-EXP(-LN(2)/2))/(LN(2)/2)*CG88*CJ88*VLOOKUP('Données projet'!$B$12,Paramètres!$A$1:$I$89,3,0)*0.475*44/12</f>
        <v>10.392699331489059</v>
      </c>
      <c r="CN88" s="22">
        <f t="shared" si="66"/>
        <v>125.68461435307785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-2.8421709430404007E-13</v>
      </c>
      <c r="CU88" s="17">
        <f>CT88*VLOOKUP('Données projet'!$B$13,Paramètres!$A$1:$I$89,3,0)*VLOOKUP('Données projet'!$B$13,Paramètres!$A$1:$I$89,5,0)</f>
        <v>-2.7489477361086758E-13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508.3185483454435</v>
      </c>
      <c r="CZ88" s="59">
        <f t="shared" si="96"/>
        <v>487.08233034004945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133.13115543975783</v>
      </c>
      <c r="DG88" s="21">
        <f>EXP(-LN(2)/25)*DG87+(1-EXP(-LN(2)/25))/(LN(2)/25)*Calculateur!DB88*Calculateur!DD88*VLOOKUP('Données projet'!$B$13,Paramètres!$A$1:$I$89,3,0)*0.475*44/12</f>
        <v>4.3322817013672026</v>
      </c>
      <c r="DH88" s="21">
        <f>EXP(-LN(2)/2)*DH87+(1-EXP(-LN(2)/2))/(LN(2)/2)*DB88*DE88*VLOOKUP('Données projet'!$B$13,Paramètres!$A$1:$I$89,3,0)*0.475*44/12</f>
        <v>12.391295356775418</v>
      </c>
      <c r="DI88" s="22">
        <f t="shared" si="69"/>
        <v>149.85473249790047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-2.8421709430404007E-13</v>
      </c>
      <c r="DP88" s="17">
        <f>DO88*VLOOKUP('Données projet'!$B$14,Paramètres!$A$1:$I$89,3,0)*VLOOKUP('Données projet'!$B$14,Paramètres!$A$1:$I$89,5,0)</f>
        <v>-2.7489477361086758E-13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508.3185483454435</v>
      </c>
      <c r="DU88" s="59">
        <f t="shared" si="98"/>
        <v>487.08233034004945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133.13115543975783</v>
      </c>
      <c r="EB88" s="21">
        <f>EXP(-LN(2)/25)*EB87+(1-EXP(-LN(2)/25))/(LN(2)/25)*Calculateur!DW88*Calculateur!DY88*VLOOKUP('Données projet'!$B$14,Paramètres!$A$1:$I$89,3,0)*0.475*44/12</f>
        <v>4.3322817013672026</v>
      </c>
      <c r="EC88" s="21">
        <f>EXP(-LN(2)/2)*EC87+(1-EXP(-LN(2)/2))/(LN(2)/2)*DW88*DZ88*VLOOKUP('Données projet'!$B$14,Paramètres!$A$1:$I$89,3,0)*0.475*44/12</f>
        <v>12.391295356775418</v>
      </c>
      <c r="ED88" s="22">
        <f t="shared" si="72"/>
        <v>149.85473249790047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7.7777777777777777</v>
      </c>
      <c r="N89" s="13">
        <f>IF('Données projet'!$A$36&gt;35,N88+M89-V88,IF(A89&lt;'Données projet'!$A$36,$K$205^A89,IF(A89='Données projet'!$A$36,'Données projet'!$B$36,N88+M89-V88)))</f>
        <v>309.22222222222206</v>
      </c>
      <c r="O89" s="13">
        <f>N89*VLOOKUP('Données projet'!$B$9,Paramètres!$A$1:$I$89,3,0)*VLOOKUP('Données projet'!$B$9,Paramètres!$A$1:$I$89,5,0)</f>
        <v>279.7842666666665</v>
      </c>
      <c r="P89" s="13">
        <f t="shared" si="87"/>
        <v>66.921416181225794</v>
      </c>
      <c r="Q89" s="20">
        <f t="shared" si="54"/>
        <v>603.84573096007898</v>
      </c>
      <c r="R89" s="59">
        <f t="shared" si="55"/>
        <v>876.82747902548363</v>
      </c>
      <c r="S89" s="59">
        <f ca="1">AVERAGE(OFFSET($R$3,0,0,'Données projet'!$E$9+1,1))-AVERAGE(OFFSET($H$3,0,0,'Données projet'!$E$9+1,1))</f>
        <v>569.49435820174267</v>
      </c>
      <c r="T89" s="59">
        <f t="shared" si="88"/>
        <v>295.37730858134739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1.7986943967828888</v>
      </c>
      <c r="AA89" s="21">
        <f>EXP(-LN(2)/25)*AA88+(1-EXP(-LN(2)/25))/(LN(2)/25)*Calculateur!V89*Calculateur!X89*VLOOKUP('Données projet'!$B$9,Paramètres!$A$1:$I$89,3,0)*0.475*44/12</f>
        <v>29.184256623981327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30.982951020764215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7.7777777777777777</v>
      </c>
      <c r="AI89" s="13">
        <f>IF('Données projet'!$A$62&gt;35,AI88+AH89-AQ88,IF(A89&lt;'Données projet'!$A$62,$AF$205^A89,IF(A89='Données projet'!$A$62,'Données projet'!$B$62,AI88+AH89-AQ88)))</f>
        <v>309.22222222222206</v>
      </c>
      <c r="AJ89" s="13">
        <f>AI89*VLOOKUP('Données projet'!$B$10,Paramètres!$A$1:$I$89,3,0)*VLOOKUP('Données projet'!$B$10,Paramètres!$A$1:$I$89,5,0)</f>
        <v>313.55133333333322</v>
      </c>
      <c r="AK89" s="13">
        <f t="shared" si="89"/>
        <v>74.00999752421302</v>
      </c>
      <c r="AL89" s="20">
        <f t="shared" si="58"/>
        <v>675.00265124355963</v>
      </c>
      <c r="AM89" s="59">
        <f t="shared" si="59"/>
        <v>947.98439930896438</v>
      </c>
      <c r="AN89" s="59">
        <f ca="1">AVERAGE(OFFSET($AM$3,0,0,'Données projet'!$E$10+1,1))-AVERAGE(OFFSET($H$3,0,0,'Données projet'!$E$10+1,1))</f>
        <v>627.83896530587367</v>
      </c>
      <c r="AO89" s="59">
        <f t="shared" si="90"/>
        <v>323.54927030899489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2.0157782032911689</v>
      </c>
      <c r="AV89" s="21">
        <f>EXP(-LN(2)/25)*AV88+(1-EXP(-LN(2)/25))/(LN(2)/25)*Calculateur!AQ89*Calculateur!AS89*VLOOKUP('Données projet'!$B$10,Paramètres!$A$1:$I$89,3,0)*0.475*44/12</f>
        <v>32.706494492392878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34.722272695684048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-2.8421709430404007E-13</v>
      </c>
      <c r="BE89" s="13">
        <f>BD89*VLOOKUP('Données projet'!$B$11,Paramètres!$A$1:$I$89,3,0)*VLOOKUP('Données projet'!$B$11,Paramètres!$A$1:$I$89,5,0)</f>
        <v>-2.7489477361086758E-13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508.3185483454435</v>
      </c>
      <c r="BJ89" s="59">
        <f t="shared" si="92"/>
        <v>487.08233034004945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130.52053468357096</v>
      </c>
      <c r="BQ89" s="21">
        <f>EXP(-LN(2)/25)*BQ88+(1-EXP(-LN(2)/25))/(LN(2)/25)*Calculateur!BL89*Calculateur!BN89*VLOOKUP('Données projet'!$B$11,Paramètres!$A$1:$I$89,3,0)*0.475*44/12</f>
        <v>4.2138152304185237</v>
      </c>
      <c r="BR89" s="21">
        <f>EXP(-LN(2)/2)*BR88+(1-EXP(-LN(2)/2))/(LN(2)/2)*BL89*BO89*VLOOKUP('Données projet'!$B$11,Paramètres!$A$1:$I$89,3,0)*0.475*44/12</f>
        <v>8.7619689744612774</v>
      </c>
      <c r="BS89" s="22">
        <f t="shared" si="63"/>
        <v>143.49631888845076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-2.8421709430404007E-13</v>
      </c>
      <c r="BZ89" s="13">
        <f>BY89*VLOOKUP('Données projet'!$B$12,Paramètres!$A$1:$I$89,3,0)*VLOOKUP('Données projet'!$B$12,Paramètres!$A$1:$I$89,5,0)</f>
        <v>-2.3055690689943731E-13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436.50252985867149</v>
      </c>
      <c r="CE89" s="59">
        <f t="shared" si="94"/>
        <v>419.00806288456329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109.46883554105958</v>
      </c>
      <c r="CL89" s="21">
        <f>EXP(-LN(2)/25)*CL88+(1-EXP(-LN(2)/25))/(LN(2)/25)*Calculateur!CG89*Calculateur!CI89*VLOOKUP('Données projet'!$B$12,Paramètres!$A$1:$I$89,3,0)*0.475*44/12</f>
        <v>3.5341676126090862</v>
      </c>
      <c r="CM89" s="21">
        <f>EXP(-LN(2)/2)*CM88+(1-EXP(-LN(2)/2))/(LN(2)/2)*CG89*CJ89*VLOOKUP('Données projet'!$B$12,Paramètres!$A$1:$I$89,3,0)*0.475*44/12</f>
        <v>7.348748172128813</v>
      </c>
      <c r="CN89" s="22">
        <f t="shared" si="66"/>
        <v>120.35175132579747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-2.8421709430404007E-13</v>
      </c>
      <c r="CU89" s="17">
        <f>CT89*VLOOKUP('Données projet'!$B$13,Paramètres!$A$1:$I$89,3,0)*VLOOKUP('Données projet'!$B$13,Paramètres!$A$1:$I$89,5,0)</f>
        <v>-2.7489477361086758E-13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508.3185483454435</v>
      </c>
      <c r="CZ89" s="59">
        <f t="shared" si="96"/>
        <v>487.08233034004945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130.52053468357096</v>
      </c>
      <c r="DG89" s="21">
        <f>EXP(-LN(2)/25)*DG88+(1-EXP(-LN(2)/25))/(LN(2)/25)*Calculateur!DB89*Calculateur!DD89*VLOOKUP('Données projet'!$B$13,Paramètres!$A$1:$I$89,3,0)*0.475*44/12</f>
        <v>4.2138152304185237</v>
      </c>
      <c r="DH89" s="21">
        <f>EXP(-LN(2)/2)*DH88+(1-EXP(-LN(2)/2))/(LN(2)/2)*DB89*DE89*VLOOKUP('Données projet'!$B$13,Paramètres!$A$1:$I$89,3,0)*0.475*44/12</f>
        <v>8.7619689744612774</v>
      </c>
      <c r="DI89" s="22">
        <f t="shared" si="69"/>
        <v>143.49631888845076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-2.8421709430404007E-13</v>
      </c>
      <c r="DP89" s="17">
        <f>DO89*VLOOKUP('Données projet'!$B$14,Paramètres!$A$1:$I$89,3,0)*VLOOKUP('Données projet'!$B$14,Paramètres!$A$1:$I$89,5,0)</f>
        <v>-2.7489477361086758E-13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508.3185483454435</v>
      </c>
      <c r="DU89" s="59">
        <f t="shared" si="98"/>
        <v>487.08233034004945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130.52053468357096</v>
      </c>
      <c r="EB89" s="21">
        <f>EXP(-LN(2)/25)*EB88+(1-EXP(-LN(2)/25))/(LN(2)/25)*Calculateur!DW89*Calculateur!DY89*VLOOKUP('Données projet'!$B$14,Paramètres!$A$1:$I$89,3,0)*0.475*44/12</f>
        <v>4.2138152304185237</v>
      </c>
      <c r="EC89" s="21">
        <f>EXP(-LN(2)/2)*EC88+(1-EXP(-LN(2)/2))/(LN(2)/2)*DW89*DZ89*VLOOKUP('Données projet'!$B$14,Paramètres!$A$1:$I$89,3,0)*0.475*44/12</f>
        <v>8.7619689744612774</v>
      </c>
      <c r="ED89" s="22">
        <f t="shared" si="72"/>
        <v>143.49631888845076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317</v>
      </c>
      <c r="L90" s="12">
        <f>VLOOKUP(A90,'Données projet'!$A$35:$I$55,9,0)</f>
        <v>7.7777777777777777</v>
      </c>
      <c r="M90" s="12">
        <f t="array" ref="M90">INDEX(L:L,MIN(IF(ISNUMBER(L90:L286),ROW(L90:L286),"")))</f>
        <v>7.7777777777777777</v>
      </c>
      <c r="N90" s="13">
        <f>IF('Données projet'!$A$36&gt;35,N89+M90-V89,IF(A90&lt;'Données projet'!$A$36,$K$205^A90,IF(A90='Données projet'!$A$36,'Données projet'!$B$36,N89+M90-V89)))</f>
        <v>316.99999999999983</v>
      </c>
      <c r="O90" s="13">
        <f>N90*VLOOKUP('Données projet'!$B$9,Paramètres!$A$1:$I$89,3,0)*VLOOKUP('Données projet'!$B$9,Paramètres!$A$1:$I$89,5,0)</f>
        <v>286.82159999999988</v>
      </c>
      <c r="P90" s="13">
        <f t="shared" si="87"/>
        <v>68.406583284351413</v>
      </c>
      <c r="Q90" s="20">
        <f t="shared" si="54"/>
        <v>618.68908588691181</v>
      </c>
      <c r="R90" s="59">
        <f t="shared" si="55"/>
        <v>892.02388845738665</v>
      </c>
      <c r="S90" s="59">
        <f ca="1">AVERAGE(OFFSET($R$3,0,0,'Données projet'!$E$9+1,1))-AVERAGE(OFFSET($H$3,0,0,'Données projet'!$E$9+1,1))</f>
        <v>569.49435820174267</v>
      </c>
      <c r="T90" s="59">
        <f t="shared" si="88"/>
        <v>295.37730858134739</v>
      </c>
      <c r="U90" s="15">
        <f>IF(ISNA(VLOOKUP(A90,'Données projet'!$A$35:$I$55,3,0)),0,VLOOKUP(A90,'Données projet'!$A$35:$I$55,3,0))</f>
        <v>7</v>
      </c>
      <c r="V90" s="15">
        <f>IF(ISNA(VLOOKUP(A90,'Données projet'!$A$35:$I$55,4,0)),0,VLOOKUP(A90,'Données projet'!$A$35:$I$55,4,0))</f>
        <v>45</v>
      </c>
      <c r="W90" s="16">
        <f>IF(ISNA(VLOOKUP(A90,'Données projet'!$A$35:$I$55,5,0)),0%,VLOOKUP(A90,'Données projet'!$A$35:$I$55,5,0)*VLOOKUP('Données projet'!$B$9,Paramètres!$A$1:$I$89,7,0))</f>
        <v>0.129</v>
      </c>
      <c r="X90" s="16">
        <f>IF(ISNA(VLOOKUP(A90,'Données projet'!$A$35:$I$55,6,0)),0%,VLOOKUP(A90,'Données projet'!$A$35:$I$55,6,0)*VLOOKUP('Données projet'!$B$9,Paramètres!$A$1:$I$89,7,0))</f>
        <v>0.15049999999999999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7.5697559212824324</v>
      </c>
      <c r="AA90" s="21">
        <f>EXP(-LN(2)/25)*AA89+(1-EXP(-LN(2)/25))/(LN(2)/25)*Calculateur!V90*Calculateur!X90*VLOOKUP('Données projet'!$B$9,Paramètres!$A$1:$I$89,3,0)*0.475*44/12</f>
        <v>35.133594518308797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42.703350439591233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317</v>
      </c>
      <c r="AG90" s="12">
        <f>VLOOKUP(A90,'Données projet'!$A$61:$I$81,9,0)</f>
        <v>7.7777777777777777</v>
      </c>
      <c r="AH90" s="12">
        <f t="array" ref="AH90">INDEX(AG:AG,MIN(IF(ISNUMBER(AG90:AG286),ROW(AG90:AG286),"")))</f>
        <v>7.7777777777777777</v>
      </c>
      <c r="AI90" s="13">
        <f>IF('Données projet'!$A$62&gt;35,AI89+AH90-AQ89,IF(A90&lt;'Données projet'!$A$62,$AF$205^A90,IF(A90='Données projet'!$A$62,'Données projet'!$B$62,AI89+AH90-AQ89)))</f>
        <v>316.99999999999983</v>
      </c>
      <c r="AJ90" s="13">
        <f>AI90*VLOOKUP('Données projet'!$B$10,Paramètres!$A$1:$I$89,3,0)*VLOOKUP('Données projet'!$B$10,Paramètres!$A$1:$I$89,5,0)</f>
        <v>321.43799999999987</v>
      </c>
      <c r="AK90" s="13">
        <f t="shared" si="89"/>
        <v>75.652479406660177</v>
      </c>
      <c r="AL90" s="20">
        <f t="shared" si="58"/>
        <v>691.59925163326625</v>
      </c>
      <c r="AM90" s="59">
        <f t="shared" si="59"/>
        <v>964.93405420374108</v>
      </c>
      <c r="AN90" s="59">
        <f ca="1">AVERAGE(OFFSET($AM$3,0,0,'Données projet'!$E$10+1,1))-AVERAGE(OFFSET($H$3,0,0,'Données projet'!$E$10+1,1))</f>
        <v>627.83896530587367</v>
      </c>
      <c r="AO90" s="59">
        <f t="shared" si="90"/>
        <v>323.54927030899489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45</v>
      </c>
      <c r="AR90" s="16">
        <f>IF(ISNA(VLOOKUP(A90,'Données projet'!$A$61:$I$81,5,0)),0%,VLOOKUP(A90,'Données projet'!$A$61:$I$81,5,0)*VLOOKUP('Données projet'!$B$10,Paramètres!$A$1:$I$89,7,0))</f>
        <v>0.129</v>
      </c>
      <c r="AS90" s="16">
        <f>IF(ISNA(VLOOKUP(A90,'Données projet'!$A$61:$I$81,6,0)),0%,VLOOKUP(A90,'Données projet'!$A$61:$I$81,6,0)*VLOOKUP('Données projet'!$B$10,Paramètres!$A$1:$I$89,7,0))</f>
        <v>0.15049999999999999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8.4833471531613469</v>
      </c>
      <c r="AV90" s="21">
        <f>EXP(-LN(2)/25)*AV89+(1-EXP(-LN(2)/25))/(LN(2)/25)*Calculateur!AQ90*Calculateur!AS90*VLOOKUP('Données projet'!$B$10,Paramètres!$A$1:$I$89,3,0)*0.475*44/12</f>
        <v>39.373855925690904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47.857203078852251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-2.8421709430404007E-13</v>
      </c>
      <c r="BE90" s="13">
        <f>BD90*VLOOKUP('Données projet'!$B$11,Paramètres!$A$1:$I$89,3,0)*VLOOKUP('Données projet'!$B$11,Paramètres!$A$1:$I$89,5,0)</f>
        <v>-2.7489477361086758E-13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508.3185483454435</v>
      </c>
      <c r="BJ90" s="59">
        <f t="shared" si="92"/>
        <v>487.08233034004945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127.96110660809148</v>
      </c>
      <c r="BQ90" s="21">
        <f>EXP(-LN(2)/25)*BQ89+(1-EXP(-LN(2)/25))/(LN(2)/25)*Calculateur!BL90*Calculateur!BN90*VLOOKUP('Données projet'!$B$11,Paramètres!$A$1:$I$89,3,0)*0.475*44/12</f>
        <v>4.0985882313478168</v>
      </c>
      <c r="BR90" s="21">
        <f>EXP(-LN(2)/2)*BR89+(1-EXP(-LN(2)/2))/(LN(2)/2)*BL90*BO90*VLOOKUP('Données projet'!$B$11,Paramètres!$A$1:$I$89,3,0)*0.475*44/12</f>
        <v>6.1956476783877088</v>
      </c>
      <c r="BS90" s="22">
        <f t="shared" si="63"/>
        <v>138.25534251782699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-2.8421709430404007E-13</v>
      </c>
      <c r="BZ90" s="13">
        <f>BY90*VLOOKUP('Données projet'!$B$12,Paramètres!$A$1:$I$89,3,0)*VLOOKUP('Données projet'!$B$12,Paramètres!$A$1:$I$89,5,0)</f>
        <v>-2.3055690689943731E-13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436.50252985867149</v>
      </c>
      <c r="CE90" s="59">
        <f t="shared" si="94"/>
        <v>419.00806288456329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107.32221844549615</v>
      </c>
      <c r="CL90" s="21">
        <f>EXP(-LN(2)/25)*CL89+(1-EXP(-LN(2)/25))/(LN(2)/25)*Calculateur!CG90*Calculateur!CI90*VLOOKUP('Données projet'!$B$12,Paramètres!$A$1:$I$89,3,0)*0.475*44/12</f>
        <v>3.4375256133884933</v>
      </c>
      <c r="CM90" s="21">
        <f>EXP(-LN(2)/2)*CM89+(1-EXP(-LN(2)/2))/(LN(2)/2)*CG90*CJ90*VLOOKUP('Données projet'!$B$12,Paramètres!$A$1:$I$89,3,0)*0.475*44/12</f>
        <v>5.1963496657445303</v>
      </c>
      <c r="CN90" s="22">
        <f t="shared" si="66"/>
        <v>115.95609372462917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-2.8421709430404007E-13</v>
      </c>
      <c r="CU90" s="17">
        <f>CT90*VLOOKUP('Données projet'!$B$13,Paramètres!$A$1:$I$89,3,0)*VLOOKUP('Données projet'!$B$13,Paramètres!$A$1:$I$89,5,0)</f>
        <v>-2.7489477361086758E-13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508.3185483454435</v>
      </c>
      <c r="CZ90" s="59">
        <f t="shared" si="96"/>
        <v>487.08233034004945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127.96110660809148</v>
      </c>
      <c r="DG90" s="21">
        <f>EXP(-LN(2)/25)*DG89+(1-EXP(-LN(2)/25))/(LN(2)/25)*Calculateur!DB90*Calculateur!DD90*VLOOKUP('Données projet'!$B$13,Paramètres!$A$1:$I$89,3,0)*0.475*44/12</f>
        <v>4.0985882313478168</v>
      </c>
      <c r="DH90" s="21">
        <f>EXP(-LN(2)/2)*DH89+(1-EXP(-LN(2)/2))/(LN(2)/2)*DB90*DE90*VLOOKUP('Données projet'!$B$13,Paramètres!$A$1:$I$89,3,0)*0.475*44/12</f>
        <v>6.1956476783877088</v>
      </c>
      <c r="DI90" s="22">
        <f t="shared" si="69"/>
        <v>138.25534251782699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-2.8421709430404007E-13</v>
      </c>
      <c r="DP90" s="17">
        <f>DO90*VLOOKUP('Données projet'!$B$14,Paramètres!$A$1:$I$89,3,0)*VLOOKUP('Données projet'!$B$14,Paramètres!$A$1:$I$89,5,0)</f>
        <v>-2.7489477361086758E-13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508.3185483454435</v>
      </c>
      <c r="DU90" s="59">
        <f t="shared" si="98"/>
        <v>487.08233034004945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127.96110660809148</v>
      </c>
      <c r="EB90" s="21">
        <f>EXP(-LN(2)/25)*EB89+(1-EXP(-LN(2)/25))/(LN(2)/25)*Calculateur!DW90*Calculateur!DY90*VLOOKUP('Données projet'!$B$14,Paramètres!$A$1:$I$89,3,0)*0.475*44/12</f>
        <v>4.0985882313478168</v>
      </c>
      <c r="EC90" s="21">
        <f>EXP(-LN(2)/2)*EC89+(1-EXP(-LN(2)/2))/(LN(2)/2)*DW90*DZ90*VLOOKUP('Données projet'!$B$14,Paramètres!$A$1:$I$89,3,0)*0.475*44/12</f>
        <v>6.1956476783877088</v>
      </c>
      <c r="ED90" s="22">
        <f t="shared" si="72"/>
        <v>138.25534251782699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7.333333333333333</v>
      </c>
      <c r="N91" s="13">
        <f>IF('Données projet'!$A$36&gt;35,N90+M91-V90,IF(A91&lt;'Données projet'!$A$36,$K$205^A91,IF(A91='Données projet'!$A$36,'Données projet'!$B$36,N90+M91-V90)))</f>
        <v>279.33333333333314</v>
      </c>
      <c r="O91" s="13">
        <f>N91*VLOOKUP('Données projet'!$B$9,Paramètres!$A$1:$I$89,3,0)*VLOOKUP('Données projet'!$B$9,Paramètres!$A$1:$I$89,5,0)</f>
        <v>252.74079999999981</v>
      </c>
      <c r="P91" s="13">
        <f t="shared" si="87"/>
        <v>61.172468963435016</v>
      </c>
      <c r="Q91" s="20">
        <f t="shared" si="54"/>
        <v>546.73227677798229</v>
      </c>
      <c r="R91" s="59">
        <f t="shared" si="55"/>
        <v>820.41400914717599</v>
      </c>
      <c r="S91" s="59">
        <f ca="1">AVERAGE(OFFSET($R$3,0,0,'Données projet'!$E$9+1,1))-AVERAGE(OFFSET($H$3,0,0,'Données projet'!$E$9+1,1))</f>
        <v>569.49435820174267</v>
      </c>
      <c r="T91" s="59">
        <f t="shared" si="88"/>
        <v>295.37730858134739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7.4213176247612953</v>
      </c>
      <c r="AA91" s="21">
        <f>EXP(-LN(2)/25)*AA90+(1-EXP(-LN(2)/25))/(LN(2)/25)*Calculateur!V91*Calculateur!X91*VLOOKUP('Données projet'!$B$9,Paramètres!$A$1:$I$89,3,0)*0.475*44/12</f>
        <v>34.172864528610205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41.594182153371499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7.333333333333333</v>
      </c>
      <c r="AI91" s="13">
        <f>IF('Données projet'!$A$62&gt;35,AI90+AH91-AQ90,IF(A91&lt;'Données projet'!$A$62,$AF$205^A91,IF(A91='Données projet'!$A$62,'Données projet'!$B$62,AI90+AH91-AQ90)))</f>
        <v>279.33333333333314</v>
      </c>
      <c r="AJ91" s="13">
        <f>AI91*VLOOKUP('Données projet'!$B$10,Paramètres!$A$1:$I$89,3,0)*VLOOKUP('Données projet'!$B$10,Paramètres!$A$1:$I$89,5,0)</f>
        <v>283.2439999999998</v>
      </c>
      <c r="AK91" s="13">
        <f t="shared" si="89"/>
        <v>67.652099057101807</v>
      </c>
      <c r="AL91" s="20">
        <f t="shared" si="58"/>
        <v>611.14403919111862</v>
      </c>
      <c r="AM91" s="59">
        <f t="shared" si="59"/>
        <v>884.82577156031232</v>
      </c>
      <c r="AN91" s="59">
        <f ca="1">AVERAGE(OFFSET($AM$3,0,0,'Données projet'!$E$10+1,1))-AVERAGE(OFFSET($H$3,0,0,'Données projet'!$E$10+1,1))</f>
        <v>627.83896530587367</v>
      </c>
      <c r="AO91" s="59">
        <f t="shared" si="90"/>
        <v>323.54927030899489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8.3169938898186935</v>
      </c>
      <c r="AV91" s="21">
        <f>EXP(-LN(2)/25)*AV90+(1-EXP(-LN(2)/25))/(LN(2)/25)*Calculateur!AQ91*Calculateur!AS91*VLOOKUP('Données projet'!$B$10,Paramètres!$A$1:$I$89,3,0)*0.475*44/12</f>
        <v>38.297175764821795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46.614169654640492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-2.8421709430404007E-13</v>
      </c>
      <c r="BE91" s="13">
        <f>BD91*VLOOKUP('Données projet'!$B$11,Paramètres!$A$1:$I$89,3,0)*VLOOKUP('Données projet'!$B$11,Paramètres!$A$1:$I$89,5,0)</f>
        <v>-2.7489477361086758E-13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508.3185483454435</v>
      </c>
      <c r="BJ91" s="59">
        <f t="shared" si="92"/>
        <v>487.08233034004945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125.45186735607518</v>
      </c>
      <c r="BQ91" s="21">
        <f>EXP(-LN(2)/25)*BQ90+(1-EXP(-LN(2)/25))/(LN(2)/25)*Calculateur!BL91*Calculateur!BN91*VLOOKUP('Données projet'!$B$11,Paramètres!$A$1:$I$89,3,0)*0.475*44/12</f>
        <v>3.9865121206262231</v>
      </c>
      <c r="BR91" s="21">
        <f>EXP(-LN(2)/2)*BR90+(1-EXP(-LN(2)/2))/(LN(2)/2)*BL91*BO91*VLOOKUP('Données projet'!$B$11,Paramètres!$A$1:$I$89,3,0)*0.475*44/12</f>
        <v>4.3809844872306387</v>
      </c>
      <c r="BS91" s="22">
        <f t="shared" si="63"/>
        <v>133.81936396393206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-2.8421709430404007E-13</v>
      </c>
      <c r="BZ91" s="13">
        <f>BY91*VLOOKUP('Données projet'!$B$12,Paramètres!$A$1:$I$89,3,0)*VLOOKUP('Données projet'!$B$12,Paramètres!$A$1:$I$89,5,0)</f>
        <v>-2.3055690689943731E-13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436.50252985867149</v>
      </c>
      <c r="CE91" s="59">
        <f t="shared" si="94"/>
        <v>419.00806288456329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105.21769520186957</v>
      </c>
      <c r="CL91" s="21">
        <f>EXP(-LN(2)/25)*CL90+(1-EXP(-LN(2)/25))/(LN(2)/25)*Calculateur!CG91*Calculateur!CI91*VLOOKUP('Données projet'!$B$12,Paramètres!$A$1:$I$89,3,0)*0.475*44/12</f>
        <v>3.3435262947187696</v>
      </c>
      <c r="CM91" s="21">
        <f>EXP(-LN(2)/2)*CM90+(1-EXP(-LN(2)/2))/(LN(2)/2)*CG91*CJ91*VLOOKUP('Données projet'!$B$12,Paramètres!$A$1:$I$89,3,0)*0.475*44/12</f>
        <v>3.6743740860644074</v>
      </c>
      <c r="CN91" s="22">
        <f t="shared" si="66"/>
        <v>112.23559558265275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-2.8421709430404007E-13</v>
      </c>
      <c r="CU91" s="17">
        <f>CT91*VLOOKUP('Données projet'!$B$13,Paramètres!$A$1:$I$89,3,0)*VLOOKUP('Données projet'!$B$13,Paramètres!$A$1:$I$89,5,0)</f>
        <v>-2.7489477361086758E-13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508.3185483454435</v>
      </c>
      <c r="CZ91" s="59">
        <f t="shared" si="96"/>
        <v>487.08233034004945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125.45186735607518</v>
      </c>
      <c r="DG91" s="21">
        <f>EXP(-LN(2)/25)*DG90+(1-EXP(-LN(2)/25))/(LN(2)/25)*Calculateur!DB91*Calculateur!DD91*VLOOKUP('Données projet'!$B$13,Paramètres!$A$1:$I$89,3,0)*0.475*44/12</f>
        <v>3.9865121206262231</v>
      </c>
      <c r="DH91" s="21">
        <f>EXP(-LN(2)/2)*DH90+(1-EXP(-LN(2)/2))/(LN(2)/2)*DB91*DE91*VLOOKUP('Données projet'!$B$13,Paramètres!$A$1:$I$89,3,0)*0.475*44/12</f>
        <v>4.3809844872306387</v>
      </c>
      <c r="DI91" s="22">
        <f t="shared" si="69"/>
        <v>133.81936396393206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-2.8421709430404007E-13</v>
      </c>
      <c r="DP91" s="17">
        <f>DO91*VLOOKUP('Données projet'!$B$14,Paramètres!$A$1:$I$89,3,0)*VLOOKUP('Données projet'!$B$14,Paramètres!$A$1:$I$89,5,0)</f>
        <v>-2.7489477361086758E-13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508.3185483454435</v>
      </c>
      <c r="DU91" s="59">
        <f t="shared" si="98"/>
        <v>487.08233034004945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125.45186735607518</v>
      </c>
      <c r="EB91" s="21">
        <f>EXP(-LN(2)/25)*EB90+(1-EXP(-LN(2)/25))/(LN(2)/25)*Calculateur!DW91*Calculateur!DY91*VLOOKUP('Données projet'!$B$14,Paramètres!$A$1:$I$89,3,0)*0.475*44/12</f>
        <v>3.9865121206262231</v>
      </c>
      <c r="EC91" s="21">
        <f>EXP(-LN(2)/2)*EC90+(1-EXP(-LN(2)/2))/(LN(2)/2)*DW91*DZ91*VLOOKUP('Données projet'!$B$14,Paramètres!$A$1:$I$89,3,0)*0.475*44/12</f>
        <v>4.3809844872306387</v>
      </c>
      <c r="ED91" s="22">
        <f t="shared" si="72"/>
        <v>133.81936396393206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7.333333333333333</v>
      </c>
      <c r="N92" s="13">
        <f>IF('Données projet'!$A$36&gt;35,N91+M92-V91,IF(A92&lt;'Données projet'!$A$36,$K$205^A92,IF(A92='Données projet'!$A$36,'Données projet'!$B$36,N91+M92-V91)))</f>
        <v>286.66666666666646</v>
      </c>
      <c r="O92" s="13">
        <f>N92*VLOOKUP('Données projet'!$B$9,Paramètres!$A$1:$I$89,3,0)*VLOOKUP('Données projet'!$B$9,Paramètres!$A$1:$I$89,5,0)</f>
        <v>259.37599999999981</v>
      </c>
      <c r="P92" s="13">
        <f t="shared" si="87"/>
        <v>62.58934777690127</v>
      </c>
      <c r="Q92" s="20">
        <f t="shared" si="54"/>
        <v>560.7563140447694</v>
      </c>
      <c r="R92" s="59">
        <f t="shared" si="55"/>
        <v>834.77895775629304</v>
      </c>
      <c r="S92" s="59">
        <f ca="1">AVERAGE(OFFSET($R$3,0,0,'Données projet'!$E$9+1,1))-AVERAGE(OFFSET($H$3,0,0,'Données projet'!$E$9+1,1))</f>
        <v>569.49435820174267</v>
      </c>
      <c r="T92" s="59">
        <f t="shared" si="88"/>
        <v>295.37730858134739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7.2757901126965168</v>
      </c>
      <c r="AA92" s="21">
        <f>EXP(-LN(2)/25)*AA91+(1-EXP(-LN(2)/25))/(LN(2)/25)*Calculateur!V92*Calculateur!X92*VLOOKUP('Données projet'!$B$9,Paramètres!$A$1:$I$89,3,0)*0.475*44/12</f>
        <v>33.238405751002517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40.514195863699037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7.333333333333333</v>
      </c>
      <c r="AI92" s="13">
        <f>IF('Données projet'!$A$62&gt;35,AI91+AH92-AQ91,IF(A92&lt;'Données projet'!$A$62,$AF$205^A92,IF(A92='Données projet'!$A$62,'Données projet'!$B$62,AI91+AH92-AQ91)))</f>
        <v>286.66666666666646</v>
      </c>
      <c r="AJ92" s="13">
        <f>AI92*VLOOKUP('Données projet'!$B$10,Paramètres!$A$1:$I$89,3,0)*VLOOKUP('Données projet'!$B$10,Paramètres!$A$1:$I$89,5,0)</f>
        <v>290.67999999999978</v>
      </c>
      <c r="AK92" s="13">
        <f t="shared" si="89"/>
        <v>69.219059283896371</v>
      </c>
      <c r="AL92" s="20">
        <f t="shared" si="58"/>
        <v>626.82419491945245</v>
      </c>
      <c r="AM92" s="59">
        <f t="shared" si="59"/>
        <v>900.84683863097598</v>
      </c>
      <c r="AN92" s="59">
        <f ca="1">AVERAGE(OFFSET($AM$3,0,0,'Données projet'!$E$10+1,1))-AVERAGE(OFFSET($H$3,0,0,'Données projet'!$E$10+1,1))</f>
        <v>627.83896530587367</v>
      </c>
      <c r="AO92" s="59">
        <f t="shared" si="90"/>
        <v>323.54927030899489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8.153902712504717</v>
      </c>
      <c r="AV92" s="21">
        <f>EXP(-LN(2)/25)*AV91+(1-EXP(-LN(2)/25))/(LN(2)/25)*Calculateur!AQ92*Calculateur!AS92*VLOOKUP('Données projet'!$B$10,Paramètres!$A$1:$I$89,3,0)*0.475*44/12</f>
        <v>37.249937479571798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45.403840192076515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-2.8421709430404007E-13</v>
      </c>
      <c r="BE92" s="13">
        <f>BD92*VLOOKUP('Données projet'!$B$11,Paramètres!$A$1:$I$89,3,0)*VLOOKUP('Données projet'!$B$11,Paramètres!$A$1:$I$89,5,0)</f>
        <v>-2.7489477361086758E-13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508.3185483454435</v>
      </c>
      <c r="BJ92" s="59">
        <f t="shared" si="92"/>
        <v>487.08233034004945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122.99183275530611</v>
      </c>
      <c r="BQ92" s="21">
        <f>EXP(-LN(2)/25)*BQ91+(1-EXP(-LN(2)/25))/(LN(2)/25)*Calculateur!BL92*Calculateur!BN92*VLOOKUP('Données projet'!$B$11,Paramètres!$A$1:$I$89,3,0)*0.475*44/12</f>
        <v>3.8775007370461378</v>
      </c>
      <c r="BR92" s="21">
        <f>EXP(-LN(2)/2)*BR91+(1-EXP(-LN(2)/2))/(LN(2)/2)*BL92*BO92*VLOOKUP('Données projet'!$B$11,Paramètres!$A$1:$I$89,3,0)*0.475*44/12</f>
        <v>3.0978238391938544</v>
      </c>
      <c r="BS92" s="22">
        <f t="shared" si="63"/>
        <v>129.9671573315461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-2.8421709430404007E-13</v>
      </c>
      <c r="BZ92" s="13">
        <f>BY92*VLOOKUP('Données projet'!$B$12,Paramètres!$A$1:$I$89,3,0)*VLOOKUP('Données projet'!$B$12,Paramètres!$A$1:$I$89,5,0)</f>
        <v>-2.3055690689943731E-13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436.50252985867149</v>
      </c>
      <c r="CE92" s="59">
        <f t="shared" si="94"/>
        <v>419.00806288456329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103.15444037541809</v>
      </c>
      <c r="CL92" s="21">
        <f>EXP(-LN(2)/25)*CL91+(1-EXP(-LN(2)/25))/(LN(2)/25)*Calculateur!CG92*Calculateur!CI92*VLOOKUP('Données projet'!$B$12,Paramètres!$A$1:$I$89,3,0)*0.475*44/12</f>
        <v>3.2520973923612786</v>
      </c>
      <c r="CM92" s="21">
        <f>EXP(-LN(2)/2)*CM91+(1-EXP(-LN(2)/2))/(LN(2)/2)*CG92*CJ92*VLOOKUP('Données projet'!$B$12,Paramètres!$A$1:$I$89,3,0)*0.475*44/12</f>
        <v>2.5981748328722656</v>
      </c>
      <c r="CN92" s="22">
        <f t="shared" si="66"/>
        <v>109.00471260065163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-2.8421709430404007E-13</v>
      </c>
      <c r="CU92" s="17">
        <f>CT92*VLOOKUP('Données projet'!$B$13,Paramètres!$A$1:$I$89,3,0)*VLOOKUP('Données projet'!$B$13,Paramètres!$A$1:$I$89,5,0)</f>
        <v>-2.7489477361086758E-13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508.3185483454435</v>
      </c>
      <c r="CZ92" s="59">
        <f t="shared" si="96"/>
        <v>487.08233034004945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122.99183275530611</v>
      </c>
      <c r="DG92" s="21">
        <f>EXP(-LN(2)/25)*DG91+(1-EXP(-LN(2)/25))/(LN(2)/25)*Calculateur!DB92*Calculateur!DD92*VLOOKUP('Données projet'!$B$13,Paramètres!$A$1:$I$89,3,0)*0.475*44/12</f>
        <v>3.8775007370461378</v>
      </c>
      <c r="DH92" s="21">
        <f>EXP(-LN(2)/2)*DH91+(1-EXP(-LN(2)/2))/(LN(2)/2)*DB92*DE92*VLOOKUP('Données projet'!$B$13,Paramètres!$A$1:$I$89,3,0)*0.475*44/12</f>
        <v>3.0978238391938544</v>
      </c>
      <c r="DI92" s="22">
        <f t="shared" si="69"/>
        <v>129.9671573315461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-2.8421709430404007E-13</v>
      </c>
      <c r="DP92" s="17">
        <f>DO92*VLOOKUP('Données projet'!$B$14,Paramètres!$A$1:$I$89,3,0)*VLOOKUP('Données projet'!$B$14,Paramètres!$A$1:$I$89,5,0)</f>
        <v>-2.7489477361086758E-13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508.3185483454435</v>
      </c>
      <c r="DU92" s="59">
        <f t="shared" si="98"/>
        <v>487.08233034004945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122.99183275530611</v>
      </c>
      <c r="EB92" s="21">
        <f>EXP(-LN(2)/25)*EB91+(1-EXP(-LN(2)/25))/(LN(2)/25)*Calculateur!DW92*Calculateur!DY92*VLOOKUP('Données projet'!$B$14,Paramètres!$A$1:$I$89,3,0)*0.475*44/12</f>
        <v>3.8775007370461378</v>
      </c>
      <c r="EC92" s="21">
        <f>EXP(-LN(2)/2)*EC91+(1-EXP(-LN(2)/2))/(LN(2)/2)*DW92*DZ92*VLOOKUP('Données projet'!$B$14,Paramètres!$A$1:$I$89,3,0)*0.475*44/12</f>
        <v>3.0978238391938544</v>
      </c>
      <c r="ED92" s="22">
        <f t="shared" si="72"/>
        <v>129.9671573315461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7.333333333333333</v>
      </c>
      <c r="N93" s="13">
        <f>IF('Données projet'!$A$36&gt;35,N92+M93-V92,IF(A93&lt;'Données projet'!$A$36,$K$205^A93,IF(A93='Données projet'!$A$36,'Données projet'!$B$36,N92+M93-V92)))</f>
        <v>293.99999999999977</v>
      </c>
      <c r="O93" s="13">
        <f>N93*VLOOKUP('Données projet'!$B$9,Paramètres!$A$1:$I$89,3,0)*VLOOKUP('Données projet'!$B$9,Paramètres!$A$1:$I$89,5,0)</f>
        <v>266.0111999999998</v>
      </c>
      <c r="P93" s="13">
        <f t="shared" si="87"/>
        <v>64.00201337612566</v>
      </c>
      <c r="Q93" s="20">
        <f t="shared" si="54"/>
        <v>574.77301329675186</v>
      </c>
      <c r="R93" s="59">
        <f t="shared" si="55"/>
        <v>849.13065430097959</v>
      </c>
      <c r="S93" s="59">
        <f ca="1">AVERAGE(OFFSET($R$3,0,0,'Données projet'!$E$9+1,1))-AVERAGE(OFFSET($H$3,0,0,'Données projet'!$E$9+1,1))</f>
        <v>569.49435820174267</v>
      </c>
      <c r="T93" s="59">
        <f t="shared" si="88"/>
        <v>295.37730858134739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7.1331163063803107</v>
      </c>
      <c r="AA93" s="21">
        <f>EXP(-LN(2)/25)*AA92+(1-EXP(-LN(2)/25))/(LN(2)/25)*Calculateur!V93*Calculateur!X93*VLOOKUP('Données projet'!$B$9,Paramètres!$A$1:$I$89,3,0)*0.475*44/12</f>
        <v>32.329499797809561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39.46261610418987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7.333333333333333</v>
      </c>
      <c r="AI93" s="13">
        <f>IF('Données projet'!$A$62&gt;35,AI92+AH93-AQ92,IF(A93&lt;'Données projet'!$A$62,$AF$205^A93,IF(A93='Données projet'!$A$62,'Données projet'!$B$62,AI92+AH93-AQ92)))</f>
        <v>293.99999999999977</v>
      </c>
      <c r="AJ93" s="13">
        <f>AI93*VLOOKUP('Données projet'!$B$10,Paramètres!$A$1:$I$89,3,0)*VLOOKUP('Données projet'!$B$10,Paramètres!$A$1:$I$89,5,0)</f>
        <v>298.11599999999976</v>
      </c>
      <c r="AK93" s="13">
        <f t="shared" si="89"/>
        <v>70.781360016116508</v>
      </c>
      <c r="AL93" s="20">
        <f t="shared" si="58"/>
        <v>642.49623536140246</v>
      </c>
      <c r="AM93" s="59">
        <f t="shared" si="59"/>
        <v>916.85387636563019</v>
      </c>
      <c r="AN93" s="59">
        <f ca="1">AVERAGE(OFFSET($AM$3,0,0,'Données projet'!$E$10+1,1))-AVERAGE(OFFSET($H$3,0,0,'Données projet'!$E$10+1,1))</f>
        <v>627.83896530587367</v>
      </c>
      <c r="AO93" s="59">
        <f t="shared" si="90"/>
        <v>323.54927030899489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7.9940096537020731</v>
      </c>
      <c r="AV93" s="21">
        <f>EXP(-LN(2)/25)*AV92+(1-EXP(-LN(2)/25))/(LN(2)/25)*Calculateur!AQ93*Calculateur!AS93*VLOOKUP('Données projet'!$B$10,Paramètres!$A$1:$I$89,3,0)*0.475*44/12</f>
        <v>36.231335980303832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44.225345634005905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-2.8421709430404007E-13</v>
      </c>
      <c r="BE93" s="13">
        <f>BD93*VLOOKUP('Données projet'!$B$11,Paramètres!$A$1:$I$89,3,0)*VLOOKUP('Données projet'!$B$11,Paramètres!$A$1:$I$89,5,0)</f>
        <v>-2.7489477361086758E-13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508.3185483454435</v>
      </c>
      <c r="BJ93" s="59">
        <f t="shared" si="92"/>
        <v>487.08233034004945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120.58003793258516</v>
      </c>
      <c r="BQ93" s="21">
        <f>EXP(-LN(2)/25)*BQ92+(1-EXP(-LN(2)/25))/(LN(2)/25)*Calculateur!BL93*Calculateur!BN93*VLOOKUP('Données projet'!$B$11,Paramètres!$A$1:$I$89,3,0)*0.475*44/12</f>
        <v>3.7714702754827094</v>
      </c>
      <c r="BR93" s="21">
        <f>EXP(-LN(2)/2)*BR92+(1-EXP(-LN(2)/2))/(LN(2)/2)*BL93*BO93*VLOOKUP('Données projet'!$B$11,Paramètres!$A$1:$I$89,3,0)*0.475*44/12</f>
        <v>2.1904922436153194</v>
      </c>
      <c r="BS93" s="22">
        <f t="shared" si="63"/>
        <v>126.54200045168319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-2.8421709430404007E-13</v>
      </c>
      <c r="BZ93" s="13">
        <f>BY93*VLOOKUP('Données projet'!$B$12,Paramètres!$A$1:$I$89,3,0)*VLOOKUP('Données projet'!$B$12,Paramètres!$A$1:$I$89,5,0)</f>
        <v>-2.3055690689943731E-13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436.50252985867149</v>
      </c>
      <c r="CE93" s="59">
        <f t="shared" si="94"/>
        <v>419.00806288456329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101.13164471765214</v>
      </c>
      <c r="CL93" s="21">
        <f>EXP(-LN(2)/25)*CL92+(1-EXP(-LN(2)/25))/(LN(2)/25)*Calculateur!CG93*Calculateur!CI93*VLOOKUP('Données projet'!$B$12,Paramètres!$A$1:$I$89,3,0)*0.475*44/12</f>
        <v>3.1631686181467904</v>
      </c>
      <c r="CM93" s="21">
        <f>EXP(-LN(2)/2)*CM92+(1-EXP(-LN(2)/2))/(LN(2)/2)*CG93*CJ93*VLOOKUP('Données projet'!$B$12,Paramètres!$A$1:$I$89,3,0)*0.475*44/12</f>
        <v>1.8371870430322039</v>
      </c>
      <c r="CN93" s="22">
        <f t="shared" si="66"/>
        <v>106.13200037883112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-2.8421709430404007E-13</v>
      </c>
      <c r="CU93" s="17">
        <f>CT93*VLOOKUP('Données projet'!$B$13,Paramètres!$A$1:$I$89,3,0)*VLOOKUP('Données projet'!$B$13,Paramètres!$A$1:$I$89,5,0)</f>
        <v>-2.7489477361086758E-13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508.3185483454435</v>
      </c>
      <c r="CZ93" s="59">
        <f t="shared" si="96"/>
        <v>487.08233034004945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120.58003793258516</v>
      </c>
      <c r="DG93" s="21">
        <f>EXP(-LN(2)/25)*DG92+(1-EXP(-LN(2)/25))/(LN(2)/25)*Calculateur!DB93*Calculateur!DD93*VLOOKUP('Données projet'!$B$13,Paramètres!$A$1:$I$89,3,0)*0.475*44/12</f>
        <v>3.7714702754827094</v>
      </c>
      <c r="DH93" s="21">
        <f>EXP(-LN(2)/2)*DH92+(1-EXP(-LN(2)/2))/(LN(2)/2)*DB93*DE93*VLOOKUP('Données projet'!$B$13,Paramètres!$A$1:$I$89,3,0)*0.475*44/12</f>
        <v>2.1904922436153194</v>
      </c>
      <c r="DI93" s="22">
        <f t="shared" si="69"/>
        <v>126.54200045168319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-2.8421709430404007E-13</v>
      </c>
      <c r="DP93" s="17">
        <f>DO93*VLOOKUP('Données projet'!$B$14,Paramètres!$A$1:$I$89,3,0)*VLOOKUP('Données projet'!$B$14,Paramètres!$A$1:$I$89,5,0)</f>
        <v>-2.7489477361086758E-13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508.3185483454435</v>
      </c>
      <c r="DU93" s="59">
        <f t="shared" si="98"/>
        <v>487.08233034004945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120.58003793258516</v>
      </c>
      <c r="EB93" s="21">
        <f>EXP(-LN(2)/25)*EB92+(1-EXP(-LN(2)/25))/(LN(2)/25)*Calculateur!DW93*Calculateur!DY93*VLOOKUP('Données projet'!$B$14,Paramètres!$A$1:$I$89,3,0)*0.475*44/12</f>
        <v>3.7714702754827094</v>
      </c>
      <c r="EC93" s="21">
        <f>EXP(-LN(2)/2)*EC92+(1-EXP(-LN(2)/2))/(LN(2)/2)*DW93*DZ93*VLOOKUP('Données projet'!$B$14,Paramètres!$A$1:$I$89,3,0)*0.475*44/12</f>
        <v>2.1904922436153194</v>
      </c>
      <c r="ED93" s="22">
        <f t="shared" si="72"/>
        <v>126.54200045168319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7.333333333333333</v>
      </c>
      <c r="N94" s="13">
        <f>IF('Données projet'!$A$36&gt;35,N93+M94-V93,IF(A94&lt;'Données projet'!$A$36,$K$205^A94,IF(A94='Données projet'!$A$36,'Données projet'!$B$36,N93+M94-V93)))</f>
        <v>301.33333333333309</v>
      </c>
      <c r="O94" s="13">
        <f>N94*VLOOKUP('Données projet'!$B$9,Paramètres!$A$1:$I$89,3,0)*VLOOKUP('Données projet'!$B$9,Paramètres!$A$1:$I$89,5,0)</f>
        <v>272.64639999999974</v>
      </c>
      <c r="P94" s="13">
        <f t="shared" si="87"/>
        <v>65.41058293969752</v>
      </c>
      <c r="Q94" s="20">
        <f t="shared" si="54"/>
        <v>588.7825786199727</v>
      </c>
      <c r="R94" s="59">
        <f t="shared" si="55"/>
        <v>863.4694054628178</v>
      </c>
      <c r="S94" s="59">
        <f ca="1">AVERAGE(OFFSET($R$3,0,0,'Données projet'!$E$9+1,1))-AVERAGE(OFFSET($H$3,0,0,'Données projet'!$E$9+1,1))</f>
        <v>569.49435820174267</v>
      </c>
      <c r="T94" s="59">
        <f t="shared" si="88"/>
        <v>295.37730858134739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6.9932402463835368</v>
      </c>
      <c r="AA94" s="21">
        <f>EXP(-LN(2)/25)*AA93+(1-EXP(-LN(2)/25))/(LN(2)/25)*Calculateur!V94*Calculateur!X94*VLOOKUP('Données projet'!$B$9,Paramètres!$A$1:$I$89,3,0)*0.475*44/12</f>
        <v>31.445447925703956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38.438688172087495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7.333333333333333</v>
      </c>
      <c r="AI94" s="13">
        <f>IF('Données projet'!$A$62&gt;35,AI93+AH94-AQ93,IF(A94&lt;'Données projet'!$A$62,$AF$205^A94,IF(A94='Données projet'!$A$62,'Données projet'!$B$62,AI93+AH94-AQ93)))</f>
        <v>301.33333333333309</v>
      </c>
      <c r="AJ94" s="13">
        <f>AI94*VLOOKUP('Données projet'!$B$10,Paramètres!$A$1:$I$89,3,0)*VLOOKUP('Données projet'!$B$10,Paramètres!$A$1:$I$89,5,0)</f>
        <v>305.55199999999974</v>
      </c>
      <c r="AK94" s="13">
        <f t="shared" si="89"/>
        <v>72.339130844371653</v>
      </c>
      <c r="AL94" s="20">
        <f t="shared" si="58"/>
        <v>658.16038622061342</v>
      </c>
      <c r="AM94" s="59">
        <f t="shared" si="59"/>
        <v>932.84721306345841</v>
      </c>
      <c r="AN94" s="59">
        <f ca="1">AVERAGE(OFFSET($AM$3,0,0,'Données projet'!$E$10+1,1))-AVERAGE(OFFSET($H$3,0,0,'Données projet'!$E$10+1,1))</f>
        <v>627.83896530587367</v>
      </c>
      <c r="AO94" s="59">
        <f t="shared" si="90"/>
        <v>323.54927030899489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7.8372520002574122</v>
      </c>
      <c r="AV94" s="21">
        <f>EXP(-LN(2)/25)*AV93+(1-EXP(-LN(2)/25))/(LN(2)/25)*Calculateur!AQ94*Calculateur!AS94*VLOOKUP('Données projet'!$B$10,Paramètres!$A$1:$I$89,3,0)*0.475*44/12</f>
        <v>35.240588192599276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43.077840192856691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-2.8421709430404007E-13</v>
      </c>
      <c r="BE94" s="13">
        <f>BD94*VLOOKUP('Données projet'!$B$11,Paramètres!$A$1:$I$89,3,0)*VLOOKUP('Données projet'!$B$11,Paramètres!$A$1:$I$89,5,0)</f>
        <v>-2.7489477361086758E-13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508.3185483454435</v>
      </c>
      <c r="BJ94" s="59">
        <f t="shared" si="92"/>
        <v>487.08233034004945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118.21553693528818</v>
      </c>
      <c r="BQ94" s="21">
        <f>EXP(-LN(2)/25)*BQ93+(1-EXP(-LN(2)/25))/(LN(2)/25)*Calculateur!BL94*Calculateur!BN94*VLOOKUP('Données projet'!$B$11,Paramètres!$A$1:$I$89,3,0)*0.475*44/12</f>
        <v>3.6683392224666327</v>
      </c>
      <c r="BR94" s="21">
        <f>EXP(-LN(2)/2)*BR93+(1-EXP(-LN(2)/2))/(LN(2)/2)*BL94*BO94*VLOOKUP('Données projet'!$B$11,Paramètres!$A$1:$I$89,3,0)*0.475*44/12</f>
        <v>1.5489119195969272</v>
      </c>
      <c r="BS94" s="22">
        <f t="shared" si="63"/>
        <v>123.43278807735174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-2.8421709430404007E-13</v>
      </c>
      <c r="BZ94" s="13">
        <f>BY94*VLOOKUP('Données projet'!$B$12,Paramètres!$A$1:$I$89,3,0)*VLOOKUP('Données projet'!$B$12,Paramètres!$A$1:$I$89,5,0)</f>
        <v>-2.3055690689943731E-13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436.50252985867149</v>
      </c>
      <c r="CE94" s="59">
        <f t="shared" si="94"/>
        <v>419.00806288456329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99.14851484895145</v>
      </c>
      <c r="CL94" s="21">
        <f>EXP(-LN(2)/25)*CL93+(1-EXP(-LN(2)/25))/(LN(2)/25)*Calculateur!CG94*Calculateur!CI94*VLOOKUP('Données projet'!$B$12,Paramètres!$A$1:$I$89,3,0)*0.475*44/12</f>
        <v>3.0766716059397585</v>
      </c>
      <c r="CM94" s="21">
        <f>EXP(-LN(2)/2)*CM93+(1-EXP(-LN(2)/2))/(LN(2)/2)*CG94*CJ94*VLOOKUP('Données projet'!$B$12,Paramètres!$A$1:$I$89,3,0)*0.475*44/12</f>
        <v>1.299087416436133</v>
      </c>
      <c r="CN94" s="22">
        <f t="shared" si="66"/>
        <v>103.52427387132735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-2.8421709430404007E-13</v>
      </c>
      <c r="CU94" s="17">
        <f>CT94*VLOOKUP('Données projet'!$B$13,Paramètres!$A$1:$I$89,3,0)*VLOOKUP('Données projet'!$B$13,Paramètres!$A$1:$I$89,5,0)</f>
        <v>-2.7489477361086758E-13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508.3185483454435</v>
      </c>
      <c r="CZ94" s="59">
        <f t="shared" si="96"/>
        <v>487.08233034004945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118.21553693528818</v>
      </c>
      <c r="DG94" s="21">
        <f>EXP(-LN(2)/25)*DG93+(1-EXP(-LN(2)/25))/(LN(2)/25)*Calculateur!DB94*Calculateur!DD94*VLOOKUP('Données projet'!$B$13,Paramètres!$A$1:$I$89,3,0)*0.475*44/12</f>
        <v>3.6683392224666327</v>
      </c>
      <c r="DH94" s="21">
        <f>EXP(-LN(2)/2)*DH93+(1-EXP(-LN(2)/2))/(LN(2)/2)*DB94*DE94*VLOOKUP('Données projet'!$B$13,Paramètres!$A$1:$I$89,3,0)*0.475*44/12</f>
        <v>1.5489119195969272</v>
      </c>
      <c r="DI94" s="22">
        <f t="shared" si="69"/>
        <v>123.43278807735174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-2.8421709430404007E-13</v>
      </c>
      <c r="DP94" s="17">
        <f>DO94*VLOOKUP('Données projet'!$B$14,Paramètres!$A$1:$I$89,3,0)*VLOOKUP('Données projet'!$B$14,Paramètres!$A$1:$I$89,5,0)</f>
        <v>-2.7489477361086758E-13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508.3185483454435</v>
      </c>
      <c r="DU94" s="59">
        <f t="shared" si="98"/>
        <v>487.08233034004945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118.21553693528818</v>
      </c>
      <c r="EB94" s="21">
        <f>EXP(-LN(2)/25)*EB93+(1-EXP(-LN(2)/25))/(LN(2)/25)*Calculateur!DW94*Calculateur!DY94*VLOOKUP('Données projet'!$B$14,Paramètres!$A$1:$I$89,3,0)*0.475*44/12</f>
        <v>3.6683392224666327</v>
      </c>
      <c r="EC94" s="21">
        <f>EXP(-LN(2)/2)*EC93+(1-EXP(-LN(2)/2))/(LN(2)/2)*DW94*DZ94*VLOOKUP('Données projet'!$B$14,Paramètres!$A$1:$I$89,3,0)*0.475*44/12</f>
        <v>1.5489119195969272</v>
      </c>
      <c r="ED94" s="22">
        <f t="shared" si="72"/>
        <v>123.43278807735174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7.333333333333333</v>
      </c>
      <c r="N95" s="13">
        <f>IF('Données projet'!$A$36&gt;35,N94+M95-V94,IF(A95&lt;'Données projet'!$A$36,$K$205^A95,IF(A95='Données projet'!$A$36,'Données projet'!$B$36,N94+M95-V94)))</f>
        <v>308.6666666666664</v>
      </c>
      <c r="O95" s="13">
        <f>N95*VLOOKUP('Données projet'!$B$9,Paramètres!$A$1:$I$89,3,0)*VLOOKUP('Données projet'!$B$9,Paramètres!$A$1:$I$89,5,0)</f>
        <v>279.28159999999974</v>
      </c>
      <c r="P95" s="13">
        <f t="shared" si="87"/>
        <v>66.815167617634344</v>
      </c>
      <c r="Q95" s="20">
        <f t="shared" si="54"/>
        <v>602.78520360071263</v>
      </c>
      <c r="R95" s="59">
        <f t="shared" si="55"/>
        <v>877.7955056438243</v>
      </c>
      <c r="S95" s="59">
        <f ca="1">AVERAGE(OFFSET($R$3,0,0,'Données projet'!$E$9+1,1))-AVERAGE(OFFSET($H$3,0,0,'Données projet'!$E$9+1,1))</f>
        <v>569.49435820174267</v>
      </c>
      <c r="T95" s="59">
        <f t="shared" si="88"/>
        <v>295.37730858134739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6.8561070706073268</v>
      </c>
      <c r="AA95" s="21">
        <f>EXP(-LN(2)/25)*AA94+(1-EXP(-LN(2)/25))/(LN(2)/25)*Calculateur!V95*Calculateur!X95*VLOOKUP('Données projet'!$B$9,Paramètres!$A$1:$I$89,3,0)*0.475*44/12</f>
        <v>30.585570498531343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37.441677569138669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7.333333333333333</v>
      </c>
      <c r="AI95" s="13">
        <f>IF('Données projet'!$A$62&gt;35,AI94+AH95-AQ94,IF(A95&lt;'Données projet'!$A$62,$AF$205^A95,IF(A95='Données projet'!$A$62,'Données projet'!$B$62,AI94+AH95-AQ94)))</f>
        <v>308.6666666666664</v>
      </c>
      <c r="AJ95" s="13">
        <f>AI95*VLOOKUP('Données projet'!$B$10,Paramètres!$A$1:$I$89,3,0)*VLOOKUP('Données projet'!$B$10,Paramètres!$A$1:$I$89,5,0)</f>
        <v>312.98799999999972</v>
      </c>
      <c r="AK95" s="13">
        <f t="shared" si="89"/>
        <v>73.892494692129191</v>
      </c>
      <c r="AL95" s="20">
        <f t="shared" si="58"/>
        <v>673.81686158879108</v>
      </c>
      <c r="AM95" s="59">
        <f t="shared" si="59"/>
        <v>948.82716363190275</v>
      </c>
      <c r="AN95" s="59">
        <f ca="1">AVERAGE(OFFSET($AM$3,0,0,'Données projet'!$E$10+1,1))-AVERAGE(OFFSET($H$3,0,0,'Données projet'!$E$10+1,1))</f>
        <v>627.83896530587367</v>
      </c>
      <c r="AO95" s="59">
        <f t="shared" si="90"/>
        <v>323.54927030899489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7.6835682687840743</v>
      </c>
      <c r="AV95" s="21">
        <f>EXP(-LN(2)/25)*AV94+(1-EXP(-LN(2)/25))/(LN(2)/25)*Calculateur!AQ95*Calculateur!AS95*VLOOKUP('Données projet'!$B$10,Paramètres!$A$1:$I$89,3,0)*0.475*44/12</f>
        <v>34.276932455250659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41.960500724034731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-2.8421709430404007E-13</v>
      </c>
      <c r="BE95" s="13">
        <f>BD95*VLOOKUP('Données projet'!$B$11,Paramètres!$A$1:$I$89,3,0)*VLOOKUP('Données projet'!$B$11,Paramètres!$A$1:$I$89,5,0)</f>
        <v>-2.7489477361086758E-13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508.3185483454435</v>
      </c>
      <c r="BJ95" s="59">
        <f t="shared" si="92"/>
        <v>487.08233034004945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115.897402360345</v>
      </c>
      <c r="BQ95" s="21">
        <f>EXP(-LN(2)/25)*BQ94+(1-EXP(-LN(2)/25))/(LN(2)/25)*Calculateur!BL95*Calculateur!BN95*VLOOKUP('Données projet'!$B$11,Paramètres!$A$1:$I$89,3,0)*0.475*44/12</f>
        <v>3.5680282935187071</v>
      </c>
      <c r="BR95" s="21">
        <f>EXP(-LN(2)/2)*BR94+(1-EXP(-LN(2)/2))/(LN(2)/2)*BL95*BO95*VLOOKUP('Données projet'!$B$11,Paramètres!$A$1:$I$89,3,0)*0.475*44/12</f>
        <v>1.0952461218076597</v>
      </c>
      <c r="BS95" s="22">
        <f t="shared" si="63"/>
        <v>120.56067677567137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-2.8421709430404007E-13</v>
      </c>
      <c r="BZ95" s="13">
        <f>BY95*VLOOKUP('Données projet'!$B$12,Paramètres!$A$1:$I$89,3,0)*VLOOKUP('Données projet'!$B$12,Paramètres!$A$1:$I$89,5,0)</f>
        <v>-2.3055690689943731E-13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436.50252985867149</v>
      </c>
      <c r="CE95" s="59">
        <f t="shared" si="94"/>
        <v>419.00806288456329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97.204272947386201</v>
      </c>
      <c r="CL95" s="21">
        <f>EXP(-LN(2)/25)*CL94+(1-EXP(-LN(2)/25))/(LN(2)/25)*Calculateur!CG95*Calculateur!CI95*VLOOKUP('Données projet'!$B$12,Paramètres!$A$1:$I$89,3,0)*0.475*44/12</f>
        <v>2.9925398590802077</v>
      </c>
      <c r="CM95" s="21">
        <f>EXP(-LN(2)/2)*CM94+(1-EXP(-LN(2)/2))/(LN(2)/2)*CG95*CJ95*VLOOKUP('Données projet'!$B$12,Paramètres!$A$1:$I$89,3,0)*0.475*44/12</f>
        <v>0.91859352151610207</v>
      </c>
      <c r="CN95" s="22">
        <f t="shared" si="66"/>
        <v>101.11540632798251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-2.8421709430404007E-13</v>
      </c>
      <c r="CU95" s="17">
        <f>CT95*VLOOKUP('Données projet'!$B$13,Paramètres!$A$1:$I$89,3,0)*VLOOKUP('Données projet'!$B$13,Paramètres!$A$1:$I$89,5,0)</f>
        <v>-2.7489477361086758E-13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508.3185483454435</v>
      </c>
      <c r="CZ95" s="59">
        <f t="shared" si="96"/>
        <v>487.08233034004945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115.897402360345</v>
      </c>
      <c r="DG95" s="21">
        <f>EXP(-LN(2)/25)*DG94+(1-EXP(-LN(2)/25))/(LN(2)/25)*Calculateur!DB95*Calculateur!DD95*VLOOKUP('Données projet'!$B$13,Paramètres!$A$1:$I$89,3,0)*0.475*44/12</f>
        <v>3.5680282935187071</v>
      </c>
      <c r="DH95" s="21">
        <f>EXP(-LN(2)/2)*DH94+(1-EXP(-LN(2)/2))/(LN(2)/2)*DB95*DE95*VLOOKUP('Données projet'!$B$13,Paramètres!$A$1:$I$89,3,0)*0.475*44/12</f>
        <v>1.0952461218076597</v>
      </c>
      <c r="DI95" s="22">
        <f t="shared" si="69"/>
        <v>120.56067677567137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-2.8421709430404007E-13</v>
      </c>
      <c r="DP95" s="17">
        <f>DO95*VLOOKUP('Données projet'!$B$14,Paramètres!$A$1:$I$89,3,0)*VLOOKUP('Données projet'!$B$14,Paramètres!$A$1:$I$89,5,0)</f>
        <v>-2.7489477361086758E-13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508.3185483454435</v>
      </c>
      <c r="DU95" s="59">
        <f t="shared" si="98"/>
        <v>487.08233034004945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115.897402360345</v>
      </c>
      <c r="EB95" s="21">
        <f>EXP(-LN(2)/25)*EB94+(1-EXP(-LN(2)/25))/(LN(2)/25)*Calculateur!DW95*Calculateur!DY95*VLOOKUP('Données projet'!$B$14,Paramètres!$A$1:$I$89,3,0)*0.475*44/12</f>
        <v>3.5680282935187071</v>
      </c>
      <c r="EC95" s="21">
        <f>EXP(-LN(2)/2)*EC94+(1-EXP(-LN(2)/2))/(LN(2)/2)*DW95*DZ95*VLOOKUP('Données projet'!$B$14,Paramètres!$A$1:$I$89,3,0)*0.475*44/12</f>
        <v>1.0952461218076597</v>
      </c>
      <c r="ED95" s="22">
        <f t="shared" si="72"/>
        <v>120.56067677567137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7.333333333333333</v>
      </c>
      <c r="N96" s="13">
        <f>IF('Données projet'!$A$36&gt;35,N95+M96-V95,IF(A96&lt;'Données projet'!$A$36,$K$205^A96,IF(A96='Données projet'!$A$36,'Données projet'!$B$36,N95+M96-V95)))</f>
        <v>315.99999999999972</v>
      </c>
      <c r="O96" s="13">
        <f>N96*VLOOKUP('Données projet'!$B$9,Paramètres!$A$1:$I$89,3,0)*VLOOKUP('Données projet'!$B$9,Paramètres!$A$1:$I$89,5,0)</f>
        <v>285.91679999999974</v>
      </c>
      <c r="P96" s="13">
        <f t="shared" si="87"/>
        <v>68.215872977287475</v>
      </c>
      <c r="Q96" s="20">
        <f t="shared" si="54"/>
        <v>616.7810721021084</v>
      </c>
      <c r="R96" s="59">
        <f t="shared" si="55"/>
        <v>892.10923777394441</v>
      </c>
      <c r="S96" s="59">
        <f ca="1">AVERAGE(OFFSET($R$3,0,0,'Données projet'!$E$9+1,1))-AVERAGE(OFFSET($H$3,0,0,'Données projet'!$E$9+1,1))</f>
        <v>569.49435820174267</v>
      </c>
      <c r="T96" s="59">
        <f t="shared" si="88"/>
        <v>295.37730858134739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6.7216629927651104</v>
      </c>
      <c r="AA96" s="21">
        <f>EXP(-LN(2)/25)*AA95+(1-EXP(-LN(2)/25))/(LN(2)/25)*Calculateur!V96*Calculateur!X96*VLOOKUP('Données projet'!$B$9,Paramètres!$A$1:$I$89,3,0)*0.475*44/12</f>
        <v>29.749206464823754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36.470869457588861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7.333333333333333</v>
      </c>
      <c r="AI96" s="13">
        <f>IF('Données projet'!$A$62&gt;35,AI95+AH96-AQ95,IF(A96&lt;'Données projet'!$A$62,$AF$205^A96,IF(A96='Données projet'!$A$62,'Données projet'!$B$62,AI95+AH96-AQ95)))</f>
        <v>315.99999999999972</v>
      </c>
      <c r="AJ96" s="13">
        <f>AI96*VLOOKUP('Données projet'!$B$10,Paramètres!$A$1:$I$89,3,0)*VLOOKUP('Données projet'!$B$10,Paramètres!$A$1:$I$89,5,0)</f>
        <v>320.42399999999975</v>
      </c>
      <c r="AK96" s="13">
        <f t="shared" si="89"/>
        <v>75.441568308852254</v>
      </c>
      <c r="AL96" s="20">
        <f t="shared" si="58"/>
        <v>689.46586480458382</v>
      </c>
      <c r="AM96" s="59">
        <f t="shared" si="59"/>
        <v>964.79403047641972</v>
      </c>
      <c r="AN96" s="59">
        <f ca="1">AVERAGE(OFFSET($AM$3,0,0,'Données projet'!$E$10+1,1))-AVERAGE(OFFSET($H$3,0,0,'Données projet'!$E$10+1,1))</f>
        <v>627.83896530587367</v>
      </c>
      <c r="AO96" s="59">
        <f t="shared" si="90"/>
        <v>323.54927030899489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7.5328981815471074</v>
      </c>
      <c r="AV96" s="21">
        <f>EXP(-LN(2)/25)*AV95+(1-EXP(-LN(2)/25))/(LN(2)/25)*Calculateur!AQ96*Calculateur!AS96*VLOOKUP('Données projet'!$B$10,Paramètres!$A$1:$I$89,3,0)*0.475*44/12</f>
        <v>33.33962793471629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40.872526116263401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-2.8421709430404007E-13</v>
      </c>
      <c r="BE96" s="13">
        <f>BD96*VLOOKUP('Données projet'!$B$11,Paramètres!$A$1:$I$89,3,0)*VLOOKUP('Données projet'!$B$11,Paramètres!$A$1:$I$89,5,0)</f>
        <v>-2.7489477361086758E-13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508.3185483454435</v>
      </c>
      <c r="BJ96" s="59">
        <f t="shared" si="92"/>
        <v>487.08233034004945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113.62472499049397</v>
      </c>
      <c r="BQ96" s="21">
        <f>EXP(-LN(2)/25)*BQ95+(1-EXP(-LN(2)/25))/(LN(2)/25)*Calculateur!BL96*Calculateur!BN96*VLOOKUP('Données projet'!$B$11,Paramètres!$A$1:$I$89,3,0)*0.475*44/12</f>
        <v>3.470460372197985</v>
      </c>
      <c r="BR96" s="21">
        <f>EXP(-LN(2)/2)*BR95+(1-EXP(-LN(2)/2))/(LN(2)/2)*BL96*BO96*VLOOKUP('Données projet'!$B$11,Paramètres!$A$1:$I$89,3,0)*0.475*44/12</f>
        <v>0.7744559597984636</v>
      </c>
      <c r="BS96" s="22">
        <f t="shared" si="63"/>
        <v>117.86964132249042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-2.8421709430404007E-13</v>
      </c>
      <c r="BZ96" s="13">
        <f>BY96*VLOOKUP('Données projet'!$B$12,Paramètres!$A$1:$I$89,3,0)*VLOOKUP('Données projet'!$B$12,Paramètres!$A$1:$I$89,5,0)</f>
        <v>-2.3055690689943731E-13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436.50252985867149</v>
      </c>
      <c r="CE96" s="59">
        <f t="shared" si="94"/>
        <v>419.00806288456329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95.298156443640181</v>
      </c>
      <c r="CL96" s="21">
        <f>EXP(-LN(2)/25)*CL95+(1-EXP(-LN(2)/25))/(LN(2)/25)*Calculateur!CG96*Calculateur!CI96*VLOOKUP('Données projet'!$B$12,Paramètres!$A$1:$I$89,3,0)*0.475*44/12</f>
        <v>2.9107086992628277</v>
      </c>
      <c r="CM96" s="21">
        <f>EXP(-LN(2)/2)*CM95+(1-EXP(-LN(2)/2))/(LN(2)/2)*CG96*CJ96*VLOOKUP('Données projet'!$B$12,Paramètres!$A$1:$I$89,3,0)*0.475*44/12</f>
        <v>0.64954370821806662</v>
      </c>
      <c r="CN96" s="22">
        <f t="shared" si="66"/>
        <v>98.858408851121069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-2.8421709430404007E-13</v>
      </c>
      <c r="CU96" s="17">
        <f>CT96*VLOOKUP('Données projet'!$B$13,Paramètres!$A$1:$I$89,3,0)*VLOOKUP('Données projet'!$B$13,Paramètres!$A$1:$I$89,5,0)</f>
        <v>-2.7489477361086758E-13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508.3185483454435</v>
      </c>
      <c r="CZ96" s="59">
        <f t="shared" si="96"/>
        <v>487.08233034004945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113.62472499049397</v>
      </c>
      <c r="DG96" s="21">
        <f>EXP(-LN(2)/25)*DG95+(1-EXP(-LN(2)/25))/(LN(2)/25)*Calculateur!DB96*Calculateur!DD96*VLOOKUP('Données projet'!$B$13,Paramètres!$A$1:$I$89,3,0)*0.475*44/12</f>
        <v>3.470460372197985</v>
      </c>
      <c r="DH96" s="21">
        <f>EXP(-LN(2)/2)*DH95+(1-EXP(-LN(2)/2))/(LN(2)/2)*DB96*DE96*VLOOKUP('Données projet'!$B$13,Paramètres!$A$1:$I$89,3,0)*0.475*44/12</f>
        <v>0.7744559597984636</v>
      </c>
      <c r="DI96" s="22">
        <f t="shared" si="69"/>
        <v>117.86964132249042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-2.8421709430404007E-13</v>
      </c>
      <c r="DP96" s="17">
        <f>DO96*VLOOKUP('Données projet'!$B$14,Paramètres!$A$1:$I$89,3,0)*VLOOKUP('Données projet'!$B$14,Paramètres!$A$1:$I$89,5,0)</f>
        <v>-2.7489477361086758E-13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508.3185483454435</v>
      </c>
      <c r="DU96" s="59">
        <f t="shared" si="98"/>
        <v>487.08233034004945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113.62472499049397</v>
      </c>
      <c r="EB96" s="21">
        <f>EXP(-LN(2)/25)*EB95+(1-EXP(-LN(2)/25))/(LN(2)/25)*Calculateur!DW96*Calculateur!DY96*VLOOKUP('Données projet'!$B$14,Paramètres!$A$1:$I$89,3,0)*0.475*44/12</f>
        <v>3.470460372197985</v>
      </c>
      <c r="EC96" s="21">
        <f>EXP(-LN(2)/2)*EC95+(1-EXP(-LN(2)/2))/(LN(2)/2)*DW96*DZ96*VLOOKUP('Données projet'!$B$14,Paramètres!$A$1:$I$89,3,0)*0.475*44/12</f>
        <v>0.7744559597984636</v>
      </c>
      <c r="ED96" s="22">
        <f t="shared" si="72"/>
        <v>117.86964132249042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7.333333333333333</v>
      </c>
      <c r="N97" s="13">
        <f>IF('Données projet'!$A$36&gt;35,N96+M97-V96,IF(A97&lt;'Données projet'!$A$36,$K$205^A97,IF(A97='Données projet'!$A$36,'Données projet'!$B$36,N96+M97-V96)))</f>
        <v>323.33333333333303</v>
      </c>
      <c r="O97" s="13">
        <f>N97*VLOOKUP('Données projet'!$B$9,Paramètres!$A$1:$I$89,3,0)*VLOOKUP('Données projet'!$B$9,Paramètres!$A$1:$I$89,5,0)</f>
        <v>292.55199999999968</v>
      </c>
      <c r="P97" s="13">
        <f t="shared" si="87"/>
        <v>69.612799406689945</v>
      </c>
      <c r="Q97" s="20">
        <f t="shared" si="54"/>
        <v>630.77035896665097</v>
      </c>
      <c r="R97" s="59">
        <f t="shared" si="55"/>
        <v>906.41087404388941</v>
      </c>
      <c r="S97" s="59">
        <f ca="1">AVERAGE(OFFSET($R$3,0,0,'Données projet'!$E$9+1,1))-AVERAGE(OFFSET($H$3,0,0,'Données projet'!$E$9+1,1))</f>
        <v>569.49435820174267</v>
      </c>
      <c r="T97" s="59">
        <f t="shared" si="88"/>
        <v>295.37730858134739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6.5898552812865896</v>
      </c>
      <c r="AA97" s="21">
        <f>EXP(-LN(2)/25)*AA96+(1-EXP(-LN(2)/25))/(LN(2)/25)*Calculateur!V97*Calculateur!X97*VLOOKUP('Données projet'!$B$9,Paramètres!$A$1:$I$89,3,0)*0.475*44/12</f>
        <v>28.935712849600375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35.525568130886967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7.333333333333333</v>
      </c>
      <c r="AI97" s="13">
        <f>IF('Données projet'!$A$62&gt;35,AI96+AH97-AQ96,IF(A97&lt;'Données projet'!$A$62,$AF$205^A97,IF(A97='Données projet'!$A$62,'Données projet'!$B$62,AI96+AH97-AQ96)))</f>
        <v>323.33333333333303</v>
      </c>
      <c r="AJ97" s="13">
        <f>AI97*VLOOKUP('Données projet'!$B$10,Paramètres!$A$1:$I$89,3,0)*VLOOKUP('Données projet'!$B$10,Paramètres!$A$1:$I$89,5,0)</f>
        <v>327.85999999999973</v>
      </c>
      <c r="AK97" s="13">
        <f t="shared" si="89"/>
        <v>76.986462716071742</v>
      </c>
      <c r="AL97" s="20">
        <f t="shared" si="58"/>
        <v>705.10758923049116</v>
      </c>
      <c r="AM97" s="59">
        <f t="shared" si="59"/>
        <v>980.74810430772959</v>
      </c>
      <c r="AN97" s="59">
        <f ca="1">AVERAGE(OFFSET($AM$3,0,0,'Données projet'!$E$10+1,1))-AVERAGE(OFFSET($H$3,0,0,'Données projet'!$E$10+1,1))</f>
        <v>627.83896530587367</v>
      </c>
      <c r="AO97" s="59">
        <f t="shared" si="90"/>
        <v>323.54927030899489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7.3851826428211789</v>
      </c>
      <c r="AV97" s="21">
        <f>EXP(-LN(2)/25)*AV96+(1-EXP(-LN(2)/25))/(LN(2)/25)*Calculateur!AQ97*Calculateur!AS97*VLOOKUP('Données projet'!$B$10,Paramètres!$A$1:$I$89,3,0)*0.475*44/12</f>
        <v>32.427954055586639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39.813136698407817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-2.8421709430404007E-13</v>
      </c>
      <c r="BE97" s="13">
        <f>BD97*VLOOKUP('Données projet'!$B$11,Paramètres!$A$1:$I$89,3,0)*VLOOKUP('Données projet'!$B$11,Paramètres!$A$1:$I$89,5,0)</f>
        <v>-2.7489477361086758E-13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508.3185483454435</v>
      </c>
      <c r="BJ97" s="59">
        <f t="shared" si="92"/>
        <v>487.08233034004945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111.3966134376694</v>
      </c>
      <c r="BQ97" s="21">
        <f>EXP(-LN(2)/25)*BQ96+(1-EXP(-LN(2)/25))/(LN(2)/25)*Calculateur!BL97*Calculateur!BN97*VLOOKUP('Données projet'!$B$11,Paramètres!$A$1:$I$89,3,0)*0.475*44/12</f>
        <v>3.3755604508166521</v>
      </c>
      <c r="BR97" s="21">
        <f>EXP(-LN(2)/2)*BR96+(1-EXP(-LN(2)/2))/(LN(2)/2)*BL97*BO97*VLOOKUP('Données projet'!$B$11,Paramètres!$A$1:$I$89,3,0)*0.475*44/12</f>
        <v>0.54762306090382984</v>
      </c>
      <c r="BS97" s="22">
        <f t="shared" si="63"/>
        <v>115.31979694938988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-2.8421709430404007E-13</v>
      </c>
      <c r="BZ97" s="13">
        <f>BY97*VLOOKUP('Données projet'!$B$12,Paramètres!$A$1:$I$89,3,0)*VLOOKUP('Données projet'!$B$12,Paramètres!$A$1:$I$89,5,0)</f>
        <v>-2.3055690689943731E-13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436.50252985867149</v>
      </c>
      <c r="CE97" s="59">
        <f t="shared" si="94"/>
        <v>419.00806288456329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93.429417721916352</v>
      </c>
      <c r="CL97" s="21">
        <f>EXP(-LN(2)/25)*CL96+(1-EXP(-LN(2)/25))/(LN(2)/25)*Calculateur!CG97*Calculateur!CI97*VLOOKUP('Données projet'!$B$12,Paramètres!$A$1:$I$89,3,0)*0.475*44/12</f>
        <v>2.8311152168139677</v>
      </c>
      <c r="CM97" s="21">
        <f>EXP(-LN(2)/2)*CM96+(1-EXP(-LN(2)/2))/(LN(2)/2)*CG97*CJ97*VLOOKUP('Données projet'!$B$12,Paramètres!$A$1:$I$89,3,0)*0.475*44/12</f>
        <v>0.45929676075805115</v>
      </c>
      <c r="CN97" s="22">
        <f t="shared" si="66"/>
        <v>96.719829699488372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-2.8421709430404007E-13</v>
      </c>
      <c r="CU97" s="17">
        <f>CT97*VLOOKUP('Données projet'!$B$13,Paramètres!$A$1:$I$89,3,0)*VLOOKUP('Données projet'!$B$13,Paramètres!$A$1:$I$89,5,0)</f>
        <v>-2.7489477361086758E-13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508.3185483454435</v>
      </c>
      <c r="CZ97" s="59">
        <f t="shared" si="96"/>
        <v>487.08233034004945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111.3966134376694</v>
      </c>
      <c r="DG97" s="21">
        <f>EXP(-LN(2)/25)*DG96+(1-EXP(-LN(2)/25))/(LN(2)/25)*Calculateur!DB97*Calculateur!DD97*VLOOKUP('Données projet'!$B$13,Paramètres!$A$1:$I$89,3,0)*0.475*44/12</f>
        <v>3.3755604508166521</v>
      </c>
      <c r="DH97" s="21">
        <f>EXP(-LN(2)/2)*DH96+(1-EXP(-LN(2)/2))/(LN(2)/2)*DB97*DE97*VLOOKUP('Données projet'!$B$13,Paramètres!$A$1:$I$89,3,0)*0.475*44/12</f>
        <v>0.54762306090382984</v>
      </c>
      <c r="DI97" s="22">
        <f t="shared" si="69"/>
        <v>115.31979694938988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-2.8421709430404007E-13</v>
      </c>
      <c r="DP97" s="17">
        <f>DO97*VLOOKUP('Données projet'!$B$14,Paramètres!$A$1:$I$89,3,0)*VLOOKUP('Données projet'!$B$14,Paramètres!$A$1:$I$89,5,0)</f>
        <v>-2.7489477361086758E-13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508.3185483454435</v>
      </c>
      <c r="DU97" s="59">
        <f t="shared" si="98"/>
        <v>487.08233034004945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111.3966134376694</v>
      </c>
      <c r="EB97" s="21">
        <f>EXP(-LN(2)/25)*EB96+(1-EXP(-LN(2)/25))/(LN(2)/25)*Calculateur!DW97*Calculateur!DY97*VLOOKUP('Données projet'!$B$14,Paramètres!$A$1:$I$89,3,0)*0.475*44/12</f>
        <v>3.3755604508166521</v>
      </c>
      <c r="EC97" s="21">
        <f>EXP(-LN(2)/2)*EC96+(1-EXP(-LN(2)/2))/(LN(2)/2)*DW97*DZ97*VLOOKUP('Données projet'!$B$14,Paramètres!$A$1:$I$89,3,0)*0.475*44/12</f>
        <v>0.54762306090382984</v>
      </c>
      <c r="ED97" s="22">
        <f t="shared" si="72"/>
        <v>115.31979694938988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7.333333333333333</v>
      </c>
      <c r="N98" s="13">
        <f>IF('Données projet'!$A$36&gt;35,N97+M98-V97,IF(A98&lt;'Données projet'!$A$36,$K$205^A98,IF(A98='Données projet'!$A$36,'Données projet'!$B$36,N97+M98-V97)))</f>
        <v>330.66666666666634</v>
      </c>
      <c r="O98" s="13">
        <f>N98*VLOOKUP('Données projet'!$B$9,Paramètres!$A$1:$I$89,3,0)*VLOOKUP('Données projet'!$B$9,Paramètres!$A$1:$I$89,5,0)</f>
        <v>299.18719999999968</v>
      </c>
      <c r="P98" s="13">
        <f t="shared" si="87"/>
        <v>71.00604248028047</v>
      </c>
      <c r="Q98" s="20">
        <f t="shared" si="54"/>
        <v>644.75323065315456</v>
      </c>
      <c r="R98" s="59">
        <f t="shared" si="55"/>
        <v>920.70067657192044</v>
      </c>
      <c r="S98" s="59">
        <f ca="1">AVERAGE(OFFSET($R$3,0,0,'Données projet'!$E$9+1,1))-AVERAGE(OFFSET($H$3,0,0,'Données projet'!$E$9+1,1))</f>
        <v>569.49435820174267</v>
      </c>
      <c r="T98" s="59">
        <f t="shared" si="88"/>
        <v>295.37730858134739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6.4606322386353972</v>
      </c>
      <c r="AA98" s="21">
        <f>EXP(-LN(2)/25)*AA97+(1-EXP(-LN(2)/25))/(LN(2)/25)*Calculateur!V98*Calculateur!X98*VLOOKUP('Données projet'!$B$9,Paramètres!$A$1:$I$89,3,0)*0.475*44/12</f>
        <v>28.144464260065046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34.605096498700441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7.333333333333333</v>
      </c>
      <c r="AI98" s="13">
        <f>IF('Données projet'!$A$62&gt;35,AI97+AH98-AQ97,IF(A98&lt;'Données projet'!$A$62,$AF$205^A98,IF(A98='Données projet'!$A$62,'Données projet'!$B$62,AI97+AH98-AQ97)))</f>
        <v>330.66666666666634</v>
      </c>
      <c r="AJ98" s="13">
        <f>AI98*VLOOKUP('Données projet'!$B$10,Paramètres!$A$1:$I$89,3,0)*VLOOKUP('Données projet'!$B$10,Paramètres!$A$1:$I$89,5,0)</f>
        <v>335.29599999999971</v>
      </c>
      <c r="AK98" s="13">
        <f t="shared" si="89"/>
        <v>78.527283611849342</v>
      </c>
      <c r="AL98" s="20">
        <f t="shared" si="58"/>
        <v>720.74221895730363</v>
      </c>
      <c r="AM98" s="59">
        <f t="shared" si="59"/>
        <v>996.68966487606963</v>
      </c>
      <c r="AN98" s="59">
        <f ca="1">AVERAGE(OFFSET($AM$3,0,0,'Données projet'!$E$10+1,1))-AVERAGE(OFFSET($H$3,0,0,'Données projet'!$E$10+1,1))</f>
        <v>627.83896530587367</v>
      </c>
      <c r="AO98" s="59">
        <f t="shared" si="90"/>
        <v>323.54927030899489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7.2403637157120837</v>
      </c>
      <c r="AV98" s="21">
        <f>EXP(-LN(2)/25)*AV97+(1-EXP(-LN(2)/25))/(LN(2)/25)*Calculateur!AQ98*Calculateur!AS98*VLOOKUP('Données projet'!$B$10,Paramètres!$A$1:$I$89,3,0)*0.475*44/12</f>
        <v>31.541209946624633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38.781573662336719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-2.8421709430404007E-13</v>
      </c>
      <c r="BE98" s="13">
        <f>BD98*VLOOKUP('Données projet'!$B$11,Paramètres!$A$1:$I$89,3,0)*VLOOKUP('Données projet'!$B$11,Paramètres!$A$1:$I$89,5,0)</f>
        <v>-2.7489477361086758E-13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508.3185483454435</v>
      </c>
      <c r="BJ98" s="59">
        <f t="shared" si="92"/>
        <v>487.08233034004945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109.21219379338187</v>
      </c>
      <c r="BQ98" s="21">
        <f>EXP(-LN(2)/25)*BQ97+(1-EXP(-LN(2)/25))/(LN(2)/25)*Calculateur!BL98*Calculateur!BN98*VLOOKUP('Données projet'!$B$11,Paramètres!$A$1:$I$89,3,0)*0.475*44/12</f>
        <v>3.2832555727760617</v>
      </c>
      <c r="BR98" s="21">
        <f>EXP(-LN(2)/2)*BR97+(1-EXP(-LN(2)/2))/(LN(2)/2)*BL98*BO98*VLOOKUP('Données projet'!$B$11,Paramètres!$A$1:$I$89,3,0)*0.475*44/12</f>
        <v>0.3872279798992318</v>
      </c>
      <c r="BS98" s="22">
        <f t="shared" si="63"/>
        <v>112.88267734605716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-2.8421709430404007E-13</v>
      </c>
      <c r="BZ98" s="13">
        <f>BY98*VLOOKUP('Données projet'!$B$12,Paramètres!$A$1:$I$89,3,0)*VLOOKUP('Données projet'!$B$12,Paramètres!$A$1:$I$89,5,0)</f>
        <v>-2.3055690689943731E-13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436.50252985867149</v>
      </c>
      <c r="CE98" s="59">
        <f t="shared" si="94"/>
        <v>419.00806288456329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91.597323826707452</v>
      </c>
      <c r="CL98" s="21">
        <f>EXP(-LN(2)/25)*CL97+(1-EXP(-LN(2)/25))/(LN(2)/25)*Calculateur!CG98*Calculateur!CI98*VLOOKUP('Données projet'!$B$12,Paramètres!$A$1:$I$89,3,0)*0.475*44/12</f>
        <v>2.7536982223283113</v>
      </c>
      <c r="CM98" s="21">
        <f>EXP(-LN(2)/2)*CM97+(1-EXP(-LN(2)/2))/(LN(2)/2)*CG98*CJ98*VLOOKUP('Données projet'!$B$12,Paramètres!$A$1:$I$89,3,0)*0.475*44/12</f>
        <v>0.32477185410903336</v>
      </c>
      <c r="CN98" s="22">
        <f t="shared" si="66"/>
        <v>94.675793903144793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-2.8421709430404007E-13</v>
      </c>
      <c r="CU98" s="17">
        <f>CT98*VLOOKUP('Données projet'!$B$13,Paramètres!$A$1:$I$89,3,0)*VLOOKUP('Données projet'!$B$13,Paramètres!$A$1:$I$89,5,0)</f>
        <v>-2.7489477361086758E-13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508.3185483454435</v>
      </c>
      <c r="CZ98" s="59">
        <f t="shared" si="96"/>
        <v>487.08233034004945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109.21219379338187</v>
      </c>
      <c r="DG98" s="21">
        <f>EXP(-LN(2)/25)*DG97+(1-EXP(-LN(2)/25))/(LN(2)/25)*Calculateur!DB98*Calculateur!DD98*VLOOKUP('Données projet'!$B$13,Paramètres!$A$1:$I$89,3,0)*0.475*44/12</f>
        <v>3.2832555727760617</v>
      </c>
      <c r="DH98" s="21">
        <f>EXP(-LN(2)/2)*DH97+(1-EXP(-LN(2)/2))/(LN(2)/2)*DB98*DE98*VLOOKUP('Données projet'!$B$13,Paramètres!$A$1:$I$89,3,0)*0.475*44/12</f>
        <v>0.3872279798992318</v>
      </c>
      <c r="DI98" s="22">
        <f t="shared" si="69"/>
        <v>112.88267734605716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-2.8421709430404007E-13</v>
      </c>
      <c r="DP98" s="17">
        <f>DO98*VLOOKUP('Données projet'!$B$14,Paramètres!$A$1:$I$89,3,0)*VLOOKUP('Données projet'!$B$14,Paramètres!$A$1:$I$89,5,0)</f>
        <v>-2.7489477361086758E-13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508.3185483454435</v>
      </c>
      <c r="DU98" s="59">
        <f t="shared" si="98"/>
        <v>487.08233034004945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109.21219379338187</v>
      </c>
      <c r="EB98" s="21">
        <f>EXP(-LN(2)/25)*EB97+(1-EXP(-LN(2)/25))/(LN(2)/25)*Calculateur!DW98*Calculateur!DY98*VLOOKUP('Données projet'!$B$14,Paramètres!$A$1:$I$89,3,0)*0.475*44/12</f>
        <v>3.2832555727760617</v>
      </c>
      <c r="EC98" s="21">
        <f>EXP(-LN(2)/2)*EC97+(1-EXP(-LN(2)/2))/(LN(2)/2)*DW98*DZ98*VLOOKUP('Données projet'!$B$14,Paramètres!$A$1:$I$89,3,0)*0.475*44/12</f>
        <v>0.3872279798992318</v>
      </c>
      <c r="ED98" s="22">
        <f t="shared" si="72"/>
        <v>112.88267734605716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>
        <f>VLOOKUP(A99,'Données projet'!$A$35:$I$55,2,0)</f>
        <v>338</v>
      </c>
      <c r="L99" s="12">
        <f>VLOOKUP(A99,'Données projet'!$A$35:$I$55,9,0)</f>
        <v>7.333333333333333</v>
      </c>
      <c r="M99" s="12">
        <f t="array" ref="M99">INDEX(L:L,MIN(IF(ISNUMBER(L99:L295),ROW(L99:L295),"")))</f>
        <v>7.333333333333333</v>
      </c>
      <c r="N99" s="13">
        <f>IF('Données projet'!$A$36&gt;35,N98+M99-V98,IF(A99&lt;'Données projet'!$A$36,$K$205^A99,IF(A99='Données projet'!$A$36,'Données projet'!$B$36,N98+M99-V98)))</f>
        <v>337.99999999999966</v>
      </c>
      <c r="O99" s="13">
        <f>N99*VLOOKUP('Données projet'!$B$9,Paramètres!$A$1:$I$89,3,0)*VLOOKUP('Données projet'!$B$9,Paramètres!$A$1:$I$89,5,0)</f>
        <v>305.82239999999967</v>
      </c>
      <c r="P99" s="13">
        <f t="shared" si="87"/>
        <v>72.39569329126887</v>
      </c>
      <c r="Q99" s="20">
        <f t="shared" ref="Q99:Q130" si="107">(O99+P99)*0.475*44/12</f>
        <v>658.72984581562605</v>
      </c>
      <c r="R99" s="59">
        <f t="shared" si="55"/>
        <v>934.97889801201347</v>
      </c>
      <c r="S99" s="59">
        <f ca="1">AVERAGE(OFFSET($R$3,0,0,'Données projet'!$E$9+1,1))-AVERAGE(OFFSET($H$3,0,0,'Données projet'!$E$9+1,1))</f>
        <v>569.49435820174267</v>
      </c>
      <c r="T99" s="59">
        <f t="shared" si="88"/>
        <v>295.37730858134739</v>
      </c>
      <c r="U99" s="15">
        <f>IF(ISNA(VLOOKUP(A99,'Données projet'!$A$35:$I$55,3,0)),0,VLOOKUP(A99,'Données projet'!$A$35:$I$55,3,0))</f>
        <v>8</v>
      </c>
      <c r="V99" s="15">
        <f>IF(ISNA(VLOOKUP(A99,'Données projet'!$A$35:$I$55,4,0)),0,VLOOKUP(A99,'Données projet'!$A$35:$I$55,4,0))</f>
        <v>44</v>
      </c>
      <c r="W99" s="16">
        <f>IF(ISNA(VLOOKUP(A99,'Données projet'!$A$35:$I$55,5,0)),0%,VLOOKUP(A99,'Données projet'!$A$35:$I$55,5,0)*VLOOKUP('Données projet'!$B$9,Paramètres!$A$1:$I$89,7,0))</f>
        <v>0.17200000000000001</v>
      </c>
      <c r="X99" s="16">
        <f>IF(ISNA(VLOOKUP(A99,'Données projet'!$A$35:$I$55,6,0)),0%,VLOOKUP(A99,'Données projet'!$A$35:$I$55,6,0)*VLOOKUP('Données projet'!$B$9,Paramètres!$A$1:$I$89,7,0))</f>
        <v>0.129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13.903680789302218</v>
      </c>
      <c r="AA99" s="21">
        <f>EXP(-LN(2)/25)*AA98+(1-EXP(-LN(2)/25))/(LN(2)/25)*Calculateur!V99*Calculateur!X99*VLOOKUP('Données projet'!$B$9,Paramètres!$A$1:$I$89,3,0)*0.475*44/12</f>
        <v>33.029801905078003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46.933482694380217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>
        <f>VLOOKUP(A99,'Données projet'!$A$61:$I$81,2,0)</f>
        <v>338</v>
      </c>
      <c r="AG99" s="12">
        <f>VLOOKUP(A99,'Données projet'!$A$61:$I$81,9,0)</f>
        <v>7.333333333333333</v>
      </c>
      <c r="AH99" s="12">
        <f t="array" ref="AH99">INDEX(AG:AG,MIN(IF(ISNUMBER(AG99:AG295),ROW(AG99:AG295),"")))</f>
        <v>7.333333333333333</v>
      </c>
      <c r="AI99" s="13">
        <f>IF('Données projet'!$A$62&gt;35,AI98+AH99-AQ98,IF(A99&lt;'Données projet'!$A$62,$AF$205^A99,IF(A99='Données projet'!$A$62,'Données projet'!$B$62,AI98+AH99-AQ98)))</f>
        <v>337.99999999999966</v>
      </c>
      <c r="AJ99" s="13">
        <f>AI99*VLOOKUP('Données projet'!$B$10,Paramètres!$A$1:$I$89,3,0)*VLOOKUP('Données projet'!$B$10,Paramètres!$A$1:$I$89,5,0)</f>
        <v>342.73199999999969</v>
      </c>
      <c r="AK99" s="13">
        <f t="shared" si="89"/>
        <v>80.06413173834828</v>
      </c>
      <c r="AL99" s="20">
        <f t="shared" si="58"/>
        <v>736.36992944428937</v>
      </c>
      <c r="AM99" s="59">
        <f t="shared" si="59"/>
        <v>1012.6189816406768</v>
      </c>
      <c r="AN99" s="59">
        <f ca="1">AVERAGE(OFFSET($AM$3,0,0,'Données projet'!$E$10+1,1))-AVERAGE(OFFSET($H$3,0,0,'Données projet'!$E$10+1,1))</f>
        <v>627.83896530587367</v>
      </c>
      <c r="AO99" s="59">
        <f t="shared" si="90"/>
        <v>323.54927030899489</v>
      </c>
      <c r="AP99" s="15">
        <f>IF(ISNA(VLOOKUP(A99,'Données projet'!$A$61:$I$81,3,0)),0,VLOOKUP(A99,'Données projet'!$A$61:$I$81,3,0))</f>
        <v>8</v>
      </c>
      <c r="AQ99" s="15">
        <f>IF(ISNA(VLOOKUP(A99,'Données projet'!$A$61:$I$81,4,0)),0,VLOOKUP(A99,'Données projet'!$A$61:$I$81,4,0))</f>
        <v>44</v>
      </c>
      <c r="AR99" s="16">
        <f>IF(ISNA(VLOOKUP(A99,'Données projet'!$A$61:$I$81,5,0)),0%,VLOOKUP(A99,'Données projet'!$A$61:$I$81,5,0)*VLOOKUP('Données projet'!$B$10,Paramètres!$A$1:$I$89,7,0))</f>
        <v>0.17200000000000001</v>
      </c>
      <c r="AS99" s="16">
        <f>IF(ISNA(VLOOKUP(A99,'Données projet'!$A$61:$I$81,6,0)),0%,VLOOKUP(A99,'Données projet'!$A$61:$I$81,6,0)*VLOOKUP('Données projet'!$B$10,Paramètres!$A$1:$I$89,7,0))</f>
        <v>0.129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15.581711229390418</v>
      </c>
      <c r="AV99" s="21">
        <f>EXP(-LN(2)/25)*AV98+(1-EXP(-LN(2)/25))/(LN(2)/25)*Calculateur!AQ99*Calculateur!AS99*VLOOKUP('Données projet'!$B$10,Paramètres!$A$1:$I$89,3,0)*0.475*44/12</f>
        <v>37.016157307415014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52.597868536805436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-2.8421709430404007E-13</v>
      </c>
      <c r="BE99" s="13">
        <f>BD99*VLOOKUP('Données projet'!$B$11,Paramètres!$A$1:$I$89,3,0)*VLOOKUP('Données projet'!$B$11,Paramètres!$A$1:$I$89,5,0)</f>
        <v>-2.7489477361086758E-13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508.3185483454435</v>
      </c>
      <c r="BJ99" s="59">
        <f t="shared" si="92"/>
        <v>487.08233034004945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107.07060928595439</v>
      </c>
      <c r="BQ99" s="21">
        <f>EXP(-LN(2)/25)*BQ98+(1-EXP(-LN(2)/25))/(LN(2)/25)*Calculateur!BL99*Calculateur!BN99*VLOOKUP('Données projet'!$B$11,Paramètres!$A$1:$I$89,3,0)*0.475*44/12</f>
        <v>3.1934747764795937</v>
      </c>
      <c r="BR99" s="21">
        <f>EXP(-LN(2)/2)*BR98+(1-EXP(-LN(2)/2))/(LN(2)/2)*BL99*BO99*VLOOKUP('Données projet'!$B$11,Paramètres!$A$1:$I$89,3,0)*0.475*44/12</f>
        <v>0.27381153045191492</v>
      </c>
      <c r="BS99" s="22">
        <f t="shared" si="63"/>
        <v>110.53789559288589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-2.8421709430404007E-13</v>
      </c>
      <c r="BZ99" s="13">
        <f>BY99*VLOOKUP('Données projet'!$B$12,Paramètres!$A$1:$I$89,3,0)*VLOOKUP('Données projet'!$B$12,Paramètres!$A$1:$I$89,5,0)</f>
        <v>-2.3055690689943731E-13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436.50252985867149</v>
      </c>
      <c r="CE99" s="59">
        <f t="shared" si="94"/>
        <v>419.00806288456329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89.801156175316663</v>
      </c>
      <c r="CL99" s="21">
        <f>EXP(-LN(2)/25)*CL98+(1-EXP(-LN(2)/25))/(LN(2)/25)*Calculateur!CG99*Calculateur!CI99*VLOOKUP('Données projet'!$B$12,Paramètres!$A$1:$I$89,3,0)*0.475*44/12</f>
        <v>2.6783981996280479</v>
      </c>
      <c r="CM99" s="21">
        <f>EXP(-LN(2)/2)*CM98+(1-EXP(-LN(2)/2))/(LN(2)/2)*CG99*CJ99*VLOOKUP('Données projet'!$B$12,Paramètres!$A$1:$I$89,3,0)*0.475*44/12</f>
        <v>0.2296483803790256</v>
      </c>
      <c r="CN99" s="22">
        <f t="shared" si="66"/>
        <v>92.709202755323744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-2.8421709430404007E-13</v>
      </c>
      <c r="CU99" s="17">
        <f>CT99*VLOOKUP('Données projet'!$B$13,Paramètres!$A$1:$I$89,3,0)*VLOOKUP('Données projet'!$B$13,Paramètres!$A$1:$I$89,5,0)</f>
        <v>-2.7489477361086758E-13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508.3185483454435</v>
      </c>
      <c r="CZ99" s="59">
        <f t="shared" si="96"/>
        <v>487.08233034004945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107.07060928595439</v>
      </c>
      <c r="DG99" s="21">
        <f>EXP(-LN(2)/25)*DG98+(1-EXP(-LN(2)/25))/(LN(2)/25)*Calculateur!DB99*Calculateur!DD99*VLOOKUP('Données projet'!$B$13,Paramètres!$A$1:$I$89,3,0)*0.475*44/12</f>
        <v>3.1934747764795937</v>
      </c>
      <c r="DH99" s="21">
        <f>EXP(-LN(2)/2)*DH98+(1-EXP(-LN(2)/2))/(LN(2)/2)*DB99*DE99*VLOOKUP('Données projet'!$B$13,Paramètres!$A$1:$I$89,3,0)*0.475*44/12</f>
        <v>0.27381153045191492</v>
      </c>
      <c r="DI99" s="22">
        <f t="shared" si="69"/>
        <v>110.53789559288589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-2.8421709430404007E-13</v>
      </c>
      <c r="DP99" s="17">
        <f>DO99*VLOOKUP('Données projet'!$B$14,Paramètres!$A$1:$I$89,3,0)*VLOOKUP('Données projet'!$B$14,Paramètres!$A$1:$I$89,5,0)</f>
        <v>-2.7489477361086758E-13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508.3185483454435</v>
      </c>
      <c r="DU99" s="59">
        <f t="shared" si="98"/>
        <v>487.08233034004945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107.07060928595439</v>
      </c>
      <c r="EB99" s="21">
        <f>EXP(-LN(2)/25)*EB98+(1-EXP(-LN(2)/25))/(LN(2)/25)*Calculateur!DW99*Calculateur!DY99*VLOOKUP('Données projet'!$B$14,Paramètres!$A$1:$I$89,3,0)*0.475*44/12</f>
        <v>3.1934747764795937</v>
      </c>
      <c r="EC99" s="21">
        <f>EXP(-LN(2)/2)*EC98+(1-EXP(-LN(2)/2))/(LN(2)/2)*DW99*DZ99*VLOOKUP('Données projet'!$B$14,Paramètres!$A$1:$I$89,3,0)*0.475*44/12</f>
        <v>0.27381153045191492</v>
      </c>
      <c r="ED99" s="22">
        <f t="shared" si="72"/>
        <v>110.53789559288589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7.1111111111111107</v>
      </c>
      <c r="N100" s="13">
        <f>IF('Données projet'!$A$36&gt;35,N99+M100-V99,IF(A100&lt;'Données projet'!$A$36,$K$205^A100,IF(A100='Données projet'!$A$36,'Données projet'!$B$36,N99+M100-V99)))</f>
        <v>301.11111111111074</v>
      </c>
      <c r="O100" s="13">
        <f>N100*VLOOKUP('Données projet'!$B$9,Paramètres!$A$1:$I$89,3,0)*VLOOKUP('Données projet'!$B$9,Paramètres!$A$1:$I$89,5,0)</f>
        <v>272.445333333333</v>
      </c>
      <c r="P100" s="13">
        <f t="shared" si="87"/>
        <v>65.367958107525453</v>
      </c>
      <c r="Q100" s="20">
        <f t="shared" si="107"/>
        <v>588.35814925949501</v>
      </c>
      <c r="R100" s="59">
        <f t="shared" si="55"/>
        <v>864.90357553887782</v>
      </c>
      <c r="S100" s="59">
        <f ca="1">AVERAGE(OFFSET($R$3,0,0,'Données projet'!$E$9+1,1))-AVERAGE(OFFSET($H$3,0,0,'Données projet'!$E$9+1,1))</f>
        <v>569.49435820174267</v>
      </c>
      <c r="T100" s="59">
        <f t="shared" si="88"/>
        <v>295.37730858134739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13.631038089431913</v>
      </c>
      <c r="AA100" s="21">
        <f>EXP(-LN(2)/25)*AA99+(1-EXP(-LN(2)/25))/(LN(2)/25)*Calculateur!V100*Calculateur!X100*VLOOKUP('Données projet'!$B$9,Paramètres!$A$1:$I$89,3,0)*0.475*44/12</f>
        <v>32.126600235021854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45.757638324453765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7.1111111111111107</v>
      </c>
      <c r="AI100" s="13">
        <f>IF('Données projet'!$A$62&gt;35,AI99+AH100-AQ99,IF(A100&lt;'Données projet'!$A$62,$AF$205^A100,IF(A100='Données projet'!$A$62,'Données projet'!$B$62,AI99+AH100-AQ99)))</f>
        <v>301.11111111111074</v>
      </c>
      <c r="AJ100" s="13">
        <f>AI100*VLOOKUP('Données projet'!$B$10,Paramètres!$A$1:$I$89,3,0)*VLOOKUP('Données projet'!$B$10,Paramètres!$A$1:$I$89,5,0)</f>
        <v>305.32666666666631</v>
      </c>
      <c r="AK100" s="13">
        <f t="shared" si="89"/>
        <v>72.291991021224732</v>
      </c>
      <c r="AL100" s="20">
        <f t="shared" si="58"/>
        <v>657.68582880641031</v>
      </c>
      <c r="AM100" s="59">
        <f t="shared" si="59"/>
        <v>934.23125508579312</v>
      </c>
      <c r="AN100" s="59">
        <f ca="1">AVERAGE(OFFSET($AM$3,0,0,'Données projet'!$E$10+1,1))-AVERAGE(OFFSET($H$3,0,0,'Données projet'!$E$10+1,1))</f>
        <v>627.83896530587367</v>
      </c>
      <c r="AO100" s="59">
        <f t="shared" si="90"/>
        <v>323.54927030899489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15.276163376087489</v>
      </c>
      <c r="AV100" s="21">
        <f>EXP(-LN(2)/25)*AV99+(1-EXP(-LN(2)/25))/(LN(2)/25)*Calculateur!AQ100*Calculateur!AS100*VLOOKUP('Données projet'!$B$10,Paramètres!$A$1:$I$89,3,0)*0.475*44/12</f>
        <v>36.00394853924864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51.280111915336128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-2.8421709430404007E-13</v>
      </c>
      <c r="BE100" s="13">
        <f>BD100*VLOOKUP('Données projet'!$B$11,Paramètres!$A$1:$I$89,3,0)*VLOOKUP('Données projet'!$B$11,Paramètres!$A$1:$I$89,5,0)</f>
        <v>-2.7489477361086758E-13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508.3185483454435</v>
      </c>
      <c r="BJ100" s="59">
        <f t="shared" si="92"/>
        <v>487.08233034004945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104.97101994447999</v>
      </c>
      <c r="BQ100" s="21">
        <f>EXP(-LN(2)/25)*BQ99+(1-EXP(-LN(2)/25))/(LN(2)/25)*Calculateur!BL100*Calculateur!BN100*VLOOKUP('Données projet'!$B$11,Paramètres!$A$1:$I$89,3,0)*0.475*44/12</f>
        <v>3.1061490407792194</v>
      </c>
      <c r="BR100" s="21">
        <f>EXP(-LN(2)/2)*BR99+(1-EXP(-LN(2)/2))/(LN(2)/2)*BL100*BO100*VLOOKUP('Données projet'!$B$11,Paramètres!$A$1:$I$89,3,0)*0.475*44/12</f>
        <v>0.1936139899496159</v>
      </c>
      <c r="BS100" s="22">
        <f t="shared" si="63"/>
        <v>108.27078297520882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-2.8421709430404007E-13</v>
      </c>
      <c r="BZ100" s="13">
        <f>BY100*VLOOKUP('Données projet'!$B$12,Paramètres!$A$1:$I$89,3,0)*VLOOKUP('Données projet'!$B$12,Paramètres!$A$1:$I$89,5,0)</f>
        <v>-2.3055690689943731E-13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436.50252985867149</v>
      </c>
      <c r="CE100" s="59">
        <f t="shared" si="94"/>
        <v>419.00806288456329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88.040210276015557</v>
      </c>
      <c r="CL100" s="21">
        <f>EXP(-LN(2)/25)*CL99+(1-EXP(-LN(2)/25))/(LN(2)/25)*Calculateur!CG100*Calculateur!CI100*VLOOKUP('Données projet'!$B$12,Paramètres!$A$1:$I$89,3,0)*0.475*44/12</f>
        <v>2.605157260008379</v>
      </c>
      <c r="CM100" s="21">
        <f>EXP(-LN(2)/2)*CM99+(1-EXP(-LN(2)/2))/(LN(2)/2)*CG100*CJ100*VLOOKUP('Données projet'!$B$12,Paramètres!$A$1:$I$89,3,0)*0.475*44/12</f>
        <v>0.16238592705451671</v>
      </c>
      <c r="CN100" s="22">
        <f t="shared" si="66"/>
        <v>90.807753463078456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-2.8421709430404007E-13</v>
      </c>
      <c r="CU100" s="17">
        <f>CT100*VLOOKUP('Données projet'!$B$13,Paramètres!$A$1:$I$89,3,0)*VLOOKUP('Données projet'!$B$13,Paramètres!$A$1:$I$89,5,0)</f>
        <v>-2.7489477361086758E-13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508.3185483454435</v>
      </c>
      <c r="CZ100" s="59">
        <f t="shared" si="96"/>
        <v>487.08233034004945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104.97101994447999</v>
      </c>
      <c r="DG100" s="21">
        <f>EXP(-LN(2)/25)*DG99+(1-EXP(-LN(2)/25))/(LN(2)/25)*Calculateur!DB100*Calculateur!DD100*VLOOKUP('Données projet'!$B$13,Paramètres!$A$1:$I$89,3,0)*0.475*44/12</f>
        <v>3.1061490407792194</v>
      </c>
      <c r="DH100" s="21">
        <f>EXP(-LN(2)/2)*DH99+(1-EXP(-LN(2)/2))/(LN(2)/2)*DB100*DE100*VLOOKUP('Données projet'!$B$13,Paramètres!$A$1:$I$89,3,0)*0.475*44/12</f>
        <v>0.1936139899496159</v>
      </c>
      <c r="DI100" s="22">
        <f t="shared" si="69"/>
        <v>108.27078297520882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-2.8421709430404007E-13</v>
      </c>
      <c r="DP100" s="17">
        <f>DO100*VLOOKUP('Données projet'!$B$14,Paramètres!$A$1:$I$89,3,0)*VLOOKUP('Données projet'!$B$14,Paramètres!$A$1:$I$89,5,0)</f>
        <v>-2.7489477361086758E-13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508.3185483454435</v>
      </c>
      <c r="DU100" s="59">
        <f t="shared" si="98"/>
        <v>487.08233034004945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104.97101994447999</v>
      </c>
      <c r="EB100" s="21">
        <f>EXP(-LN(2)/25)*EB99+(1-EXP(-LN(2)/25))/(LN(2)/25)*Calculateur!DW100*Calculateur!DY100*VLOOKUP('Données projet'!$B$14,Paramètres!$A$1:$I$89,3,0)*0.475*44/12</f>
        <v>3.1061490407792194</v>
      </c>
      <c r="EC100" s="21">
        <f>EXP(-LN(2)/2)*EC99+(1-EXP(-LN(2)/2))/(LN(2)/2)*DW100*DZ100*VLOOKUP('Données projet'!$B$14,Paramètres!$A$1:$I$89,3,0)*0.475*44/12</f>
        <v>0.1936139899496159</v>
      </c>
      <c r="ED100" s="22">
        <f t="shared" si="72"/>
        <v>108.27078297520882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7.1111111111111107</v>
      </c>
      <c r="N101" s="13">
        <f>IF('Données projet'!$A$36&gt;35,N100+M101-V100,IF(A101&lt;'Données projet'!$A$36,$K$205^A101,IF(A101='Données projet'!$A$36,'Données projet'!$B$36,N100+M101-V100)))</f>
        <v>308.22222222222183</v>
      </c>
      <c r="O101" s="13">
        <f>N101*VLOOKUP('Données projet'!$B$9,Paramètres!$A$1:$I$89,3,0)*VLOOKUP('Données projet'!$B$9,Paramètres!$A$1:$I$89,5,0)</f>
        <v>278.8794666666663</v>
      </c>
      <c r="P101" s="13">
        <f t="shared" si="87"/>
        <v>66.730152740440701</v>
      </c>
      <c r="Q101" s="20">
        <f t="shared" si="107"/>
        <v>601.93675380071136</v>
      </c>
      <c r="R101" s="59">
        <f t="shared" si="55"/>
        <v>878.77341273534273</v>
      </c>
      <c r="S101" s="59">
        <f ca="1">AVERAGE(OFFSET($R$3,0,0,'Données projet'!$E$9+1,1))-AVERAGE(OFFSET($H$3,0,0,'Données projet'!$E$9+1,1))</f>
        <v>569.49435820174267</v>
      </c>
      <c r="T101" s="59">
        <f t="shared" si="88"/>
        <v>295.37730858134739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13.363741746610437</v>
      </c>
      <c r="AA101" s="21">
        <f>EXP(-LN(2)/25)*AA100+(1-EXP(-LN(2)/25))/(LN(2)/25)*Calculateur!V101*Calculateur!X101*VLOOKUP('Données projet'!$B$9,Paramètres!$A$1:$I$89,3,0)*0.475*44/12</f>
        <v>31.248096662130703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44.611838408741136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7.1111111111111107</v>
      </c>
      <c r="AI101" s="13">
        <f>IF('Données projet'!$A$62&gt;35,AI100+AH101-AQ100,IF(A101&lt;'Données projet'!$A$62,$AF$205^A101,IF(A101='Données projet'!$A$62,'Données projet'!$B$62,AI100+AH101-AQ100)))</f>
        <v>308.22222222222183</v>
      </c>
      <c r="AJ101" s="13">
        <f>AI101*VLOOKUP('Données projet'!$B$10,Paramètres!$A$1:$I$89,3,0)*VLOOKUP('Données projet'!$B$10,Paramètres!$A$1:$I$89,5,0)</f>
        <v>312.53733333333298</v>
      </c>
      <c r="AK101" s="13">
        <f t="shared" si="89"/>
        <v>73.798474702570331</v>
      </c>
      <c r="AL101" s="20">
        <f t="shared" si="58"/>
        <v>672.86819899586487</v>
      </c>
      <c r="AM101" s="59">
        <f t="shared" si="59"/>
        <v>949.70485793049625</v>
      </c>
      <c r="AN101" s="59">
        <f ca="1">AVERAGE(OFFSET($AM$3,0,0,'Données projet'!$E$10+1,1))-AVERAGE(OFFSET($H$3,0,0,'Données projet'!$E$10+1,1))</f>
        <v>627.83896530587367</v>
      </c>
      <c r="AO101" s="59">
        <f t="shared" si="90"/>
        <v>323.54927030899489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14.976607129822042</v>
      </c>
      <c r="AV101" s="21">
        <f>EXP(-LN(2)/25)*AV100+(1-EXP(-LN(2)/25))/(LN(2)/25)*Calculateur!AQ101*Calculateur!AS101*VLOOKUP('Données projet'!$B$10,Paramètres!$A$1:$I$89,3,0)*0.475*44/12</f>
        <v>35.019418673077517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49.99602580289956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-2.8421709430404007E-13</v>
      </c>
      <c r="BE101" s="13">
        <f>BD101*VLOOKUP('Données projet'!$B$11,Paramètres!$A$1:$I$89,3,0)*VLOOKUP('Données projet'!$B$11,Paramètres!$A$1:$I$89,5,0)</f>
        <v>-2.7489477361086758E-13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508.3185483454435</v>
      </c>
      <c r="BJ101" s="59">
        <f t="shared" si="92"/>
        <v>487.08233034004945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102.91260226936886</v>
      </c>
      <c r="BQ101" s="21">
        <f>EXP(-LN(2)/25)*BQ100+(1-EXP(-LN(2)/25))/(LN(2)/25)*Calculateur!BL101*Calculateur!BN101*VLOOKUP('Données projet'!$B$11,Paramètres!$A$1:$I$89,3,0)*0.475*44/12</f>
        <v>3.0212112319138327</v>
      </c>
      <c r="BR101" s="21">
        <f>EXP(-LN(2)/2)*BR100+(1-EXP(-LN(2)/2))/(LN(2)/2)*BL101*BO101*VLOOKUP('Données projet'!$B$11,Paramètres!$A$1:$I$89,3,0)*0.475*44/12</f>
        <v>0.13690576522595746</v>
      </c>
      <c r="BS101" s="22">
        <f t="shared" si="63"/>
        <v>106.07071926650866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-2.8421709430404007E-13</v>
      </c>
      <c r="BZ101" s="13">
        <f>BY101*VLOOKUP('Données projet'!$B$12,Paramètres!$A$1:$I$89,3,0)*VLOOKUP('Données projet'!$B$12,Paramètres!$A$1:$I$89,5,0)</f>
        <v>-2.3055690689943731E-13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436.50252985867149</v>
      </c>
      <c r="CE101" s="59">
        <f t="shared" si="94"/>
        <v>419.00806288456329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86.313795451728808</v>
      </c>
      <c r="CL101" s="21">
        <f>EXP(-LN(2)/25)*CL100+(1-EXP(-LN(2)/25))/(LN(2)/25)*Calculateur!CG101*Calculateur!CI101*VLOOKUP('Données projet'!$B$12,Paramètres!$A$1:$I$89,3,0)*0.475*44/12</f>
        <v>2.5339190977341839</v>
      </c>
      <c r="CM101" s="21">
        <f>EXP(-LN(2)/2)*CM100+(1-EXP(-LN(2)/2))/(LN(2)/2)*CG101*CJ101*VLOOKUP('Données projet'!$B$12,Paramètres!$A$1:$I$89,3,0)*0.475*44/12</f>
        <v>0.11482419018951283</v>
      </c>
      <c r="CN101" s="22">
        <f t="shared" si="66"/>
        <v>88.962538739652501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-2.8421709430404007E-13</v>
      </c>
      <c r="CU101" s="17">
        <f>CT101*VLOOKUP('Données projet'!$B$13,Paramètres!$A$1:$I$89,3,0)*VLOOKUP('Données projet'!$B$13,Paramètres!$A$1:$I$89,5,0)</f>
        <v>-2.7489477361086758E-13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508.3185483454435</v>
      </c>
      <c r="CZ101" s="59">
        <f t="shared" si="96"/>
        <v>487.08233034004945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102.91260226936886</v>
      </c>
      <c r="DG101" s="21">
        <f>EXP(-LN(2)/25)*DG100+(1-EXP(-LN(2)/25))/(LN(2)/25)*Calculateur!DB101*Calculateur!DD101*VLOOKUP('Données projet'!$B$13,Paramètres!$A$1:$I$89,3,0)*0.475*44/12</f>
        <v>3.0212112319138327</v>
      </c>
      <c r="DH101" s="21">
        <f>EXP(-LN(2)/2)*DH100+(1-EXP(-LN(2)/2))/(LN(2)/2)*DB101*DE101*VLOOKUP('Données projet'!$B$13,Paramètres!$A$1:$I$89,3,0)*0.475*44/12</f>
        <v>0.13690576522595746</v>
      </c>
      <c r="DI101" s="22">
        <f t="shared" si="69"/>
        <v>106.07071926650866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-2.8421709430404007E-13</v>
      </c>
      <c r="DP101" s="17">
        <f>DO101*VLOOKUP('Données projet'!$B$14,Paramètres!$A$1:$I$89,3,0)*VLOOKUP('Données projet'!$B$14,Paramètres!$A$1:$I$89,5,0)</f>
        <v>-2.7489477361086758E-13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508.3185483454435</v>
      </c>
      <c r="DU101" s="59">
        <f t="shared" si="98"/>
        <v>487.08233034004945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102.91260226936886</v>
      </c>
      <c r="EB101" s="21">
        <f>EXP(-LN(2)/25)*EB100+(1-EXP(-LN(2)/25))/(LN(2)/25)*Calculateur!DW101*Calculateur!DY101*VLOOKUP('Données projet'!$B$14,Paramètres!$A$1:$I$89,3,0)*0.475*44/12</f>
        <v>3.0212112319138327</v>
      </c>
      <c r="EC101" s="21">
        <f>EXP(-LN(2)/2)*EC100+(1-EXP(-LN(2)/2))/(LN(2)/2)*DW101*DZ101*VLOOKUP('Données projet'!$B$14,Paramètres!$A$1:$I$89,3,0)*0.475*44/12</f>
        <v>0.13690576522595746</v>
      </c>
      <c r="ED101" s="22">
        <f t="shared" si="72"/>
        <v>106.07071926650866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7.1111111111111107</v>
      </c>
      <c r="N102" s="13">
        <f>IF('Données projet'!$A$36&gt;35,N101+M102-V101,IF(A102&lt;'Données projet'!$A$36,$K$205^A102,IF(A102='Données projet'!$A$36,'Données projet'!$B$36,N101+M102-V101)))</f>
        <v>315.33333333333292</v>
      </c>
      <c r="O102" s="13">
        <f>N102*VLOOKUP('Données projet'!$B$9,Paramètres!$A$1:$I$89,3,0)*VLOOKUP('Données projet'!$B$9,Paramètres!$A$1:$I$89,5,0)</f>
        <v>285.31359999999961</v>
      </c>
      <c r="P102" s="13">
        <f t="shared" si="87"/>
        <v>68.088693753445611</v>
      </c>
      <c r="Q102" s="20">
        <f t="shared" si="107"/>
        <v>615.50899495391707</v>
      </c>
      <c r="R102" s="59">
        <f t="shared" si="55"/>
        <v>892.63183430832714</v>
      </c>
      <c r="S102" s="59">
        <f ca="1">AVERAGE(OFFSET($R$3,0,0,'Données projet'!$E$9+1,1))-AVERAGE(OFFSET($H$3,0,0,'Données projet'!$E$9+1,1))</f>
        <v>569.49435820174267</v>
      </c>
      <c r="T102" s="59">
        <f t="shared" si="88"/>
        <v>295.37730858134739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13.10168692203702</v>
      </c>
      <c r="AA102" s="21">
        <f>EXP(-LN(2)/25)*AA101+(1-EXP(-LN(2)/25))/(LN(2)/25)*Calculateur!V102*Calculateur!X102*VLOOKUP('Données projet'!$B$9,Paramètres!$A$1:$I$89,3,0)*0.475*44/12</f>
        <v>30.393615815638753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43.495302737675772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7.1111111111111107</v>
      </c>
      <c r="AI102" s="13">
        <f>IF('Données projet'!$A$62&gt;35,AI101+AH102-AQ101,IF(A102&lt;'Données projet'!$A$62,$AF$205^A102,IF(A102='Données projet'!$A$62,'Données projet'!$B$62,AI101+AH102-AQ101)))</f>
        <v>315.33333333333292</v>
      </c>
      <c r="AJ102" s="13">
        <f>AI102*VLOOKUP('Données projet'!$B$10,Paramètres!$A$1:$I$89,3,0)*VLOOKUP('Données projet'!$B$10,Paramètres!$A$1:$I$89,5,0)</f>
        <v>319.74799999999959</v>
      </c>
      <c r="AK102" s="13">
        <f t="shared" si="89"/>
        <v>75.300917758120036</v>
      </c>
      <c r="AL102" s="20">
        <f t="shared" si="58"/>
        <v>688.04353176205825</v>
      </c>
      <c r="AM102" s="59">
        <f t="shared" si="59"/>
        <v>965.16637111646833</v>
      </c>
      <c r="AN102" s="59">
        <f ca="1">AVERAGE(OFFSET($AM$3,0,0,'Données projet'!$E$10+1,1))-AVERAGE(OFFSET($H$3,0,0,'Données projet'!$E$10+1,1))</f>
        <v>627.83896530587367</v>
      </c>
      <c r="AO102" s="59">
        <f t="shared" si="90"/>
        <v>323.54927030899489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14.682924998834592</v>
      </c>
      <c r="AV102" s="21">
        <f>EXP(-LN(2)/25)*AV101+(1-EXP(-LN(2)/25))/(LN(2)/25)*Calculateur!AQ102*Calculateur!AS102*VLOOKUP('Données projet'!$B$10,Paramètres!$A$1:$I$89,3,0)*0.475*44/12</f>
        <v>34.061810827871021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48.744735826705615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-2.8421709430404007E-13</v>
      </c>
      <c r="BE102" s="13">
        <f>BD102*VLOOKUP('Données projet'!$B$11,Paramètres!$A$1:$I$89,3,0)*VLOOKUP('Données projet'!$B$11,Paramètres!$A$1:$I$89,5,0)</f>
        <v>-2.7489477361086758E-13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508.3185483454435</v>
      </c>
      <c r="BJ102" s="59">
        <f t="shared" si="92"/>
        <v>487.08233034004945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100.89454890935585</v>
      </c>
      <c r="BQ102" s="21">
        <f>EXP(-LN(2)/25)*BQ101+(1-EXP(-LN(2)/25))/(LN(2)/25)*Calculateur!BL102*Calculateur!BN102*VLOOKUP('Données projet'!$B$11,Paramètres!$A$1:$I$89,3,0)*0.475*44/12</f>
        <v>2.9385960518985552</v>
      </c>
      <c r="BR102" s="21">
        <f>EXP(-LN(2)/2)*BR101+(1-EXP(-LN(2)/2))/(LN(2)/2)*BL102*BO102*VLOOKUP('Données projet'!$B$11,Paramètres!$A$1:$I$89,3,0)*0.475*44/12</f>
        <v>9.680699497480795E-2</v>
      </c>
      <c r="BS102" s="22">
        <f t="shared" si="63"/>
        <v>103.92995195622922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-2.8421709430404007E-13</v>
      </c>
      <c r="BZ102" s="13">
        <f>BY102*VLOOKUP('Données projet'!$B$12,Paramètres!$A$1:$I$89,3,0)*VLOOKUP('Données projet'!$B$12,Paramètres!$A$1:$I$89,5,0)</f>
        <v>-2.3055690689943731E-13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436.50252985867149</v>
      </c>
      <c r="CE102" s="59">
        <f t="shared" si="94"/>
        <v>419.00806288456329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84.621234569137243</v>
      </c>
      <c r="CL102" s="21">
        <f>EXP(-LN(2)/25)*CL101+(1-EXP(-LN(2)/25))/(LN(2)/25)*Calculateur!CG102*Calculateur!CI102*VLOOKUP('Données projet'!$B$12,Paramètres!$A$1:$I$89,3,0)*0.475*44/12</f>
        <v>2.4646289467536286</v>
      </c>
      <c r="CM102" s="21">
        <f>EXP(-LN(2)/2)*CM101+(1-EXP(-LN(2)/2))/(LN(2)/2)*CG102*CJ102*VLOOKUP('Données projet'!$B$12,Paramètres!$A$1:$I$89,3,0)*0.475*44/12</f>
        <v>8.1192963527258369E-2</v>
      </c>
      <c r="CN102" s="22">
        <f t="shared" si="66"/>
        <v>87.167056479418136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-2.8421709430404007E-13</v>
      </c>
      <c r="CU102" s="17">
        <f>CT102*VLOOKUP('Données projet'!$B$13,Paramètres!$A$1:$I$89,3,0)*VLOOKUP('Données projet'!$B$13,Paramètres!$A$1:$I$89,5,0)</f>
        <v>-2.7489477361086758E-13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508.3185483454435</v>
      </c>
      <c r="CZ102" s="59">
        <f t="shared" si="96"/>
        <v>487.08233034004945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100.89454890935585</v>
      </c>
      <c r="DG102" s="21">
        <f>EXP(-LN(2)/25)*DG101+(1-EXP(-LN(2)/25))/(LN(2)/25)*Calculateur!DB102*Calculateur!DD102*VLOOKUP('Données projet'!$B$13,Paramètres!$A$1:$I$89,3,0)*0.475*44/12</f>
        <v>2.9385960518985552</v>
      </c>
      <c r="DH102" s="21">
        <f>EXP(-LN(2)/2)*DH101+(1-EXP(-LN(2)/2))/(LN(2)/2)*DB102*DE102*VLOOKUP('Données projet'!$B$13,Paramètres!$A$1:$I$89,3,0)*0.475*44/12</f>
        <v>9.680699497480795E-2</v>
      </c>
      <c r="DI102" s="22">
        <f t="shared" si="69"/>
        <v>103.92995195622922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-2.8421709430404007E-13</v>
      </c>
      <c r="DP102" s="17">
        <f>DO102*VLOOKUP('Données projet'!$B$14,Paramètres!$A$1:$I$89,3,0)*VLOOKUP('Données projet'!$B$14,Paramètres!$A$1:$I$89,5,0)</f>
        <v>-2.7489477361086758E-13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508.3185483454435</v>
      </c>
      <c r="DU102" s="59">
        <f t="shared" si="98"/>
        <v>487.08233034004945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100.89454890935585</v>
      </c>
      <c r="EB102" s="21">
        <f>EXP(-LN(2)/25)*EB101+(1-EXP(-LN(2)/25))/(LN(2)/25)*Calculateur!DW102*Calculateur!DY102*VLOOKUP('Données projet'!$B$14,Paramètres!$A$1:$I$89,3,0)*0.475*44/12</f>
        <v>2.9385960518985552</v>
      </c>
      <c r="EC102" s="21">
        <f>EXP(-LN(2)/2)*EC101+(1-EXP(-LN(2)/2))/(LN(2)/2)*DW102*DZ102*VLOOKUP('Données projet'!$B$14,Paramètres!$A$1:$I$89,3,0)*0.475*44/12</f>
        <v>9.680699497480795E-2</v>
      </c>
      <c r="ED102" s="22">
        <f t="shared" si="72"/>
        <v>103.92995195622922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7.1111111111111107</v>
      </c>
      <c r="N103" s="13">
        <f>IF('Données projet'!$A$36&gt;35,N102+M103-V102,IF(A103&lt;'Données projet'!$A$36,$K$205^A103,IF(A103='Données projet'!$A$36,'Données projet'!$B$36,N102+M103-V102)))</f>
        <v>322.444444444444</v>
      </c>
      <c r="O103" s="13">
        <f>N103*VLOOKUP('Données projet'!$B$9,Paramètres!$A$1:$I$89,3,0)*VLOOKUP('Données projet'!$B$9,Paramètres!$A$1:$I$89,5,0)</f>
        <v>291.74773333333292</v>
      </c>
      <c r="P103" s="13">
        <f t="shared" si="87"/>
        <v>69.443673025334732</v>
      </c>
      <c r="Q103" s="20">
        <f t="shared" si="107"/>
        <v>629.07503274134626</v>
      </c>
      <c r="R103" s="59">
        <f t="shared" si="55"/>
        <v>906.47908792505541</v>
      </c>
      <c r="S103" s="59">
        <f ca="1">AVERAGE(OFFSET($R$3,0,0,'Données projet'!$E$9+1,1))-AVERAGE(OFFSET($H$3,0,0,'Données projet'!$E$9+1,1))</f>
        <v>569.49435820174267</v>
      </c>
      <c r="T103" s="59">
        <f t="shared" si="88"/>
        <v>295.37730858134739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12.844770832735827</v>
      </c>
      <c r="AA103" s="21">
        <f>EXP(-LN(2)/25)*AA102+(1-EXP(-LN(2)/25))/(LN(2)/25)*Calculateur!V103*Calculateur!X103*VLOOKUP('Données projet'!$B$9,Paramètres!$A$1:$I$89,3,0)*0.475*44/12</f>
        <v>29.562500792829322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42.407271625565151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7.1111111111111107</v>
      </c>
      <c r="AI103" s="13">
        <f>IF('Données projet'!$A$62&gt;35,AI102+AH103-AQ102,IF(A103&lt;'Données projet'!$A$62,$AF$205^A103,IF(A103='Données projet'!$A$62,'Données projet'!$B$62,AI102+AH103-AQ102)))</f>
        <v>322.444444444444</v>
      </c>
      <c r="AJ103" s="13">
        <f>AI103*VLOOKUP('Données projet'!$B$10,Paramètres!$A$1:$I$89,3,0)*VLOOKUP('Données projet'!$B$10,Paramètres!$A$1:$I$89,5,0)</f>
        <v>326.95866666666626</v>
      </c>
      <c r="AK103" s="13">
        <f t="shared" si="89"/>
        <v>76.799421798834103</v>
      </c>
      <c r="AL103" s="20">
        <f t="shared" si="58"/>
        <v>703.2120040774131</v>
      </c>
      <c r="AM103" s="59">
        <f t="shared" si="59"/>
        <v>980.61605926112225</v>
      </c>
      <c r="AN103" s="59">
        <f ca="1">AVERAGE(OFFSET($AM$3,0,0,'Données projet'!$E$10+1,1))-AVERAGE(OFFSET($H$3,0,0,'Données projet'!$E$10+1,1))</f>
        <v>627.83896530587367</v>
      </c>
      <c r="AO103" s="59">
        <f t="shared" si="90"/>
        <v>323.54927030899489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14.395001795307392</v>
      </c>
      <c r="AV103" s="21">
        <f>EXP(-LN(2)/25)*AV102+(1-EXP(-LN(2)/25))/(LN(2)/25)*Calculateur!AQ103*Calculateur!AS103*VLOOKUP('Données projet'!$B$10,Paramètres!$A$1:$I$89,3,0)*0.475*44/12</f>
        <v>33.130388819550106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47.5253906148575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-2.8421709430404007E-13</v>
      </c>
      <c r="BE103" s="13">
        <f>BD103*VLOOKUP('Données projet'!$B$11,Paramètres!$A$1:$I$89,3,0)*VLOOKUP('Données projet'!$B$11,Paramètres!$A$1:$I$89,5,0)</f>
        <v>-2.7489477361086758E-13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508.3185483454435</v>
      </c>
      <c r="BJ103" s="59">
        <f t="shared" si="92"/>
        <v>487.08233034004945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98.91606834484169</v>
      </c>
      <c r="BQ103" s="21">
        <f>EXP(-LN(2)/25)*BQ102+(1-EXP(-LN(2)/25))/(LN(2)/25)*Calculateur!BL103*Calculateur!BN103*VLOOKUP('Données projet'!$B$11,Paramètres!$A$1:$I$89,3,0)*0.475*44/12</f>
        <v>2.8582399883253391</v>
      </c>
      <c r="BR103" s="21">
        <f>EXP(-LN(2)/2)*BR102+(1-EXP(-LN(2)/2))/(LN(2)/2)*BL103*BO103*VLOOKUP('Données projet'!$B$11,Paramètres!$A$1:$I$89,3,0)*0.475*44/12</f>
        <v>6.845288261297873E-2</v>
      </c>
      <c r="BS103" s="22">
        <f t="shared" si="63"/>
        <v>101.84276121578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-2.8421709430404007E-13</v>
      </c>
      <c r="BZ103" s="13">
        <f>BY103*VLOOKUP('Données projet'!$B$12,Paramètres!$A$1:$I$89,3,0)*VLOOKUP('Données projet'!$B$12,Paramètres!$A$1:$I$89,5,0)</f>
        <v>-2.3055690689943731E-13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436.50252985867149</v>
      </c>
      <c r="CE103" s="59">
        <f t="shared" si="94"/>
        <v>419.00806288456329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82.9618637730931</v>
      </c>
      <c r="CL103" s="21">
        <f>EXP(-LN(2)/25)*CL102+(1-EXP(-LN(2)/25))/(LN(2)/25)*Calculateur!CG103*Calculateur!CI103*VLOOKUP('Données projet'!$B$12,Paramètres!$A$1:$I$89,3,0)*0.475*44/12</f>
        <v>2.3972335385954473</v>
      </c>
      <c r="CM103" s="21">
        <f>EXP(-LN(2)/2)*CM102+(1-EXP(-LN(2)/2))/(LN(2)/2)*CG103*CJ103*VLOOKUP('Données projet'!$B$12,Paramètres!$A$1:$I$89,3,0)*0.475*44/12</f>
        <v>5.7412095094756421E-2</v>
      </c>
      <c r="CN103" s="22">
        <f t="shared" si="66"/>
        <v>85.416509406783305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-2.8421709430404007E-13</v>
      </c>
      <c r="CU103" s="17">
        <f>CT103*VLOOKUP('Données projet'!$B$13,Paramètres!$A$1:$I$89,3,0)*VLOOKUP('Données projet'!$B$13,Paramètres!$A$1:$I$89,5,0)</f>
        <v>-2.7489477361086758E-13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508.3185483454435</v>
      </c>
      <c r="CZ103" s="59">
        <f t="shared" si="96"/>
        <v>487.08233034004945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98.91606834484169</v>
      </c>
      <c r="DG103" s="21">
        <f>EXP(-LN(2)/25)*DG102+(1-EXP(-LN(2)/25))/(LN(2)/25)*Calculateur!DB103*Calculateur!DD103*VLOOKUP('Données projet'!$B$13,Paramètres!$A$1:$I$89,3,0)*0.475*44/12</f>
        <v>2.8582399883253391</v>
      </c>
      <c r="DH103" s="21">
        <f>EXP(-LN(2)/2)*DH102+(1-EXP(-LN(2)/2))/(LN(2)/2)*DB103*DE103*VLOOKUP('Données projet'!$B$13,Paramètres!$A$1:$I$89,3,0)*0.475*44/12</f>
        <v>6.845288261297873E-2</v>
      </c>
      <c r="DI103" s="22">
        <f t="shared" si="69"/>
        <v>101.84276121578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-2.8421709430404007E-13</v>
      </c>
      <c r="DP103" s="17">
        <f>DO103*VLOOKUP('Données projet'!$B$14,Paramètres!$A$1:$I$89,3,0)*VLOOKUP('Données projet'!$B$14,Paramètres!$A$1:$I$89,5,0)</f>
        <v>-2.7489477361086758E-13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508.3185483454435</v>
      </c>
      <c r="DU103" s="59">
        <f t="shared" si="98"/>
        <v>487.08233034004945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98.91606834484169</v>
      </c>
      <c r="EB103" s="21">
        <f>EXP(-LN(2)/25)*EB102+(1-EXP(-LN(2)/25))/(LN(2)/25)*Calculateur!DW103*Calculateur!DY103*VLOOKUP('Données projet'!$B$14,Paramètres!$A$1:$I$89,3,0)*0.475*44/12</f>
        <v>2.8582399883253391</v>
      </c>
      <c r="EC103" s="21">
        <f>EXP(-LN(2)/2)*EC102+(1-EXP(-LN(2)/2))/(LN(2)/2)*DW103*DZ103*VLOOKUP('Données projet'!$B$14,Paramètres!$A$1:$I$89,3,0)*0.475*44/12</f>
        <v>6.845288261297873E-2</v>
      </c>
      <c r="ED103" s="22">
        <f t="shared" si="72"/>
        <v>101.84276121578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7.1111111111111107</v>
      </c>
      <c r="N104" s="13">
        <f>IF('Données projet'!$A$36&gt;35,N103+M104-V103,IF(A104&lt;'Données projet'!$A$36,$K$205^A104,IF(A104='Données projet'!$A$36,'Données projet'!$B$36,N103+M104-V103)))</f>
        <v>329.55555555555509</v>
      </c>
      <c r="O104" s="13">
        <f>N104*VLOOKUP('Données projet'!$B$9,Paramètres!$A$1:$I$89,3,0)*VLOOKUP('Données projet'!$B$9,Paramètres!$A$1:$I$89,5,0)</f>
        <v>298.18186666666622</v>
      </c>
      <c r="P104" s="13">
        <f t="shared" si="87"/>
        <v>70.795178150955209</v>
      </c>
      <c r="Q104" s="20">
        <f t="shared" si="107"/>
        <v>642.635019724024</v>
      </c>
      <c r="R104" s="59">
        <f t="shared" si="55"/>
        <v>920.31541227109847</v>
      </c>
      <c r="S104" s="59">
        <f ca="1">AVERAGE(OFFSET($R$3,0,0,'Données projet'!$E$9+1,1))-AVERAGE(OFFSET($H$3,0,0,'Données projet'!$E$9+1,1))</f>
        <v>569.49435820174267</v>
      </c>
      <c r="T104" s="59">
        <f t="shared" si="88"/>
        <v>295.37730858134739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12.59289271124249</v>
      </c>
      <c r="AA104" s="21">
        <f>EXP(-LN(2)/25)*AA103+(1-EXP(-LN(2)/25))/(LN(2)/25)*Calculateur!V104*Calculateur!X104*VLOOKUP('Données projet'!$B$9,Paramètres!$A$1:$I$89,3,0)*0.475*44/12</f>
        <v>28.754112654025054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41.347005365267542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7.1111111111111107</v>
      </c>
      <c r="AI104" s="13">
        <f>IF('Données projet'!$A$62&gt;35,AI103+AH104-AQ103,IF(A104&lt;'Données projet'!$A$62,$AF$205^A104,IF(A104='Données projet'!$A$62,'Données projet'!$B$62,AI103+AH104-AQ103)))</f>
        <v>329.55555555555509</v>
      </c>
      <c r="AJ104" s="13">
        <f>AI104*VLOOKUP('Données projet'!$B$10,Paramètres!$A$1:$I$89,3,0)*VLOOKUP('Données projet'!$B$10,Paramètres!$A$1:$I$89,5,0)</f>
        <v>334.16933333333287</v>
      </c>
      <c r="AK104" s="13">
        <f t="shared" si="89"/>
        <v>78.294083697952715</v>
      </c>
      <c r="AL104" s="20">
        <f t="shared" si="58"/>
        <v>718.37378466282235</v>
      </c>
      <c r="AM104" s="59">
        <f t="shared" si="59"/>
        <v>996.05417720989681</v>
      </c>
      <c r="AN104" s="59">
        <f ca="1">AVERAGE(OFFSET($AM$3,0,0,'Données projet'!$E$10+1,1))-AVERAGE(OFFSET($H$3,0,0,'Données projet'!$E$10+1,1))</f>
        <v>627.83896530587367</v>
      </c>
      <c r="AO104" s="59">
        <f t="shared" si="90"/>
        <v>323.54927030899489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14.112724590185548</v>
      </c>
      <c r="AV104" s="21">
        <f>EXP(-LN(2)/25)*AV103+(1-EXP(-LN(2)/25))/(LN(2)/25)*Calculateur!AQ104*Calculateur!AS104*VLOOKUP('Données projet'!$B$10,Paramètres!$A$1:$I$89,3,0)*0.475*44/12</f>
        <v>32.224436595028081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46.337161185213631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-2.8421709430404007E-13</v>
      </c>
      <c r="BE104" s="13">
        <f>BD104*VLOOKUP('Données projet'!$B$11,Paramètres!$A$1:$I$89,3,0)*VLOOKUP('Données projet'!$B$11,Paramètres!$A$1:$I$89,5,0)</f>
        <v>-2.7489477361086758E-13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508.3185483454435</v>
      </c>
      <c r="BJ104" s="59">
        <f t="shared" si="92"/>
        <v>487.08233034004945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96.976384577443667</v>
      </c>
      <c r="BQ104" s="21">
        <f>EXP(-LN(2)/25)*BQ103+(1-EXP(-LN(2)/25))/(LN(2)/25)*Calculateur!BL104*Calculateur!BN104*VLOOKUP('Données projet'!$B$11,Paramètres!$A$1:$I$89,3,0)*0.475*44/12</f>
        <v>2.7800812655362743</v>
      </c>
      <c r="BR104" s="21">
        <f>EXP(-LN(2)/2)*BR103+(1-EXP(-LN(2)/2))/(LN(2)/2)*BL104*BO104*VLOOKUP('Données projet'!$B$11,Paramètres!$A$1:$I$89,3,0)*0.475*44/12</f>
        <v>4.8403497487403975E-2</v>
      </c>
      <c r="BS104" s="22">
        <f t="shared" si="63"/>
        <v>99.804869340467334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-2.8421709430404007E-13</v>
      </c>
      <c r="BZ104" s="13">
        <f>BY104*VLOOKUP('Données projet'!$B$12,Paramètres!$A$1:$I$89,3,0)*VLOOKUP('Données projet'!$B$12,Paramètres!$A$1:$I$89,5,0)</f>
        <v>-2.3055690689943731E-13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436.50252985867149</v>
      </c>
      <c r="CE104" s="59">
        <f t="shared" si="94"/>
        <v>419.00806288456329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81.335032226243143</v>
      </c>
      <c r="CL104" s="21">
        <f>EXP(-LN(2)/25)*CL103+(1-EXP(-LN(2)/25))/(LN(2)/25)*Calculateur!CG104*Calculateur!CI104*VLOOKUP('Données projet'!$B$12,Paramètres!$A$1:$I$89,3,0)*0.475*44/12</f>
        <v>2.3316810614175218</v>
      </c>
      <c r="CM104" s="21">
        <f>EXP(-LN(2)/2)*CM103+(1-EXP(-LN(2)/2))/(LN(2)/2)*CG104*CJ104*VLOOKUP('Données projet'!$B$12,Paramètres!$A$1:$I$89,3,0)*0.475*44/12</f>
        <v>4.0596481763629191E-2</v>
      </c>
      <c r="CN104" s="22">
        <f t="shared" si="66"/>
        <v>83.707309769424299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-2.8421709430404007E-13</v>
      </c>
      <c r="CU104" s="17">
        <f>CT104*VLOOKUP('Données projet'!$B$13,Paramètres!$A$1:$I$89,3,0)*VLOOKUP('Données projet'!$B$13,Paramètres!$A$1:$I$89,5,0)</f>
        <v>-2.7489477361086758E-13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508.3185483454435</v>
      </c>
      <c r="CZ104" s="59">
        <f t="shared" si="96"/>
        <v>487.08233034004945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96.976384577443667</v>
      </c>
      <c r="DG104" s="21">
        <f>EXP(-LN(2)/25)*DG103+(1-EXP(-LN(2)/25))/(LN(2)/25)*Calculateur!DB104*Calculateur!DD104*VLOOKUP('Données projet'!$B$13,Paramètres!$A$1:$I$89,3,0)*0.475*44/12</f>
        <v>2.7800812655362743</v>
      </c>
      <c r="DH104" s="21">
        <f>EXP(-LN(2)/2)*DH103+(1-EXP(-LN(2)/2))/(LN(2)/2)*DB104*DE104*VLOOKUP('Données projet'!$B$13,Paramètres!$A$1:$I$89,3,0)*0.475*44/12</f>
        <v>4.8403497487403975E-2</v>
      </c>
      <c r="DI104" s="22">
        <f t="shared" si="69"/>
        <v>99.804869340467334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-2.8421709430404007E-13</v>
      </c>
      <c r="DP104" s="17">
        <f>DO104*VLOOKUP('Données projet'!$B$14,Paramètres!$A$1:$I$89,3,0)*VLOOKUP('Données projet'!$B$14,Paramètres!$A$1:$I$89,5,0)</f>
        <v>-2.7489477361086758E-13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508.3185483454435</v>
      </c>
      <c r="DU104" s="59">
        <f t="shared" si="98"/>
        <v>487.08233034004945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96.976384577443667</v>
      </c>
      <c r="EB104" s="21">
        <f>EXP(-LN(2)/25)*EB103+(1-EXP(-LN(2)/25))/(LN(2)/25)*Calculateur!DW104*Calculateur!DY104*VLOOKUP('Données projet'!$B$14,Paramètres!$A$1:$I$89,3,0)*0.475*44/12</f>
        <v>2.7800812655362743</v>
      </c>
      <c r="EC104" s="21">
        <f>EXP(-LN(2)/2)*EC103+(1-EXP(-LN(2)/2))/(LN(2)/2)*DW104*DZ104*VLOOKUP('Données projet'!$B$14,Paramètres!$A$1:$I$89,3,0)*0.475*44/12</f>
        <v>4.8403497487403975E-2</v>
      </c>
      <c r="ED104" s="22">
        <f t="shared" si="72"/>
        <v>99.804869340467334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7.1111111111111107</v>
      </c>
      <c r="N105" s="13">
        <f>IF('Données projet'!$A$36&gt;35,N104+M105-V104,IF(A105&lt;'Données projet'!$A$36,$K$205^A105,IF(A105='Données projet'!$A$36,'Données projet'!$B$36,N104+M105-V104)))</f>
        <v>336.66666666666617</v>
      </c>
      <c r="O105" s="13">
        <f>N105*VLOOKUP('Données projet'!$B$9,Paramètres!$A$1:$I$89,3,0)*VLOOKUP('Données projet'!$B$9,Paramètres!$A$1:$I$89,5,0)</f>
        <v>304.61599999999953</v>
      </c>
      <c r="P105" s="13">
        <f t="shared" si="87"/>
        <v>72.143292729010327</v>
      </c>
      <c r="Q105" s="20">
        <f t="shared" si="107"/>
        <v>656.18910150302543</v>
      </c>
      <c r="R105" s="59">
        <f t="shared" si="55"/>
        <v>934.14103757800831</v>
      </c>
      <c r="S105" s="59">
        <f ca="1">AVERAGE(OFFSET($R$3,0,0,'Données projet'!$E$9+1,1))-AVERAGE(OFFSET($H$3,0,0,'Données projet'!$E$9+1,1))</f>
        <v>569.49435820174267</v>
      </c>
      <c r="T105" s="59">
        <f t="shared" si="88"/>
        <v>295.37730858134739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12.345953766081152</v>
      </c>
      <c r="AA105" s="21">
        <f>EXP(-LN(2)/25)*AA104+(1-EXP(-LN(2)/25))/(LN(2)/25)*Calculateur!V105*Calculateur!X105*VLOOKUP('Données projet'!$B$9,Paramètres!$A$1:$I$89,3,0)*0.475*44/12</f>
        <v>27.967829931387673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40.313783697468821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7.1111111111111107</v>
      </c>
      <c r="AI105" s="13">
        <f>IF('Données projet'!$A$62&gt;35,AI104+AH105-AQ104,IF(A105&lt;'Données projet'!$A$62,$AF$205^A105,IF(A105='Données projet'!$A$62,'Données projet'!$B$62,AI104+AH105-AQ104)))</f>
        <v>336.66666666666617</v>
      </c>
      <c r="AJ105" s="13">
        <f>AI105*VLOOKUP('Données projet'!$B$10,Paramètres!$A$1:$I$89,3,0)*VLOOKUP('Données projet'!$B$10,Paramètres!$A$1:$I$89,5,0)</f>
        <v>341.37999999999954</v>
      </c>
      <c r="AK105" s="13">
        <f t="shared" si="89"/>
        <v>79.784995909284618</v>
      </c>
      <c r="AL105" s="20">
        <f t="shared" si="58"/>
        <v>733.52903454200316</v>
      </c>
      <c r="AM105" s="59">
        <f t="shared" si="59"/>
        <v>1011.480970616986</v>
      </c>
      <c r="AN105" s="59">
        <f ca="1">AVERAGE(OFFSET($AM$3,0,0,'Données projet'!$E$10+1,1))-AVERAGE(OFFSET($H$3,0,0,'Données projet'!$E$10+1,1))</f>
        <v>627.83896530587367</v>
      </c>
      <c r="AO105" s="59">
        <f t="shared" si="90"/>
        <v>323.54927030899489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13.83598266888405</v>
      </c>
      <c r="AV105" s="21">
        <f>EXP(-LN(2)/25)*AV104+(1-EXP(-LN(2)/25))/(LN(2)/25)*Calculateur!AQ105*Calculateur!AS105*VLOOKUP('Données projet'!$B$10,Paramètres!$A$1:$I$89,3,0)*0.475*44/12</f>
        <v>31.343257681727568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45.179240350611622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-2.8421709430404007E-13</v>
      </c>
      <c r="BE105" s="13">
        <f>BD105*VLOOKUP('Données projet'!$B$11,Paramètres!$A$1:$I$89,3,0)*VLOOKUP('Données projet'!$B$11,Paramètres!$A$1:$I$89,5,0)</f>
        <v>-2.7489477361086758E-13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508.3185483454435</v>
      </c>
      <c r="BJ105" s="59">
        <f t="shared" si="92"/>
        <v>487.08233034004945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95.074736825634034</v>
      </c>
      <c r="BQ105" s="21">
        <f>EXP(-LN(2)/25)*BQ104+(1-EXP(-LN(2)/25))/(LN(2)/25)*Calculateur!BL105*Calculateur!BN105*VLOOKUP('Données projet'!$B$11,Paramètres!$A$1:$I$89,3,0)*0.475*44/12</f>
        <v>2.7040597971320652</v>
      </c>
      <c r="BR105" s="21">
        <f>EXP(-LN(2)/2)*BR104+(1-EXP(-LN(2)/2))/(LN(2)/2)*BL105*BO105*VLOOKUP('Données projet'!$B$11,Paramètres!$A$1:$I$89,3,0)*0.475*44/12</f>
        <v>3.4226441306489365E-2</v>
      </c>
      <c r="BS105" s="22">
        <f t="shared" si="63"/>
        <v>97.813023064072581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-2.8421709430404007E-13</v>
      </c>
      <c r="BZ105" s="13">
        <f>BY105*VLOOKUP('Données projet'!$B$12,Paramètres!$A$1:$I$89,3,0)*VLOOKUP('Données projet'!$B$12,Paramètres!$A$1:$I$89,5,0)</f>
        <v>-2.3055690689943731E-13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436.50252985867149</v>
      </c>
      <c r="CE105" s="59">
        <f t="shared" si="94"/>
        <v>419.00806288456329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79.74010185375765</v>
      </c>
      <c r="CL105" s="21">
        <f>EXP(-LN(2)/25)*CL104+(1-EXP(-LN(2)/25))/(LN(2)/25)*Calculateur!CG105*Calculateur!CI105*VLOOKUP('Données projet'!$B$12,Paramètres!$A$1:$I$89,3,0)*0.475*44/12</f>
        <v>2.267921120175282</v>
      </c>
      <c r="CM105" s="21">
        <f>EXP(-LN(2)/2)*CM104+(1-EXP(-LN(2)/2))/(LN(2)/2)*CG105*CJ105*VLOOKUP('Données projet'!$B$12,Paramètres!$A$1:$I$89,3,0)*0.475*44/12</f>
        <v>2.8706047547378214E-2</v>
      </c>
      <c r="CN105" s="22">
        <f t="shared" si="66"/>
        <v>82.036729021480312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-2.8421709430404007E-13</v>
      </c>
      <c r="CU105" s="17">
        <f>CT105*VLOOKUP('Données projet'!$B$13,Paramètres!$A$1:$I$89,3,0)*VLOOKUP('Données projet'!$B$13,Paramètres!$A$1:$I$89,5,0)</f>
        <v>-2.7489477361086758E-13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508.3185483454435</v>
      </c>
      <c r="CZ105" s="59">
        <f t="shared" si="96"/>
        <v>487.08233034004945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95.074736825634034</v>
      </c>
      <c r="DG105" s="21">
        <f>EXP(-LN(2)/25)*DG104+(1-EXP(-LN(2)/25))/(LN(2)/25)*Calculateur!DB105*Calculateur!DD105*VLOOKUP('Données projet'!$B$13,Paramètres!$A$1:$I$89,3,0)*0.475*44/12</f>
        <v>2.7040597971320652</v>
      </c>
      <c r="DH105" s="21">
        <f>EXP(-LN(2)/2)*DH104+(1-EXP(-LN(2)/2))/(LN(2)/2)*DB105*DE105*VLOOKUP('Données projet'!$B$13,Paramètres!$A$1:$I$89,3,0)*0.475*44/12</f>
        <v>3.4226441306489365E-2</v>
      </c>
      <c r="DI105" s="22">
        <f t="shared" si="69"/>
        <v>97.813023064072581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-2.8421709430404007E-13</v>
      </c>
      <c r="DP105" s="17">
        <f>DO105*VLOOKUP('Données projet'!$B$14,Paramètres!$A$1:$I$89,3,0)*VLOOKUP('Données projet'!$B$14,Paramètres!$A$1:$I$89,5,0)</f>
        <v>-2.7489477361086758E-13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508.3185483454435</v>
      </c>
      <c r="DU105" s="59">
        <f t="shared" si="98"/>
        <v>487.08233034004945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95.074736825634034</v>
      </c>
      <c r="EB105" s="21">
        <f>EXP(-LN(2)/25)*EB104+(1-EXP(-LN(2)/25))/(LN(2)/25)*Calculateur!DW105*Calculateur!DY105*VLOOKUP('Données projet'!$B$14,Paramètres!$A$1:$I$89,3,0)*0.475*44/12</f>
        <v>2.7040597971320652</v>
      </c>
      <c r="EC105" s="21">
        <f>EXP(-LN(2)/2)*EC104+(1-EXP(-LN(2)/2))/(LN(2)/2)*DW105*DZ105*VLOOKUP('Données projet'!$B$14,Paramètres!$A$1:$I$89,3,0)*0.475*44/12</f>
        <v>3.4226441306489365E-2</v>
      </c>
      <c r="ED105" s="22">
        <f t="shared" si="72"/>
        <v>97.813023064072581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7.1111111111111107</v>
      </c>
      <c r="N106" s="13">
        <f>IF('Données projet'!$A$36&gt;35,N105+M106-V105,IF(A106&lt;'Données projet'!$A$36,$K$205^A106,IF(A106='Données projet'!$A$36,'Données projet'!$B$36,N105+M106-V105)))</f>
        <v>343.77777777777726</v>
      </c>
      <c r="O106" s="13">
        <f>N106*VLOOKUP('Données projet'!$B$9,Paramètres!$A$1:$I$89,3,0)*VLOOKUP('Données projet'!$B$9,Paramètres!$A$1:$I$89,5,0)</f>
        <v>311.05013333333284</v>
      </c>
      <c r="P106" s="13">
        <f t="shared" si="87"/>
        <v>73.488096624860688</v>
      </c>
      <c r="Q106" s="20">
        <f t="shared" si="107"/>
        <v>669.73741717718713</v>
      </c>
      <c r="R106" s="59">
        <f t="shared" si="55"/>
        <v>947.95618610694987</v>
      </c>
      <c r="S106" s="59">
        <f ca="1">AVERAGE(OFFSET($R$3,0,0,'Données projet'!$E$9+1,1))-AVERAGE(OFFSET($H$3,0,0,'Données projet'!$E$9+1,1))</f>
        <v>569.49435820174267</v>
      </c>
      <c r="T106" s="59">
        <f t="shared" si="88"/>
        <v>295.37730858134739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12.103857143016544</v>
      </c>
      <c r="AA106" s="21">
        <f>EXP(-LN(2)/25)*AA105+(1-EXP(-LN(2)/25))/(LN(2)/25)*Calculateur!V106*Calculateur!X106*VLOOKUP('Données projet'!$B$9,Paramètres!$A$1:$I$89,3,0)*0.475*44/12</f>
        <v>27.203048151149623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39.306905294166171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7.1111111111111107</v>
      </c>
      <c r="AI106" s="13">
        <f>IF('Données projet'!$A$62&gt;35,AI105+AH106-AQ105,IF(A106&lt;'Données projet'!$A$62,$AF$205^A106,IF(A106='Données projet'!$A$62,'Données projet'!$B$62,AI105+AH106-AQ105)))</f>
        <v>343.77777777777726</v>
      </c>
      <c r="AJ106" s="13">
        <f>AI106*VLOOKUP('Données projet'!$B$10,Paramètres!$A$1:$I$89,3,0)*VLOOKUP('Données projet'!$B$10,Paramètres!$A$1:$I$89,5,0)</f>
        <v>348.59066666666615</v>
      </c>
      <c r="AK106" s="13">
        <f t="shared" si="89"/>
        <v>81.272246757845707</v>
      </c>
      <c r="AL106" s="20">
        <f t="shared" si="58"/>
        <v>748.67790754769158</v>
      </c>
      <c r="AM106" s="59">
        <f t="shared" si="59"/>
        <v>1026.8966764774543</v>
      </c>
      <c r="AN106" s="59">
        <f ca="1">AVERAGE(OFFSET($AM$3,0,0,'Données projet'!$E$10+1,1))-AVERAGE(OFFSET($H$3,0,0,'Données projet'!$E$10+1,1))</f>
        <v>627.83896530587367</v>
      </c>
      <c r="AO106" s="59">
        <f t="shared" si="90"/>
        <v>323.54927030899489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13.564667487863368</v>
      </c>
      <c r="AV106" s="21">
        <f>EXP(-LN(2)/25)*AV105+(1-EXP(-LN(2)/25))/(LN(2)/25)*Calculateur!AQ106*Calculateur!AS106*VLOOKUP('Données projet'!$B$10,Paramètres!$A$1:$I$89,3,0)*0.475*44/12</f>
        <v>30.486174652150442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44.050842140013813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-2.8421709430404007E-13</v>
      </c>
      <c r="BE106" s="13">
        <f>BD106*VLOOKUP('Données projet'!$B$11,Paramètres!$A$1:$I$89,3,0)*VLOOKUP('Données projet'!$B$11,Paramètres!$A$1:$I$89,5,0)</f>
        <v>-2.7489477361086758E-13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508.3185483454435</v>
      </c>
      <c r="BJ106" s="59">
        <f t="shared" si="92"/>
        <v>487.08233034004945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93.210379226346788</v>
      </c>
      <c r="BQ106" s="21">
        <f>EXP(-LN(2)/25)*BQ105+(1-EXP(-LN(2)/25))/(LN(2)/25)*Calculateur!BL106*Calculateur!BN106*VLOOKUP('Données projet'!$B$11,Paramètres!$A$1:$I$89,3,0)*0.475*44/12</f>
        <v>2.6301171397791645</v>
      </c>
      <c r="BR106" s="21">
        <f>EXP(-LN(2)/2)*BR105+(1-EXP(-LN(2)/2))/(LN(2)/2)*BL106*BO106*VLOOKUP('Données projet'!$B$11,Paramètres!$A$1:$I$89,3,0)*0.475*44/12</f>
        <v>2.4201748743701988E-2</v>
      </c>
      <c r="BS106" s="22">
        <f t="shared" si="63"/>
        <v>95.864698114869654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-2.8421709430404007E-13</v>
      </c>
      <c r="BZ106" s="13">
        <f>BY106*VLOOKUP('Données projet'!$B$12,Paramètres!$A$1:$I$89,3,0)*VLOOKUP('Données projet'!$B$12,Paramètres!$A$1:$I$89,5,0)</f>
        <v>-2.3055690689943731E-13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436.50252985867149</v>
      </c>
      <c r="CE106" s="59">
        <f t="shared" si="94"/>
        <v>419.00806288456329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78.176447093065121</v>
      </c>
      <c r="CL106" s="21">
        <f>EXP(-LN(2)/25)*CL105+(1-EXP(-LN(2)/25))/(LN(2)/25)*Calculateur!CG106*Calculateur!CI106*VLOOKUP('Données projet'!$B$12,Paramètres!$A$1:$I$89,3,0)*0.475*44/12</f>
        <v>2.2059046978793004</v>
      </c>
      <c r="CM106" s="21">
        <f>EXP(-LN(2)/2)*CM105+(1-EXP(-LN(2)/2))/(LN(2)/2)*CG106*CJ106*VLOOKUP('Données projet'!$B$12,Paramètres!$A$1:$I$89,3,0)*0.475*44/12</f>
        <v>2.0298240881814599E-2</v>
      </c>
      <c r="CN106" s="22">
        <f t="shared" si="66"/>
        <v>80.402650031826241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-2.8421709430404007E-13</v>
      </c>
      <c r="CU106" s="17">
        <f>CT106*VLOOKUP('Données projet'!$B$13,Paramètres!$A$1:$I$89,3,0)*VLOOKUP('Données projet'!$B$13,Paramètres!$A$1:$I$89,5,0)</f>
        <v>-2.7489477361086758E-13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508.3185483454435</v>
      </c>
      <c r="CZ106" s="59">
        <f t="shared" si="96"/>
        <v>487.08233034004945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93.210379226346788</v>
      </c>
      <c r="DG106" s="21">
        <f>EXP(-LN(2)/25)*DG105+(1-EXP(-LN(2)/25))/(LN(2)/25)*Calculateur!DB106*Calculateur!DD106*VLOOKUP('Données projet'!$B$13,Paramètres!$A$1:$I$89,3,0)*0.475*44/12</f>
        <v>2.6301171397791645</v>
      </c>
      <c r="DH106" s="21">
        <f>EXP(-LN(2)/2)*DH105+(1-EXP(-LN(2)/2))/(LN(2)/2)*DB106*DE106*VLOOKUP('Données projet'!$B$13,Paramètres!$A$1:$I$89,3,0)*0.475*44/12</f>
        <v>2.4201748743701988E-2</v>
      </c>
      <c r="DI106" s="22">
        <f t="shared" si="69"/>
        <v>95.864698114869654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-2.8421709430404007E-13</v>
      </c>
      <c r="DP106" s="17">
        <f>DO106*VLOOKUP('Données projet'!$B$14,Paramètres!$A$1:$I$89,3,0)*VLOOKUP('Données projet'!$B$14,Paramètres!$A$1:$I$89,5,0)</f>
        <v>-2.7489477361086758E-13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508.3185483454435</v>
      </c>
      <c r="DU106" s="59">
        <f t="shared" si="98"/>
        <v>487.08233034004945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93.210379226346788</v>
      </c>
      <c r="EB106" s="21">
        <f>EXP(-LN(2)/25)*EB105+(1-EXP(-LN(2)/25))/(LN(2)/25)*Calculateur!DW106*Calculateur!DY106*VLOOKUP('Données projet'!$B$14,Paramètres!$A$1:$I$89,3,0)*0.475*44/12</f>
        <v>2.6301171397791645</v>
      </c>
      <c r="EC106" s="21">
        <f>EXP(-LN(2)/2)*EC105+(1-EXP(-LN(2)/2))/(LN(2)/2)*DW106*DZ106*VLOOKUP('Données projet'!$B$14,Paramètres!$A$1:$I$89,3,0)*0.475*44/12</f>
        <v>2.4201748743701988E-2</v>
      </c>
      <c r="ED106" s="22">
        <f t="shared" si="72"/>
        <v>95.864698114869654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7.1111111111111107</v>
      </c>
      <c r="N107" s="13">
        <f>IF('Données projet'!$A$36&gt;35,N106+M107-V106,IF(A107&lt;'Données projet'!$A$36,$K$205^A107,IF(A107='Données projet'!$A$36,'Données projet'!$B$36,N106+M107-V106)))</f>
        <v>350.88888888888835</v>
      </c>
      <c r="O107" s="13">
        <f>N107*VLOOKUP('Données projet'!$B$9,Paramètres!$A$1:$I$89,3,0)*VLOOKUP('Données projet'!$B$9,Paramètres!$A$1:$I$89,5,0)</f>
        <v>317.4842666666662</v>
      </c>
      <c r="P107" s="13">
        <f t="shared" si="87"/>
        <v>74.82966621096746</v>
      </c>
      <c r="Q107" s="20">
        <f t="shared" si="107"/>
        <v>683.28009976187866</v>
      </c>
      <c r="R107" s="59">
        <f t="shared" si="55"/>
        <v>961.76107259293963</v>
      </c>
      <c r="S107" s="59">
        <f ca="1">AVERAGE(OFFSET($R$3,0,0,'Données projet'!$E$9+1,1))-AVERAGE(OFFSET($H$3,0,0,'Données projet'!$E$9+1,1))</f>
        <v>569.49435820174267</v>
      </c>
      <c r="T107" s="59">
        <f t="shared" si="88"/>
        <v>295.37730858134739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11.866507887065874</v>
      </c>
      <c r="AA107" s="21">
        <f>EXP(-LN(2)/25)*AA106+(1-EXP(-LN(2)/25))/(LN(2)/25)*Calculateur!V107*Calculateur!X107*VLOOKUP('Données projet'!$B$9,Paramètres!$A$1:$I$89,3,0)*0.475*44/12</f>
        <v>26.459179368910309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38.325687255976185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7.1111111111111107</v>
      </c>
      <c r="AI107" s="13">
        <f>IF('Données projet'!$A$62&gt;35,AI106+AH107-AQ106,IF(A107&lt;'Données projet'!$A$62,$AF$205^A107,IF(A107='Données projet'!$A$62,'Données projet'!$B$62,AI106+AH107-AQ106)))</f>
        <v>350.88888888888835</v>
      </c>
      <c r="AJ107" s="13">
        <f>AI107*VLOOKUP('Données projet'!$B$10,Paramètres!$A$1:$I$89,3,0)*VLOOKUP('Données projet'!$B$10,Paramètres!$A$1:$I$89,5,0)</f>
        <v>355.80133333333282</v>
      </c>
      <c r="AK107" s="13">
        <f t="shared" si="89"/>
        <v>82.755920705770492</v>
      </c>
      <c r="AL107" s="20">
        <f t="shared" si="58"/>
        <v>763.82055078477163</v>
      </c>
      <c r="AM107" s="59">
        <f t="shared" si="59"/>
        <v>1042.3015236158326</v>
      </c>
      <c r="AN107" s="59">
        <f ca="1">AVERAGE(OFFSET($AM$3,0,0,'Données projet'!$E$10+1,1))-AVERAGE(OFFSET($H$3,0,0,'Données projet'!$E$10+1,1))</f>
        <v>627.83896530587367</v>
      </c>
      <c r="AO107" s="59">
        <f t="shared" si="90"/>
        <v>323.54927030899489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13.298672632056581</v>
      </c>
      <c r="AV107" s="21">
        <f>EXP(-LN(2)/25)*AV106+(1-EXP(-LN(2)/25))/(LN(2)/25)*Calculateur!AQ107*Calculateur!AS107*VLOOKUP('Données projet'!$B$10,Paramètres!$A$1:$I$89,3,0)*0.475*44/12</f>
        <v>29.652528603089142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42.951201235145724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-2.8421709430404007E-13</v>
      </c>
      <c r="BE107" s="13">
        <f>BD107*VLOOKUP('Données projet'!$B$11,Paramètres!$A$1:$I$89,3,0)*VLOOKUP('Données projet'!$B$11,Paramètres!$A$1:$I$89,5,0)</f>
        <v>-2.7489477361086758E-13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508.3185483454435</v>
      </c>
      <c r="BJ107" s="59">
        <f t="shared" si="92"/>
        <v>487.08233034004945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91.382580542435718</v>
      </c>
      <c r="BQ107" s="21">
        <f>EXP(-LN(2)/25)*BQ106+(1-EXP(-LN(2)/25))/(LN(2)/25)*Calculateur!BL107*Calculateur!BN107*VLOOKUP('Données projet'!$B$11,Paramètres!$A$1:$I$89,3,0)*0.475*44/12</f>
        <v>2.5581964482800541</v>
      </c>
      <c r="BR107" s="21">
        <f>EXP(-LN(2)/2)*BR106+(1-EXP(-LN(2)/2))/(LN(2)/2)*BL107*BO107*VLOOKUP('Données projet'!$B$11,Paramètres!$A$1:$I$89,3,0)*0.475*44/12</f>
        <v>1.7113220653244682E-2</v>
      </c>
      <c r="BS107" s="22">
        <f t="shared" si="63"/>
        <v>93.957890211369019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-2.8421709430404007E-13</v>
      </c>
      <c r="BZ107" s="13">
        <f>BY107*VLOOKUP('Données projet'!$B$12,Paramètres!$A$1:$I$89,3,0)*VLOOKUP('Données projet'!$B$12,Paramètres!$A$1:$I$89,5,0)</f>
        <v>-2.3055690689943731E-13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436.50252985867149</v>
      </c>
      <c r="CE107" s="59">
        <f t="shared" si="94"/>
        <v>419.00806288456329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76.64345464849454</v>
      </c>
      <c r="CL107" s="21">
        <f>EXP(-LN(2)/25)*CL106+(1-EXP(-LN(2)/25))/(LN(2)/25)*Calculateur!CG107*Calculateur!CI107*VLOOKUP('Données projet'!$B$12,Paramètres!$A$1:$I$89,3,0)*0.475*44/12</f>
        <v>2.1455841179123047</v>
      </c>
      <c r="CM107" s="21">
        <f>EXP(-LN(2)/2)*CM106+(1-EXP(-LN(2)/2))/(LN(2)/2)*CG107*CJ107*VLOOKUP('Données projet'!$B$12,Paramètres!$A$1:$I$89,3,0)*0.475*44/12</f>
        <v>1.4353023773689111E-2</v>
      </c>
      <c r="CN107" s="22">
        <f t="shared" si="66"/>
        <v>78.803391790180541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-2.8421709430404007E-13</v>
      </c>
      <c r="CU107" s="17">
        <f>CT107*VLOOKUP('Données projet'!$B$13,Paramètres!$A$1:$I$89,3,0)*VLOOKUP('Données projet'!$B$13,Paramètres!$A$1:$I$89,5,0)</f>
        <v>-2.7489477361086758E-13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508.3185483454435</v>
      </c>
      <c r="CZ107" s="59">
        <f t="shared" si="96"/>
        <v>487.08233034004945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91.382580542435718</v>
      </c>
      <c r="DG107" s="21">
        <f>EXP(-LN(2)/25)*DG106+(1-EXP(-LN(2)/25))/(LN(2)/25)*Calculateur!DB107*Calculateur!DD107*VLOOKUP('Données projet'!$B$13,Paramètres!$A$1:$I$89,3,0)*0.475*44/12</f>
        <v>2.5581964482800541</v>
      </c>
      <c r="DH107" s="21">
        <f>EXP(-LN(2)/2)*DH106+(1-EXP(-LN(2)/2))/(LN(2)/2)*DB107*DE107*VLOOKUP('Données projet'!$B$13,Paramètres!$A$1:$I$89,3,0)*0.475*44/12</f>
        <v>1.7113220653244682E-2</v>
      </c>
      <c r="DI107" s="22">
        <f t="shared" si="69"/>
        <v>93.957890211369019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-2.8421709430404007E-13</v>
      </c>
      <c r="DP107" s="17">
        <f>DO107*VLOOKUP('Données projet'!$B$14,Paramètres!$A$1:$I$89,3,0)*VLOOKUP('Données projet'!$B$14,Paramètres!$A$1:$I$89,5,0)</f>
        <v>-2.7489477361086758E-13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508.3185483454435</v>
      </c>
      <c r="DU107" s="59">
        <f t="shared" si="98"/>
        <v>487.08233034004945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91.382580542435718</v>
      </c>
      <c r="EB107" s="21">
        <f>EXP(-LN(2)/25)*EB106+(1-EXP(-LN(2)/25))/(LN(2)/25)*Calculateur!DW107*Calculateur!DY107*VLOOKUP('Données projet'!$B$14,Paramètres!$A$1:$I$89,3,0)*0.475*44/12</f>
        <v>2.5581964482800541</v>
      </c>
      <c r="EC107" s="21">
        <f>EXP(-LN(2)/2)*EC106+(1-EXP(-LN(2)/2))/(LN(2)/2)*DW107*DZ107*VLOOKUP('Données projet'!$B$14,Paramètres!$A$1:$I$89,3,0)*0.475*44/12</f>
        <v>1.7113220653244682E-2</v>
      </c>
      <c r="ED107" s="22">
        <f t="shared" si="72"/>
        <v>93.957890211369019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358</v>
      </c>
      <c r="L108" s="12">
        <f>VLOOKUP(A108,'Données projet'!$A$35:$I$55,9,0)</f>
        <v>7.1111111111111107</v>
      </c>
      <c r="M108" s="12">
        <f t="array" ref="M108">INDEX(L:L,MIN(IF(ISNUMBER(L108:L304),ROW(L108:L304),"")))</f>
        <v>7.1111111111111107</v>
      </c>
      <c r="N108" s="13">
        <f>IF('Données projet'!$A$36&gt;35,N107+M108-V107,IF(A108&lt;'Données projet'!$A$36,$K$205^A108,IF(A108='Données projet'!$A$36,'Données projet'!$B$36,N107+M108-V107)))</f>
        <v>357.99999999999943</v>
      </c>
      <c r="O108" s="13">
        <f>N108*VLOOKUP('Données projet'!$B$9,Paramètres!$A$1:$I$89,3,0)*VLOOKUP('Données projet'!$B$9,Paramètres!$A$1:$I$89,5,0)</f>
        <v>323.91839999999945</v>
      </c>
      <c r="P108" s="13">
        <f t="shared" si="87"/>
        <v>76.168074587292963</v>
      </c>
      <c r="Q108" s="20">
        <f t="shared" si="107"/>
        <v>696.81727657286763</v>
      </c>
      <c r="R108" s="59">
        <f t="shared" si="55"/>
        <v>975.55590465373939</v>
      </c>
      <c r="S108" s="59">
        <f ca="1">AVERAGE(OFFSET($R$3,0,0,'Données projet'!$E$9+1,1))-AVERAGE(OFFSET($H$3,0,0,'Données projet'!$E$9+1,1))</f>
        <v>569.49435820174267</v>
      </c>
      <c r="T108" s="59">
        <f t="shared" si="88"/>
        <v>295.37730858134739</v>
      </c>
      <c r="U108" s="15">
        <f>IF(ISNA(VLOOKUP(A108,'Données projet'!$A$35:$I$55,3,0)),0,VLOOKUP(A108,'Données projet'!$A$35:$I$55,3,0))</f>
        <v>9</v>
      </c>
      <c r="V108" s="15">
        <f>IF(ISNA(VLOOKUP(A108,'Données projet'!$A$35:$I$55,4,0)),0,VLOOKUP(A108,'Données projet'!$A$35:$I$55,4,0))</f>
        <v>43</v>
      </c>
      <c r="W108" s="16">
        <f>IF(ISNA(VLOOKUP(A108,'Données projet'!$A$35:$I$55,5,0)),0%,VLOOKUP(A108,'Données projet'!$A$35:$I$55,5,0)*VLOOKUP('Données projet'!$B$9,Paramètres!$A$1:$I$89,7,0))</f>
        <v>0.30099999999999999</v>
      </c>
      <c r="X108" s="16">
        <f>IF(ISNA(VLOOKUP(A108,'Données projet'!$A$35:$I$55,6,0)),0%,VLOOKUP(A108,'Données projet'!$A$35:$I$55,6,0)*VLOOKUP('Données projet'!$B$9,Paramètres!$A$1:$I$89,7,0))</f>
        <v>4.3000000000000003E-2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24.579784610308135</v>
      </c>
      <c r="AA108" s="21">
        <f>EXP(-LN(2)/25)*AA107+(1-EXP(-LN(2)/25))/(LN(2)/25)*Calculateur!V108*Calculateur!X108*VLOOKUP('Données projet'!$B$9,Paramètres!$A$1:$I$89,3,0)*0.475*44/12</f>
        <v>27.577794357875081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52.157578968183216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358</v>
      </c>
      <c r="AG108" s="12">
        <f>VLOOKUP(A108,'Données projet'!$A$61:$I$81,9,0)</f>
        <v>7.1111111111111107</v>
      </c>
      <c r="AH108" s="12">
        <f t="array" ref="AH108">INDEX(AG:AG,MIN(IF(ISNUMBER(AG108:AG304),ROW(AG108:AG304),"")))</f>
        <v>7.1111111111111107</v>
      </c>
      <c r="AI108" s="13">
        <f>IF('Données projet'!$A$62&gt;35,AI107+AH108-AQ107,IF(A108&lt;'Données projet'!$A$62,$AF$205^A108,IF(A108='Données projet'!$A$62,'Données projet'!$B$62,AI107+AH108-AQ107)))</f>
        <v>357.99999999999943</v>
      </c>
      <c r="AJ108" s="13">
        <f>AI108*VLOOKUP('Données projet'!$B$10,Paramètres!$A$1:$I$89,3,0)*VLOOKUP('Données projet'!$B$10,Paramètres!$A$1:$I$89,5,0)</f>
        <v>363.01199999999949</v>
      </c>
      <c r="AK108" s="13">
        <f t="shared" si="89"/>
        <v>84.236098596059009</v>
      </c>
      <c r="AL108" s="20">
        <f t="shared" si="58"/>
        <v>778.9571050548019</v>
      </c>
      <c r="AM108" s="59">
        <f t="shared" si="59"/>
        <v>1057.6957331356737</v>
      </c>
      <c r="AN108" s="59">
        <f ca="1">AVERAGE(OFFSET($AM$3,0,0,'Données projet'!$E$10+1,1))-AVERAGE(OFFSET($H$3,0,0,'Données projet'!$E$10+1,1))</f>
        <v>627.83896530587367</v>
      </c>
      <c r="AO108" s="59">
        <f t="shared" si="90"/>
        <v>323.54927030899489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43</v>
      </c>
      <c r="AR108" s="16">
        <f>IF(ISNA(VLOOKUP(A108,'Données projet'!$A$61:$I$81,5,0)),0%,VLOOKUP(A108,'Données projet'!$A$61:$I$81,5,0)*VLOOKUP('Données projet'!$B$10,Paramètres!$A$1:$I$89,7,0))</f>
        <v>0.30099999999999999</v>
      </c>
      <c r="AS108" s="16">
        <f>IF(ISNA(VLOOKUP(A108,'Données projet'!$A$61:$I$81,6,0)),0%,VLOOKUP(A108,'Données projet'!$A$61:$I$81,6,0)*VLOOKUP('Données projet'!$B$10,Paramètres!$A$1:$I$89,7,0))</f>
        <v>4.3000000000000003E-2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27.546310339138426</v>
      </c>
      <c r="AV108" s="21">
        <f>EXP(-LN(2)/25)*AV107+(1-EXP(-LN(2)/25))/(LN(2)/25)*Calculateur!AQ108*Calculateur!AS108*VLOOKUP('Données projet'!$B$10,Paramètres!$A$1:$I$89,3,0)*0.475*44/12</f>
        <v>30.906148849342763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58.452459188481185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-2.8421709430404007E-13</v>
      </c>
      <c r="BE108" s="13">
        <f>BD108*VLOOKUP('Données projet'!$B$11,Paramètres!$A$1:$I$89,3,0)*VLOOKUP('Données projet'!$B$11,Paramètres!$A$1:$I$89,5,0)</f>
        <v>-2.7489477361086758E-13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508.3185483454435</v>
      </c>
      <c r="BJ108" s="59">
        <f t="shared" si="92"/>
        <v>487.08233034004945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89.590623875869028</v>
      </c>
      <c r="BQ108" s="21">
        <f>EXP(-LN(2)/25)*BQ107+(1-EXP(-LN(2)/25))/(LN(2)/25)*Calculateur!BL108*Calculateur!BN108*VLOOKUP('Données projet'!$B$11,Paramètres!$A$1:$I$89,3,0)*0.475*44/12</f>
        <v>2.4882424318721315</v>
      </c>
      <c r="BR108" s="21">
        <f>EXP(-LN(2)/2)*BR107+(1-EXP(-LN(2)/2))/(LN(2)/2)*BL108*BO108*VLOOKUP('Données projet'!$B$11,Paramètres!$A$1:$I$89,3,0)*0.475*44/12</f>
        <v>1.2100874371850994E-2</v>
      </c>
      <c r="BS108" s="22">
        <f t="shared" si="63"/>
        <v>92.090967182113019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-2.8421709430404007E-13</v>
      </c>
      <c r="BZ108" s="13">
        <f>BY108*VLOOKUP('Données projet'!$B$12,Paramètres!$A$1:$I$89,3,0)*VLOOKUP('Données projet'!$B$12,Paramètres!$A$1:$I$89,5,0)</f>
        <v>-2.3055690689943731E-13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436.50252985867149</v>
      </c>
      <c r="CE108" s="59">
        <f t="shared" si="94"/>
        <v>419.00806288456329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75.140523250728933</v>
      </c>
      <c r="CL108" s="21">
        <f>EXP(-LN(2)/25)*CL107+(1-EXP(-LN(2)/25))/(LN(2)/25)*Calculateur!CG108*Calculateur!CI108*VLOOKUP('Données projet'!$B$12,Paramètres!$A$1:$I$89,3,0)*0.475*44/12</f>
        <v>2.0869130073766278</v>
      </c>
      <c r="CM108" s="21">
        <f>EXP(-LN(2)/2)*CM107+(1-EXP(-LN(2)/2))/(LN(2)/2)*CG108*CJ108*VLOOKUP('Données projet'!$B$12,Paramètres!$A$1:$I$89,3,0)*0.475*44/12</f>
        <v>1.0149120440907301E-2</v>
      </c>
      <c r="CN108" s="22">
        <f t="shared" si="66"/>
        <v>77.23758537854647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-2.8421709430404007E-13</v>
      </c>
      <c r="CU108" s="17">
        <f>CT108*VLOOKUP('Données projet'!$B$13,Paramètres!$A$1:$I$89,3,0)*VLOOKUP('Données projet'!$B$13,Paramètres!$A$1:$I$89,5,0)</f>
        <v>-2.7489477361086758E-13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508.3185483454435</v>
      </c>
      <c r="CZ108" s="59">
        <f t="shared" si="96"/>
        <v>487.08233034004945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89.590623875869028</v>
      </c>
      <c r="DG108" s="21">
        <f>EXP(-LN(2)/25)*DG107+(1-EXP(-LN(2)/25))/(LN(2)/25)*Calculateur!DB108*Calculateur!DD108*VLOOKUP('Données projet'!$B$13,Paramètres!$A$1:$I$89,3,0)*0.475*44/12</f>
        <v>2.4882424318721315</v>
      </c>
      <c r="DH108" s="21">
        <f>EXP(-LN(2)/2)*DH107+(1-EXP(-LN(2)/2))/(LN(2)/2)*DB108*DE108*VLOOKUP('Données projet'!$B$13,Paramètres!$A$1:$I$89,3,0)*0.475*44/12</f>
        <v>1.2100874371850994E-2</v>
      </c>
      <c r="DI108" s="22">
        <f t="shared" si="69"/>
        <v>92.090967182113019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-2.8421709430404007E-13</v>
      </c>
      <c r="DP108" s="17">
        <f>DO108*VLOOKUP('Données projet'!$B$14,Paramètres!$A$1:$I$89,3,0)*VLOOKUP('Données projet'!$B$14,Paramètres!$A$1:$I$89,5,0)</f>
        <v>-2.7489477361086758E-13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508.3185483454435</v>
      </c>
      <c r="DU108" s="59">
        <f t="shared" si="98"/>
        <v>487.08233034004945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89.590623875869028</v>
      </c>
      <c r="EB108" s="21">
        <f>EXP(-LN(2)/25)*EB107+(1-EXP(-LN(2)/25))/(LN(2)/25)*Calculateur!DW108*Calculateur!DY108*VLOOKUP('Données projet'!$B$14,Paramètres!$A$1:$I$89,3,0)*0.475*44/12</f>
        <v>2.4882424318721315</v>
      </c>
      <c r="EC108" s="21">
        <f>EXP(-LN(2)/2)*EC107+(1-EXP(-LN(2)/2))/(LN(2)/2)*DW108*DZ108*VLOOKUP('Données projet'!$B$14,Paramètres!$A$1:$I$89,3,0)*0.475*44/12</f>
        <v>1.2100874371850994E-2</v>
      </c>
      <c r="ED108" s="22">
        <f t="shared" si="72"/>
        <v>92.090967182113019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</v>
      </c>
      <c r="N109" s="13">
        <f>IF('Données projet'!$A$36&gt;35,N108+M109-V108,IF(A109&lt;'Données projet'!$A$36,$K$205^A109,IF(A109='Données projet'!$A$36,'Données projet'!$B$36,N108+M109-V108)))</f>
        <v>321.99999999999943</v>
      </c>
      <c r="O109" s="13">
        <f>N109*VLOOKUP('Données projet'!$B$9,Paramètres!$A$1:$I$89,3,0)*VLOOKUP('Données projet'!$B$9,Paramètres!$A$1:$I$89,5,0)</f>
        <v>291.34559999999948</v>
      </c>
      <c r="P109" s="13">
        <f t="shared" si="87"/>
        <v>69.359089490698594</v>
      </c>
      <c r="Q109" s="20">
        <f t="shared" si="107"/>
        <v>628.22733419629901</v>
      </c>
      <c r="R109" s="59">
        <f t="shared" si="55"/>
        <v>907.21914778442806</v>
      </c>
      <c r="S109" s="59">
        <f ca="1">AVERAGE(OFFSET($R$3,0,0,'Données projet'!$E$9+1,1))-AVERAGE(OFFSET($H$3,0,0,'Données projet'!$E$9+1,1))</f>
        <v>569.49435820174267</v>
      </c>
      <c r="T109" s="59">
        <f t="shared" si="88"/>
        <v>295.37730858134739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24.097790026288248</v>
      </c>
      <c r="AA109" s="21">
        <f>EXP(-LN(2)/25)*AA108+(1-EXP(-LN(2)/25))/(LN(2)/25)*Calculateur!V109*Calculateur!X109*VLOOKUP('Données projet'!$B$9,Paramètres!$A$1:$I$89,3,0)*0.475*44/12</f>
        <v>26.823678120905811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50.921468147194062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</v>
      </c>
      <c r="AI109" s="13">
        <f>IF('Données projet'!$A$62&gt;35,AI108+AH109-AQ108,IF(A109&lt;'Données projet'!$A$62,$AF$205^A109,IF(A109='Données projet'!$A$62,'Données projet'!$B$62,AI108+AH109-AQ108)))</f>
        <v>321.99999999999943</v>
      </c>
      <c r="AJ109" s="13">
        <f>AI109*VLOOKUP('Données projet'!$B$10,Paramètres!$A$1:$I$89,3,0)*VLOOKUP('Données projet'!$B$10,Paramètres!$A$1:$I$89,5,0)</f>
        <v>326.50799999999947</v>
      </c>
      <c r="AK109" s="13">
        <f t="shared" si="89"/>
        <v>76.705878841344116</v>
      </c>
      <c r="AL109" s="20">
        <f t="shared" si="58"/>
        <v>702.26417231534003</v>
      </c>
      <c r="AM109" s="59">
        <f t="shared" si="59"/>
        <v>981.25598590346908</v>
      </c>
      <c r="AN109" s="59">
        <f ca="1">AVERAGE(OFFSET($AM$3,0,0,'Données projet'!$E$10+1,1))-AVERAGE(OFFSET($H$3,0,0,'Données projet'!$E$10+1,1))</f>
        <v>627.83896530587367</v>
      </c>
      <c r="AO109" s="59">
        <f t="shared" si="90"/>
        <v>323.54927030899489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27.00614399497821</v>
      </c>
      <c r="AV109" s="21">
        <f>EXP(-LN(2)/25)*AV108+(1-EXP(-LN(2)/25))/(LN(2)/25)*Calculateur!AQ109*Calculateur!AS109*VLOOKUP('Données projet'!$B$10,Paramètres!$A$1:$I$89,3,0)*0.475*44/12</f>
        <v>30.061018583773755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57.067162578751962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-2.8421709430404007E-13</v>
      </c>
      <c r="BE109" s="13">
        <f>BD109*VLOOKUP('Données projet'!$B$11,Paramètres!$A$1:$I$89,3,0)*VLOOKUP('Données projet'!$B$11,Paramètres!$A$1:$I$89,5,0)</f>
        <v>-2.7489477361086758E-13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508.3185483454435</v>
      </c>
      <c r="BJ109" s="59">
        <f t="shared" si="92"/>
        <v>487.08233034004945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87.833806386548062</v>
      </c>
      <c r="BQ109" s="21">
        <f>EXP(-LN(2)/25)*BQ108+(1-EXP(-LN(2)/25))/(LN(2)/25)*Calculateur!BL109*Calculateur!BN109*VLOOKUP('Données projet'!$B$11,Paramètres!$A$1:$I$89,3,0)*0.475*44/12</f>
        <v>2.4202013117216055</v>
      </c>
      <c r="BR109" s="21">
        <f>EXP(-LN(2)/2)*BR108+(1-EXP(-LN(2)/2))/(LN(2)/2)*BL109*BO109*VLOOKUP('Données projet'!$B$11,Paramètres!$A$1:$I$89,3,0)*0.475*44/12</f>
        <v>8.5566103266223412E-3</v>
      </c>
      <c r="BS109" s="22">
        <f t="shared" si="63"/>
        <v>90.262564308596296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-2.8421709430404007E-13</v>
      </c>
      <c r="BZ109" s="13">
        <f>BY109*VLOOKUP('Données projet'!$B$12,Paramètres!$A$1:$I$89,3,0)*VLOOKUP('Données projet'!$B$12,Paramètres!$A$1:$I$89,5,0)</f>
        <v>-2.3055690689943731E-13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436.50252985867149</v>
      </c>
      <c r="CE109" s="59">
        <f t="shared" si="94"/>
        <v>419.00806288456329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73.667063420975865</v>
      </c>
      <c r="CL109" s="21">
        <f>EXP(-LN(2)/25)*CL108+(1-EXP(-LN(2)/25))/(LN(2)/25)*Calculateur!CG109*Calculateur!CI109*VLOOKUP('Données projet'!$B$12,Paramètres!$A$1:$I$89,3,0)*0.475*44/12</f>
        <v>2.0298462614439283</v>
      </c>
      <c r="CM109" s="21">
        <f>EXP(-LN(2)/2)*CM108+(1-EXP(-LN(2)/2))/(LN(2)/2)*CG109*CJ109*VLOOKUP('Données projet'!$B$12,Paramètres!$A$1:$I$89,3,0)*0.475*44/12</f>
        <v>7.1765118868445561E-3</v>
      </c>
      <c r="CN109" s="22">
        <f t="shared" si="66"/>
        <v>75.704086194306626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-2.8421709430404007E-13</v>
      </c>
      <c r="CU109" s="17">
        <f>CT109*VLOOKUP('Données projet'!$B$13,Paramètres!$A$1:$I$89,3,0)*VLOOKUP('Données projet'!$B$13,Paramètres!$A$1:$I$89,5,0)</f>
        <v>-2.7489477361086758E-13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508.3185483454435</v>
      </c>
      <c r="CZ109" s="59">
        <f t="shared" si="96"/>
        <v>487.08233034004945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87.833806386548062</v>
      </c>
      <c r="DG109" s="21">
        <f>EXP(-LN(2)/25)*DG108+(1-EXP(-LN(2)/25))/(LN(2)/25)*Calculateur!DB109*Calculateur!DD109*VLOOKUP('Données projet'!$B$13,Paramètres!$A$1:$I$89,3,0)*0.475*44/12</f>
        <v>2.4202013117216055</v>
      </c>
      <c r="DH109" s="21">
        <f>EXP(-LN(2)/2)*DH108+(1-EXP(-LN(2)/2))/(LN(2)/2)*DB109*DE109*VLOOKUP('Données projet'!$B$13,Paramètres!$A$1:$I$89,3,0)*0.475*44/12</f>
        <v>8.5566103266223412E-3</v>
      </c>
      <c r="DI109" s="22">
        <f t="shared" si="69"/>
        <v>90.262564308596296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-2.8421709430404007E-13</v>
      </c>
      <c r="DP109" s="17">
        <f>DO109*VLOOKUP('Données projet'!$B$14,Paramètres!$A$1:$I$89,3,0)*VLOOKUP('Données projet'!$B$14,Paramètres!$A$1:$I$89,5,0)</f>
        <v>-2.7489477361086758E-13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508.3185483454435</v>
      </c>
      <c r="DU109" s="59">
        <f t="shared" si="98"/>
        <v>487.08233034004945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87.833806386548062</v>
      </c>
      <c r="EB109" s="21">
        <f>EXP(-LN(2)/25)*EB108+(1-EXP(-LN(2)/25))/(LN(2)/25)*Calculateur!DW109*Calculateur!DY109*VLOOKUP('Données projet'!$B$14,Paramètres!$A$1:$I$89,3,0)*0.475*44/12</f>
        <v>2.4202013117216055</v>
      </c>
      <c r="EC109" s="21">
        <f>EXP(-LN(2)/2)*EC108+(1-EXP(-LN(2)/2))/(LN(2)/2)*DW109*DZ109*VLOOKUP('Données projet'!$B$14,Paramètres!$A$1:$I$89,3,0)*0.475*44/12</f>
        <v>8.5566103266223412E-3</v>
      </c>
      <c r="ED109" s="22">
        <f t="shared" si="72"/>
        <v>90.262564308596296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</v>
      </c>
      <c r="N110" s="13">
        <f>IF('Données projet'!$A$36&gt;35,N109+M110-V109,IF(A110&lt;'Données projet'!$A$36,$K$205^A110,IF(A110='Données projet'!$A$36,'Données projet'!$B$36,N109+M110-V109)))</f>
        <v>328.99999999999943</v>
      </c>
      <c r="O110" s="13">
        <f>N110*VLOOKUP('Données projet'!$B$9,Paramètres!$A$1:$I$89,3,0)*VLOOKUP('Données projet'!$B$9,Paramètres!$A$1:$I$89,5,0)</f>
        <v>297.67919999999947</v>
      </c>
      <c r="P110" s="13">
        <f t="shared" si="87"/>
        <v>70.689714967168015</v>
      </c>
      <c r="Q110" s="20">
        <f t="shared" si="107"/>
        <v>641.57586023448323</v>
      </c>
      <c r="R110" s="59">
        <f t="shared" si="55"/>
        <v>920.81646712735687</v>
      </c>
      <c r="S110" s="59">
        <f ca="1">AVERAGE(OFFSET($R$3,0,0,'Données projet'!$E$9+1,1))-AVERAGE(OFFSET($H$3,0,0,'Données projet'!$E$9+1,1))</f>
        <v>569.49435820174267</v>
      </c>
      <c r="T110" s="59">
        <f t="shared" si="88"/>
        <v>295.37730858134739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23.625247062073324</v>
      </c>
      <c r="AA110" s="21">
        <f>EXP(-LN(2)/25)*AA109+(1-EXP(-LN(2)/25))/(LN(2)/25)*Calculateur!V110*Calculateur!X110*VLOOKUP('Données projet'!$B$9,Paramètres!$A$1:$I$89,3,0)*0.475*44/12</f>
        <v>26.090183232093715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49.715430294167035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</v>
      </c>
      <c r="AI110" s="13">
        <f>IF('Données projet'!$A$62&gt;35,AI109+AH110-AQ109,IF(A110&lt;'Données projet'!$A$62,$AF$205^A110,IF(A110='Données projet'!$A$62,'Données projet'!$B$62,AI109+AH110-AQ109)))</f>
        <v>328.99999999999943</v>
      </c>
      <c r="AJ110" s="13">
        <f>AI110*VLOOKUP('Données projet'!$B$10,Paramètres!$A$1:$I$89,3,0)*VLOOKUP('Données projet'!$B$10,Paramètres!$A$1:$I$89,5,0)</f>
        <v>333.60599999999943</v>
      </c>
      <c r="AK110" s="13">
        <f t="shared" si="89"/>
        <v>78.177449436211234</v>
      </c>
      <c r="AL110" s="20">
        <f t="shared" si="58"/>
        <v>717.18950776806685</v>
      </c>
      <c r="AM110" s="59">
        <f t="shared" si="59"/>
        <v>996.43011466094049</v>
      </c>
      <c r="AN110" s="59">
        <f ca="1">AVERAGE(OFFSET($AM$3,0,0,'Données projet'!$E$10+1,1))-AVERAGE(OFFSET($H$3,0,0,'Données projet'!$E$10+1,1))</f>
        <v>627.83896530587367</v>
      </c>
      <c r="AO110" s="59">
        <f t="shared" si="90"/>
        <v>323.54927030899489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26.476569983358036</v>
      </c>
      <c r="AV110" s="21">
        <f>EXP(-LN(2)/25)*AV109+(1-EXP(-LN(2)/25))/(LN(2)/25)*Calculateur!AQ110*Calculateur!AS110*VLOOKUP('Données projet'!$B$10,Paramètres!$A$1:$I$89,3,0)*0.475*44/12</f>
        <v>29.238998449760199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55.715568433118236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-2.8421709430404007E-13</v>
      </c>
      <c r="BE110" s="13">
        <f>BD110*VLOOKUP('Données projet'!$B$11,Paramètres!$A$1:$I$89,3,0)*VLOOKUP('Données projet'!$B$11,Paramètres!$A$1:$I$89,5,0)</f>
        <v>-2.7489477361086758E-13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508.3185483454435</v>
      </c>
      <c r="BJ110" s="59">
        <f t="shared" si="92"/>
        <v>487.08233034004945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86.111439016639821</v>
      </c>
      <c r="BQ110" s="21">
        <f>EXP(-LN(2)/25)*BQ109+(1-EXP(-LN(2)/25))/(LN(2)/25)*Calculateur!BL110*Calculateur!BN110*VLOOKUP('Données projet'!$B$11,Paramètres!$A$1:$I$89,3,0)*0.475*44/12</f>
        <v>2.3540207795797228</v>
      </c>
      <c r="BR110" s="21">
        <f>EXP(-LN(2)/2)*BR109+(1-EXP(-LN(2)/2))/(LN(2)/2)*BL110*BO110*VLOOKUP('Données projet'!$B$11,Paramètres!$A$1:$I$89,3,0)*0.475*44/12</f>
        <v>6.0504371859254969E-3</v>
      </c>
      <c r="BS110" s="22">
        <f t="shared" si="63"/>
        <v>88.471510233405468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-2.8421709430404007E-13</v>
      </c>
      <c r="BZ110" s="13">
        <f>BY110*VLOOKUP('Données projet'!$B$12,Paramètres!$A$1:$I$89,3,0)*VLOOKUP('Données projet'!$B$12,Paramètres!$A$1:$I$89,5,0)</f>
        <v>-2.3055690689943731E-13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436.50252985867149</v>
      </c>
      <c r="CE110" s="59">
        <f t="shared" si="94"/>
        <v>419.00806288456329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72.222497239762504</v>
      </c>
      <c r="CL110" s="21">
        <f>EXP(-LN(2)/25)*CL109+(1-EXP(-LN(2)/25))/(LN(2)/25)*Calculateur!CG110*Calculateur!CI110*VLOOKUP('Données projet'!$B$12,Paramètres!$A$1:$I$89,3,0)*0.475*44/12</f>
        <v>1.9743400086797684</v>
      </c>
      <c r="CM110" s="21">
        <f>EXP(-LN(2)/2)*CM109+(1-EXP(-LN(2)/2))/(LN(2)/2)*CG110*CJ110*VLOOKUP('Données projet'!$B$12,Paramètres!$A$1:$I$89,3,0)*0.475*44/12</f>
        <v>5.0745602204536515E-3</v>
      </c>
      <c r="CN110" s="22">
        <f t="shared" si="66"/>
        <v>74.201911808662729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-2.8421709430404007E-13</v>
      </c>
      <c r="CU110" s="17">
        <f>CT110*VLOOKUP('Données projet'!$B$13,Paramètres!$A$1:$I$89,3,0)*VLOOKUP('Données projet'!$B$13,Paramètres!$A$1:$I$89,5,0)</f>
        <v>-2.7489477361086758E-13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508.3185483454435</v>
      </c>
      <c r="CZ110" s="59">
        <f t="shared" si="96"/>
        <v>487.08233034004945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86.111439016639821</v>
      </c>
      <c r="DG110" s="21">
        <f>EXP(-LN(2)/25)*DG109+(1-EXP(-LN(2)/25))/(LN(2)/25)*Calculateur!DB110*Calculateur!DD110*VLOOKUP('Données projet'!$B$13,Paramètres!$A$1:$I$89,3,0)*0.475*44/12</f>
        <v>2.3540207795797228</v>
      </c>
      <c r="DH110" s="21">
        <f>EXP(-LN(2)/2)*DH109+(1-EXP(-LN(2)/2))/(LN(2)/2)*DB110*DE110*VLOOKUP('Données projet'!$B$13,Paramètres!$A$1:$I$89,3,0)*0.475*44/12</f>
        <v>6.0504371859254969E-3</v>
      </c>
      <c r="DI110" s="22">
        <f t="shared" si="69"/>
        <v>88.471510233405468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-2.8421709430404007E-13</v>
      </c>
      <c r="DP110" s="17">
        <f>DO110*VLOOKUP('Données projet'!$B$14,Paramètres!$A$1:$I$89,3,0)*VLOOKUP('Données projet'!$B$14,Paramètres!$A$1:$I$89,5,0)</f>
        <v>-2.7489477361086758E-13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508.3185483454435</v>
      </c>
      <c r="DU110" s="59">
        <f t="shared" si="98"/>
        <v>487.08233034004945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86.111439016639821</v>
      </c>
      <c r="EB110" s="21">
        <f>EXP(-LN(2)/25)*EB109+(1-EXP(-LN(2)/25))/(LN(2)/25)*Calculateur!DW110*Calculateur!DY110*VLOOKUP('Données projet'!$B$14,Paramètres!$A$1:$I$89,3,0)*0.475*44/12</f>
        <v>2.3540207795797228</v>
      </c>
      <c r="EC110" s="21">
        <f>EXP(-LN(2)/2)*EC109+(1-EXP(-LN(2)/2))/(LN(2)/2)*DW110*DZ110*VLOOKUP('Données projet'!$B$14,Paramètres!$A$1:$I$89,3,0)*0.475*44/12</f>
        <v>6.0504371859254969E-3</v>
      </c>
      <c r="ED110" s="22">
        <f t="shared" si="72"/>
        <v>88.471510233405468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</v>
      </c>
      <c r="N111" s="13">
        <f>IF('Données projet'!$A$36&gt;35,N110+M111-V110,IF(A111&lt;'Données projet'!$A$36,$K$205^A111,IF(A111='Données projet'!$A$36,'Données projet'!$B$36,N110+M111-V110)))</f>
        <v>335.99999999999943</v>
      </c>
      <c r="O111" s="13">
        <f>N111*VLOOKUP('Données projet'!$B$9,Paramètres!$A$1:$I$89,3,0)*VLOOKUP('Données projet'!$B$9,Paramètres!$A$1:$I$89,5,0)</f>
        <v>304.01279999999946</v>
      </c>
      <c r="P111" s="13">
        <f t="shared" si="87"/>
        <v>72.017048837085696</v>
      </c>
      <c r="Q111" s="20">
        <f t="shared" si="107"/>
        <v>654.91865339125661</v>
      </c>
      <c r="R111" s="59">
        <f t="shared" si="55"/>
        <v>934.40373758125588</v>
      </c>
      <c r="S111" s="59">
        <f ca="1">AVERAGE(OFFSET($R$3,0,0,'Données projet'!$E$9+1,1))-AVERAGE(OFFSET($H$3,0,0,'Données projet'!$E$9+1,1))</f>
        <v>569.49435820174267</v>
      </c>
      <c r="T111" s="59">
        <f t="shared" si="88"/>
        <v>295.37730858134739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23.161970377163907</v>
      </c>
      <c r="AA111" s="21">
        <f>EXP(-LN(2)/25)*AA110+(1-EXP(-LN(2)/25))/(LN(2)/25)*Calculateur!V111*Calculateur!X111*VLOOKUP('Données projet'!$B$9,Paramètres!$A$1:$I$89,3,0)*0.475*44/12</f>
        <v>25.376745799589006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48.538716176752914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</v>
      </c>
      <c r="AI111" s="13">
        <f>IF('Données projet'!$A$62&gt;35,AI110+AH111-AQ110,IF(A111&lt;'Données projet'!$A$62,$AF$205^A111,IF(A111='Données projet'!$A$62,'Données projet'!$B$62,AI110+AH111-AQ110)))</f>
        <v>335.99999999999943</v>
      </c>
      <c r="AJ111" s="13">
        <f>AI111*VLOOKUP('Données projet'!$B$10,Paramètres!$A$1:$I$89,3,0)*VLOOKUP('Données projet'!$B$10,Paramètres!$A$1:$I$89,5,0)</f>
        <v>340.70399999999944</v>
      </c>
      <c r="AK111" s="13">
        <f t="shared" si="89"/>
        <v>79.64537976452938</v>
      </c>
      <c r="AL111" s="20">
        <f t="shared" si="58"/>
        <v>732.10850308988756</v>
      </c>
      <c r="AM111" s="59">
        <f t="shared" si="59"/>
        <v>1011.5935872798868</v>
      </c>
      <c r="AN111" s="59">
        <f ca="1">AVERAGE(OFFSET($AM$3,0,0,'Données projet'!$E$10+1,1))-AVERAGE(OFFSET($H$3,0,0,'Données projet'!$E$10+1,1))</f>
        <v>627.83896530587367</v>
      </c>
      <c r="AO111" s="59">
        <f t="shared" si="90"/>
        <v>323.54927030899489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25.957380595097483</v>
      </c>
      <c r="AV111" s="21">
        <f>EXP(-LN(2)/25)*AV110+(1-EXP(-LN(2)/25))/(LN(2)/25)*Calculateur!AQ111*Calculateur!AS111*VLOOKUP('Données projet'!$B$10,Paramètres!$A$1:$I$89,3,0)*0.475*44/12</f>
        <v>28.439456499539403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54.396837094636886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-2.8421709430404007E-13</v>
      </c>
      <c r="BE111" s="13">
        <f>BD111*VLOOKUP('Données projet'!$B$11,Paramètres!$A$1:$I$89,3,0)*VLOOKUP('Données projet'!$B$11,Paramètres!$A$1:$I$89,5,0)</f>
        <v>-2.7489477361086758E-13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508.3185483454435</v>
      </c>
      <c r="BJ111" s="59">
        <f t="shared" si="92"/>
        <v>487.08233034004945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84.422846220315122</v>
      </c>
      <c r="BQ111" s="21">
        <f>EXP(-LN(2)/25)*BQ110+(1-EXP(-LN(2)/25))/(LN(2)/25)*Calculateur!BL111*Calculateur!BN111*VLOOKUP('Données projet'!$B$11,Paramètres!$A$1:$I$89,3,0)*0.475*44/12</f>
        <v>2.2896499575695426</v>
      </c>
      <c r="BR111" s="21">
        <f>EXP(-LN(2)/2)*BR110+(1-EXP(-LN(2)/2))/(LN(2)/2)*BL111*BO111*VLOOKUP('Données projet'!$B$11,Paramètres!$A$1:$I$89,3,0)*0.475*44/12</f>
        <v>4.2783051633111706E-3</v>
      </c>
      <c r="BS111" s="22">
        <f t="shared" si="63"/>
        <v>86.716774483047971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-2.8421709430404007E-13</v>
      </c>
      <c r="BZ111" s="13">
        <f>BY111*VLOOKUP('Données projet'!$B$12,Paramètres!$A$1:$I$89,3,0)*VLOOKUP('Données projet'!$B$12,Paramètres!$A$1:$I$89,5,0)</f>
        <v>-2.3055690689943731E-13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436.50252985867149</v>
      </c>
      <c r="CE111" s="59">
        <f t="shared" si="94"/>
        <v>419.00806288456329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70.80625812026436</v>
      </c>
      <c r="CL111" s="21">
        <f>EXP(-LN(2)/25)*CL110+(1-EXP(-LN(2)/25))/(LN(2)/25)*Calculateur!CG111*Calculateur!CI111*VLOOKUP('Données projet'!$B$12,Paramètres!$A$1:$I$89,3,0)*0.475*44/12</f>
        <v>1.9203515773163915</v>
      </c>
      <c r="CM111" s="21">
        <f>EXP(-LN(2)/2)*CM110+(1-EXP(-LN(2)/2))/(LN(2)/2)*CG111*CJ111*VLOOKUP('Données projet'!$B$12,Paramètres!$A$1:$I$89,3,0)*0.475*44/12</f>
        <v>3.5882559434222789E-3</v>
      </c>
      <c r="CN111" s="22">
        <f t="shared" si="66"/>
        <v>72.730197953524183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-2.8421709430404007E-13</v>
      </c>
      <c r="CU111" s="17">
        <f>CT111*VLOOKUP('Données projet'!$B$13,Paramètres!$A$1:$I$89,3,0)*VLOOKUP('Données projet'!$B$13,Paramètres!$A$1:$I$89,5,0)</f>
        <v>-2.7489477361086758E-13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508.3185483454435</v>
      </c>
      <c r="CZ111" s="59">
        <f t="shared" si="96"/>
        <v>487.08233034004945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84.422846220315122</v>
      </c>
      <c r="DG111" s="21">
        <f>EXP(-LN(2)/25)*DG110+(1-EXP(-LN(2)/25))/(LN(2)/25)*Calculateur!DB111*Calculateur!DD111*VLOOKUP('Données projet'!$B$13,Paramètres!$A$1:$I$89,3,0)*0.475*44/12</f>
        <v>2.2896499575695426</v>
      </c>
      <c r="DH111" s="21">
        <f>EXP(-LN(2)/2)*DH110+(1-EXP(-LN(2)/2))/(LN(2)/2)*DB111*DE111*VLOOKUP('Données projet'!$B$13,Paramètres!$A$1:$I$89,3,0)*0.475*44/12</f>
        <v>4.2783051633111706E-3</v>
      </c>
      <c r="DI111" s="22">
        <f t="shared" si="69"/>
        <v>86.716774483047971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-2.8421709430404007E-13</v>
      </c>
      <c r="DP111" s="17">
        <f>DO111*VLOOKUP('Données projet'!$B$14,Paramètres!$A$1:$I$89,3,0)*VLOOKUP('Données projet'!$B$14,Paramètres!$A$1:$I$89,5,0)</f>
        <v>-2.7489477361086758E-13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508.3185483454435</v>
      </c>
      <c r="DU111" s="59">
        <f t="shared" si="98"/>
        <v>487.08233034004945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84.422846220315122</v>
      </c>
      <c r="EB111" s="21">
        <f>EXP(-LN(2)/25)*EB110+(1-EXP(-LN(2)/25))/(LN(2)/25)*Calculateur!DW111*Calculateur!DY111*VLOOKUP('Données projet'!$B$14,Paramètres!$A$1:$I$89,3,0)*0.475*44/12</f>
        <v>2.2896499575695426</v>
      </c>
      <c r="EC111" s="21">
        <f>EXP(-LN(2)/2)*EC110+(1-EXP(-LN(2)/2))/(LN(2)/2)*DW111*DZ111*VLOOKUP('Données projet'!$B$14,Paramètres!$A$1:$I$89,3,0)*0.475*44/12</f>
        <v>4.2783051633111706E-3</v>
      </c>
      <c r="ED111" s="22">
        <f t="shared" si="72"/>
        <v>86.716774483047971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</v>
      </c>
      <c r="N112" s="13">
        <f>IF('Données projet'!$A$36&gt;35,N111+M112-V111,IF(A112&lt;'Données projet'!$A$36,$K$205^A112,IF(A112='Données projet'!$A$36,'Données projet'!$B$36,N111+M112-V111)))</f>
        <v>342.99999999999943</v>
      </c>
      <c r="O112" s="13">
        <f>N112*VLOOKUP('Données projet'!$B$9,Paramètres!$A$1:$I$89,3,0)*VLOOKUP('Données projet'!$B$9,Paramètres!$A$1:$I$89,5,0)</f>
        <v>310.34639999999945</v>
      </c>
      <c r="P112" s="13">
        <f t="shared" si="87"/>
        <v>73.341167576152927</v>
      </c>
      <c r="Q112" s="20">
        <f t="shared" si="107"/>
        <v>668.25584686179866</v>
      </c>
      <c r="R112" s="59">
        <f t="shared" si="55"/>
        <v>947.98116721438794</v>
      </c>
      <c r="S112" s="59">
        <f ca="1">AVERAGE(OFFSET($R$3,0,0,'Données projet'!$E$9+1,1))-AVERAGE(OFFSET($H$3,0,0,'Données projet'!$E$9+1,1))</f>
        <v>569.49435820174267</v>
      </c>
      <c r="T112" s="59">
        <f t="shared" si="88"/>
        <v>295.37730858134739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22.707778265474687</v>
      </c>
      <c r="AA112" s="21">
        <f>EXP(-LN(2)/25)*AA111+(1-EXP(-LN(2)/25))/(LN(2)/25)*Calculateur!V112*Calculateur!X112*VLOOKUP('Données projet'!$B$9,Paramètres!$A$1:$I$89,3,0)*0.475*44/12</f>
        <v>24.682817351194181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47.390595616668868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</v>
      </c>
      <c r="AI112" s="13">
        <f>IF('Données projet'!$A$62&gt;35,AI111+AH112-AQ111,IF(A112&lt;'Données projet'!$A$62,$AF$205^A112,IF(A112='Données projet'!$A$62,'Données projet'!$B$62,AI111+AH112-AQ111)))</f>
        <v>342.99999999999943</v>
      </c>
      <c r="AJ112" s="13">
        <f>AI112*VLOOKUP('Données projet'!$B$10,Paramètres!$A$1:$I$89,3,0)*VLOOKUP('Données projet'!$B$10,Paramètres!$A$1:$I$89,5,0)</f>
        <v>347.80199999999945</v>
      </c>
      <c r="AK112" s="13">
        <f t="shared" si="89"/>
        <v>81.109754402608502</v>
      </c>
      <c r="AL112" s="20">
        <f t="shared" si="58"/>
        <v>747.02130558454212</v>
      </c>
      <c r="AM112" s="59">
        <f t="shared" si="59"/>
        <v>1026.7466259371313</v>
      </c>
      <c r="AN112" s="59">
        <f ca="1">AVERAGE(OFFSET($AM$3,0,0,'Données projet'!$E$10+1,1))-AVERAGE(OFFSET($H$3,0,0,'Données projet'!$E$10+1,1))</f>
        <v>627.83896530587367</v>
      </c>
      <c r="AO112" s="59">
        <f t="shared" si="90"/>
        <v>323.54927030899489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25.448372194066462</v>
      </c>
      <c r="AV112" s="21">
        <f>EXP(-LN(2)/25)*AV111+(1-EXP(-LN(2)/25))/(LN(2)/25)*Calculateur!AQ112*Calculateur!AS112*VLOOKUP('Données projet'!$B$10,Paramètres!$A$1:$I$89,3,0)*0.475*44/12</f>
        <v>27.661778065993481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53.110150260059939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-2.8421709430404007E-13</v>
      </c>
      <c r="BE112" s="13">
        <f>BD112*VLOOKUP('Données projet'!$B$11,Paramètres!$A$1:$I$89,3,0)*VLOOKUP('Données projet'!$B$11,Paramètres!$A$1:$I$89,5,0)</f>
        <v>-2.7489477361086758E-13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508.3185483454435</v>
      </c>
      <c r="BJ112" s="59">
        <f t="shared" si="92"/>
        <v>487.08233034004945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82.767365698786435</v>
      </c>
      <c r="BQ112" s="21">
        <f>EXP(-LN(2)/25)*BQ111+(1-EXP(-LN(2)/25))/(LN(2)/25)*Calculateur!BL112*Calculateur!BN112*VLOOKUP('Données projet'!$B$11,Paramètres!$A$1:$I$89,3,0)*0.475*44/12</f>
        <v>2.2270393590723452</v>
      </c>
      <c r="BR112" s="21">
        <f>EXP(-LN(2)/2)*BR111+(1-EXP(-LN(2)/2))/(LN(2)/2)*BL112*BO112*VLOOKUP('Données projet'!$B$11,Paramètres!$A$1:$I$89,3,0)*0.475*44/12</f>
        <v>3.0252185929627484E-3</v>
      </c>
      <c r="BS112" s="22">
        <f t="shared" si="63"/>
        <v>84.997430276451752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-2.8421709430404007E-13</v>
      </c>
      <c r="BZ112" s="13">
        <f>BY112*VLOOKUP('Données projet'!$B$12,Paramètres!$A$1:$I$89,3,0)*VLOOKUP('Données projet'!$B$12,Paramètres!$A$1:$I$89,5,0)</f>
        <v>-2.3055690689943731E-13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436.50252985867149</v>
      </c>
      <c r="CE112" s="59">
        <f t="shared" si="94"/>
        <v>419.00806288456329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69.417790586079008</v>
      </c>
      <c r="CL112" s="21">
        <f>EXP(-LN(2)/25)*CL111+(1-EXP(-LN(2)/25))/(LN(2)/25)*Calculateur!CG112*Calculateur!CI112*VLOOKUP('Données projet'!$B$12,Paramètres!$A$1:$I$89,3,0)*0.475*44/12</f>
        <v>1.8678394624477743</v>
      </c>
      <c r="CM112" s="21">
        <f>EXP(-LN(2)/2)*CM111+(1-EXP(-LN(2)/2))/(LN(2)/2)*CG112*CJ112*VLOOKUP('Données projet'!$B$12,Paramètres!$A$1:$I$89,3,0)*0.475*44/12</f>
        <v>2.5372801102268262E-3</v>
      </c>
      <c r="CN112" s="22">
        <f t="shared" si="66"/>
        <v>71.288167328637016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-2.8421709430404007E-13</v>
      </c>
      <c r="CU112" s="17">
        <f>CT112*VLOOKUP('Données projet'!$B$13,Paramètres!$A$1:$I$89,3,0)*VLOOKUP('Données projet'!$B$13,Paramètres!$A$1:$I$89,5,0)</f>
        <v>-2.7489477361086758E-13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508.3185483454435</v>
      </c>
      <c r="CZ112" s="59">
        <f t="shared" si="96"/>
        <v>487.08233034004945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82.767365698786435</v>
      </c>
      <c r="DG112" s="21">
        <f>EXP(-LN(2)/25)*DG111+(1-EXP(-LN(2)/25))/(LN(2)/25)*Calculateur!DB112*Calculateur!DD112*VLOOKUP('Données projet'!$B$13,Paramètres!$A$1:$I$89,3,0)*0.475*44/12</f>
        <v>2.2270393590723452</v>
      </c>
      <c r="DH112" s="21">
        <f>EXP(-LN(2)/2)*DH111+(1-EXP(-LN(2)/2))/(LN(2)/2)*DB112*DE112*VLOOKUP('Données projet'!$B$13,Paramètres!$A$1:$I$89,3,0)*0.475*44/12</f>
        <v>3.0252185929627484E-3</v>
      </c>
      <c r="DI112" s="22">
        <f t="shared" si="69"/>
        <v>84.997430276451752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-2.8421709430404007E-13</v>
      </c>
      <c r="DP112" s="17">
        <f>DO112*VLOOKUP('Données projet'!$B$14,Paramètres!$A$1:$I$89,3,0)*VLOOKUP('Données projet'!$B$14,Paramètres!$A$1:$I$89,5,0)</f>
        <v>-2.7489477361086758E-13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508.3185483454435</v>
      </c>
      <c r="DU112" s="59">
        <f t="shared" si="98"/>
        <v>487.08233034004945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82.767365698786435</v>
      </c>
      <c r="EB112" s="21">
        <f>EXP(-LN(2)/25)*EB111+(1-EXP(-LN(2)/25))/(LN(2)/25)*Calculateur!DW112*Calculateur!DY112*VLOOKUP('Données projet'!$B$14,Paramètres!$A$1:$I$89,3,0)*0.475*44/12</f>
        <v>2.2270393590723452</v>
      </c>
      <c r="EC112" s="21">
        <f>EXP(-LN(2)/2)*EC111+(1-EXP(-LN(2)/2))/(LN(2)/2)*DW112*DZ112*VLOOKUP('Données projet'!$B$14,Paramètres!$A$1:$I$89,3,0)*0.475*44/12</f>
        <v>3.0252185929627484E-3</v>
      </c>
      <c r="ED112" s="22">
        <f t="shared" si="72"/>
        <v>84.997430276451752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</v>
      </c>
      <c r="N113" s="13">
        <f>IF('Données projet'!$A$36&gt;35,N112+M113-V112,IF(A113&lt;'Données projet'!$A$36,$K$205^A113,IF(A113='Données projet'!$A$36,'Données projet'!$B$36,N112+M113-V112)))</f>
        <v>349.99999999999943</v>
      </c>
      <c r="O113" s="13">
        <f>N113*VLOOKUP('Données projet'!$B$9,Paramètres!$A$1:$I$89,3,0)*VLOOKUP('Données projet'!$B$9,Paramètres!$A$1:$I$89,5,0)</f>
        <v>316.6799999999995</v>
      </c>
      <c r="P113" s="13">
        <f t="shared" si="87"/>
        <v>74.662144360177635</v>
      </c>
      <c r="Q113" s="20">
        <f t="shared" si="107"/>
        <v>681.58756809397516</v>
      </c>
      <c r="R113" s="59">
        <f t="shared" si="55"/>
        <v>961.54895704882097</v>
      </c>
      <c r="S113" s="59">
        <f ca="1">AVERAGE(OFFSET($R$3,0,0,'Données projet'!$E$9+1,1))-AVERAGE(OFFSET($H$3,0,0,'Données projet'!$E$9+1,1))</f>
        <v>569.49435820174267</v>
      </c>
      <c r="T113" s="59">
        <f t="shared" si="88"/>
        <v>295.37730858134739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22.262492584065861</v>
      </c>
      <c r="AA113" s="21">
        <f>EXP(-LN(2)/25)*AA112+(1-EXP(-LN(2)/25))/(LN(2)/25)*Calculateur!V113*Calculateur!X113*VLOOKUP('Données projet'!$B$9,Paramètres!$A$1:$I$89,3,0)*0.475*44/12</f>
        <v>24.007864412712824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46.270356996778688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</v>
      </c>
      <c r="AI113" s="13">
        <f>IF('Données projet'!$A$62&gt;35,AI112+AH113-AQ112,IF(A113&lt;'Données projet'!$A$62,$AF$205^A113,IF(A113='Données projet'!$A$62,'Données projet'!$B$62,AI112+AH113-AQ112)))</f>
        <v>349.99999999999943</v>
      </c>
      <c r="AJ113" s="13">
        <f>AI113*VLOOKUP('Données projet'!$B$10,Paramètres!$A$1:$I$89,3,0)*VLOOKUP('Données projet'!$B$10,Paramètres!$A$1:$I$89,5,0)</f>
        <v>354.89999999999941</v>
      </c>
      <c r="AK113" s="13">
        <f t="shared" si="89"/>
        <v>82.570654277328046</v>
      </c>
      <c r="AL113" s="20">
        <f t="shared" si="58"/>
        <v>761.92805619967874</v>
      </c>
      <c r="AM113" s="59">
        <f t="shared" si="59"/>
        <v>1041.8894451545245</v>
      </c>
      <c r="AN113" s="59">
        <f ca="1">AVERAGE(OFFSET($AM$3,0,0,'Données projet'!$E$10+1,1))-AVERAGE(OFFSET($H$3,0,0,'Données projet'!$E$10+1,1))</f>
        <v>627.83896530587367</v>
      </c>
      <c r="AO113" s="59">
        <f t="shared" si="90"/>
        <v>323.54927030899489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24.949345137315188</v>
      </c>
      <c r="AV113" s="21">
        <f>EXP(-LN(2)/25)*AV112+(1-EXP(-LN(2)/25))/(LN(2)/25)*Calculateur!AQ113*Calculateur!AS113*VLOOKUP('Données projet'!$B$10,Paramètres!$A$1:$I$89,3,0)*0.475*44/12</f>
        <v>26.905365290109202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51.854710427424394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-2.8421709430404007E-13</v>
      </c>
      <c r="BE113" s="13">
        <f>BD113*VLOOKUP('Données projet'!$B$11,Paramètres!$A$1:$I$89,3,0)*VLOOKUP('Données projet'!$B$11,Paramètres!$A$1:$I$89,5,0)</f>
        <v>-2.7489477361086758E-13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508.3185483454435</v>
      </c>
      <c r="BJ113" s="59">
        <f t="shared" si="92"/>
        <v>487.08233034004945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81.14434814054151</v>
      </c>
      <c r="BQ113" s="21">
        <f>EXP(-LN(2)/25)*BQ112+(1-EXP(-LN(2)/25))/(LN(2)/25)*Calculateur!BL113*Calculateur!BN113*VLOOKUP('Données projet'!$B$11,Paramètres!$A$1:$I$89,3,0)*0.475*44/12</f>
        <v>2.1661408506836022</v>
      </c>
      <c r="BR113" s="21">
        <f>EXP(-LN(2)/2)*BR112+(1-EXP(-LN(2)/2))/(LN(2)/2)*BL113*BO113*VLOOKUP('Données projet'!$B$11,Paramètres!$A$1:$I$89,3,0)*0.475*44/12</f>
        <v>2.1391525816555853E-3</v>
      </c>
      <c r="BS113" s="22">
        <f t="shared" si="63"/>
        <v>83.312628143806776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-2.8421709430404007E-13</v>
      </c>
      <c r="BZ113" s="13">
        <f>BY113*VLOOKUP('Données projet'!$B$12,Paramètres!$A$1:$I$89,3,0)*VLOOKUP('Données projet'!$B$12,Paramètres!$A$1:$I$89,5,0)</f>
        <v>-2.3055690689943731E-13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436.50252985867149</v>
      </c>
      <c r="CE113" s="59">
        <f t="shared" si="94"/>
        <v>419.00806288456329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68.056550053357455</v>
      </c>
      <c r="CL113" s="21">
        <f>EXP(-LN(2)/25)*CL112+(1-EXP(-LN(2)/25))/(LN(2)/25)*Calculateur!CG113*Calculateur!CI113*VLOOKUP('Données projet'!$B$12,Paramètres!$A$1:$I$89,3,0)*0.475*44/12</f>
        <v>1.8167632941217315</v>
      </c>
      <c r="CM113" s="21">
        <f>EXP(-LN(2)/2)*CM112+(1-EXP(-LN(2)/2))/(LN(2)/2)*CG113*CJ113*VLOOKUP('Données projet'!$B$12,Paramètres!$A$1:$I$89,3,0)*0.475*44/12</f>
        <v>1.7941279717111397E-3</v>
      </c>
      <c r="CN113" s="22">
        <f t="shared" si="66"/>
        <v>69.875107475450889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-2.8421709430404007E-13</v>
      </c>
      <c r="CU113" s="17">
        <f>CT113*VLOOKUP('Données projet'!$B$13,Paramètres!$A$1:$I$89,3,0)*VLOOKUP('Données projet'!$B$13,Paramètres!$A$1:$I$89,5,0)</f>
        <v>-2.7489477361086758E-13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508.3185483454435</v>
      </c>
      <c r="CZ113" s="59">
        <f t="shared" si="96"/>
        <v>487.08233034004945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81.14434814054151</v>
      </c>
      <c r="DG113" s="21">
        <f>EXP(-LN(2)/25)*DG112+(1-EXP(-LN(2)/25))/(LN(2)/25)*Calculateur!DB113*Calculateur!DD113*VLOOKUP('Données projet'!$B$13,Paramètres!$A$1:$I$89,3,0)*0.475*44/12</f>
        <v>2.1661408506836022</v>
      </c>
      <c r="DH113" s="21">
        <f>EXP(-LN(2)/2)*DH112+(1-EXP(-LN(2)/2))/(LN(2)/2)*DB113*DE113*VLOOKUP('Données projet'!$B$13,Paramètres!$A$1:$I$89,3,0)*0.475*44/12</f>
        <v>2.1391525816555853E-3</v>
      </c>
      <c r="DI113" s="22">
        <f t="shared" si="69"/>
        <v>83.312628143806776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-2.8421709430404007E-13</v>
      </c>
      <c r="DP113" s="17">
        <f>DO113*VLOOKUP('Données projet'!$B$14,Paramètres!$A$1:$I$89,3,0)*VLOOKUP('Données projet'!$B$14,Paramètres!$A$1:$I$89,5,0)</f>
        <v>-2.7489477361086758E-13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508.3185483454435</v>
      </c>
      <c r="DU113" s="59">
        <f t="shared" si="98"/>
        <v>487.08233034004945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81.14434814054151</v>
      </c>
      <c r="EB113" s="21">
        <f>EXP(-LN(2)/25)*EB112+(1-EXP(-LN(2)/25))/(LN(2)/25)*Calculateur!DW113*Calculateur!DY113*VLOOKUP('Données projet'!$B$14,Paramètres!$A$1:$I$89,3,0)*0.475*44/12</f>
        <v>2.1661408506836022</v>
      </c>
      <c r="EC113" s="21">
        <f>EXP(-LN(2)/2)*EC112+(1-EXP(-LN(2)/2))/(LN(2)/2)*DW113*DZ113*VLOOKUP('Données projet'!$B$14,Paramètres!$A$1:$I$89,3,0)*0.475*44/12</f>
        <v>2.1391525816555853E-3</v>
      </c>
      <c r="ED113" s="22">
        <f t="shared" si="72"/>
        <v>83.312628143806776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</v>
      </c>
      <c r="N114" s="13">
        <f>IF('Données projet'!$A$36&gt;35,N113+M114-V113,IF(A114&lt;'Données projet'!$A$36,$K$205^A114,IF(A114='Données projet'!$A$36,'Données projet'!$B$36,N113+M114-V113)))</f>
        <v>356.99999999999943</v>
      </c>
      <c r="O114" s="13">
        <f>N114*VLOOKUP('Données projet'!$B$9,Paramètres!$A$1:$I$89,3,0)*VLOOKUP('Données projet'!$B$9,Paramètres!$A$1:$I$89,5,0)</f>
        <v>323.01359999999949</v>
      </c>
      <c r="P114" s="13">
        <f t="shared" si="87"/>
        <v>75.980049270566028</v>
      </c>
      <c r="Q114" s="20">
        <f t="shared" si="107"/>
        <v>694.91393914623495</v>
      </c>
      <c r="R114" s="59">
        <f t="shared" si="55"/>
        <v>975.10730144085846</v>
      </c>
      <c r="S114" s="59">
        <f ca="1">AVERAGE(OFFSET($R$3,0,0,'Données projet'!$E$9+1,1))-AVERAGE(OFFSET($H$3,0,0,'Données projet'!$E$9+1,1))</f>
        <v>569.49435820174267</v>
      </c>
      <c r="T114" s="59">
        <f t="shared" si="88"/>
        <v>295.37730858134739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21.82593868327201</v>
      </c>
      <c r="AA114" s="21">
        <f>EXP(-LN(2)/25)*AA113+(1-EXP(-LN(2)/25))/(LN(2)/25)*Calculateur!V114*Calculateur!X114*VLOOKUP('Données projet'!$B$9,Paramètres!$A$1:$I$89,3,0)*0.475*44/12</f>
        <v>23.351368097828473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45.177306781100484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</v>
      </c>
      <c r="AI114" s="13">
        <f>IF('Données projet'!$A$62&gt;35,AI113+AH114-AQ113,IF(A114&lt;'Données projet'!$A$62,$AF$205^A114,IF(A114='Données projet'!$A$62,'Données projet'!$B$62,AI113+AH114-AQ113)))</f>
        <v>356.99999999999943</v>
      </c>
      <c r="AJ114" s="13">
        <f>AI114*VLOOKUP('Données projet'!$B$10,Paramètres!$A$1:$I$89,3,0)*VLOOKUP('Données projet'!$B$10,Paramètres!$A$1:$I$89,5,0)</f>
        <v>361.99799999999948</v>
      </c>
      <c r="AK114" s="13">
        <f t="shared" si="89"/>
        <v>84.028156893394268</v>
      </c>
      <c r="AL114" s="20">
        <f t="shared" si="58"/>
        <v>776.82888992266089</v>
      </c>
      <c r="AM114" s="59">
        <f t="shared" si="59"/>
        <v>1057.0222522172844</v>
      </c>
      <c r="AN114" s="59">
        <f ca="1">AVERAGE(OFFSET($AM$3,0,0,'Données projet'!$E$10+1,1))-AVERAGE(OFFSET($H$3,0,0,'Données projet'!$E$10+1,1))</f>
        <v>627.83896530587367</v>
      </c>
      <c r="AO114" s="59">
        <f t="shared" si="90"/>
        <v>323.54927030899489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24.460103696770357</v>
      </c>
      <c r="AV114" s="21">
        <f>EXP(-LN(2)/25)*AV113+(1-EXP(-LN(2)/25))/(LN(2)/25)*Calculateur!AQ114*Calculateur!AS114*VLOOKUP('Données projet'!$B$10,Paramètres!$A$1:$I$89,3,0)*0.475*44/12</f>
        <v>26.169636661359498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50.629740358129851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-2.8421709430404007E-13</v>
      </c>
      <c r="BE114" s="13">
        <f>BD114*VLOOKUP('Données projet'!$B$11,Paramètres!$A$1:$I$89,3,0)*VLOOKUP('Données projet'!$B$11,Paramètres!$A$1:$I$89,5,0)</f>
        <v>-2.7489477361086758E-13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508.3185483454435</v>
      </c>
      <c r="BJ114" s="59">
        <f t="shared" si="92"/>
        <v>487.08233034004945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79.553156966670812</v>
      </c>
      <c r="BQ114" s="21">
        <f>EXP(-LN(2)/25)*BQ113+(1-EXP(-LN(2)/25))/(LN(2)/25)*Calculateur!BL114*Calculateur!BN114*VLOOKUP('Données projet'!$B$11,Paramètres!$A$1:$I$89,3,0)*0.475*44/12</f>
        <v>2.1069076152092627</v>
      </c>
      <c r="BR114" s="21">
        <f>EXP(-LN(2)/2)*BR113+(1-EXP(-LN(2)/2))/(LN(2)/2)*BL114*BO114*VLOOKUP('Données projet'!$B$11,Paramètres!$A$1:$I$89,3,0)*0.475*44/12</f>
        <v>1.5126092964813742E-3</v>
      </c>
      <c r="BS114" s="22">
        <f t="shared" si="63"/>
        <v>81.661577191176562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-2.8421709430404007E-13</v>
      </c>
      <c r="BZ114" s="13">
        <f>BY114*VLOOKUP('Données projet'!$B$12,Paramètres!$A$1:$I$89,3,0)*VLOOKUP('Données projet'!$B$12,Paramètres!$A$1:$I$89,5,0)</f>
        <v>-2.3055690689943731E-13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436.50252985867149</v>
      </c>
      <c r="CE114" s="59">
        <f t="shared" si="94"/>
        <v>419.00806288456329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66.722002617207835</v>
      </c>
      <c r="CL114" s="21">
        <f>EXP(-LN(2)/25)*CL113+(1-EXP(-LN(2)/25))/(LN(2)/25)*Calculateur!CG114*Calculateur!CI114*VLOOKUP('Données projet'!$B$12,Paramètres!$A$1:$I$89,3,0)*0.475*44/12</f>
        <v>1.7670838063045433</v>
      </c>
      <c r="CM114" s="21">
        <f>EXP(-LN(2)/2)*CM113+(1-EXP(-LN(2)/2))/(LN(2)/2)*CG114*CJ114*VLOOKUP('Données projet'!$B$12,Paramètres!$A$1:$I$89,3,0)*0.475*44/12</f>
        <v>1.2686400551134133E-3</v>
      </c>
      <c r="CN114" s="22">
        <f t="shared" si="66"/>
        <v>68.490355063567492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-2.8421709430404007E-13</v>
      </c>
      <c r="CU114" s="17">
        <f>CT114*VLOOKUP('Données projet'!$B$13,Paramètres!$A$1:$I$89,3,0)*VLOOKUP('Données projet'!$B$13,Paramètres!$A$1:$I$89,5,0)</f>
        <v>-2.7489477361086758E-13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508.3185483454435</v>
      </c>
      <c r="CZ114" s="59">
        <f t="shared" si="96"/>
        <v>487.08233034004945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79.553156966670812</v>
      </c>
      <c r="DG114" s="21">
        <f>EXP(-LN(2)/25)*DG113+(1-EXP(-LN(2)/25))/(LN(2)/25)*Calculateur!DB114*Calculateur!DD114*VLOOKUP('Données projet'!$B$13,Paramètres!$A$1:$I$89,3,0)*0.475*44/12</f>
        <v>2.1069076152092627</v>
      </c>
      <c r="DH114" s="21">
        <f>EXP(-LN(2)/2)*DH113+(1-EXP(-LN(2)/2))/(LN(2)/2)*DB114*DE114*VLOOKUP('Données projet'!$B$13,Paramètres!$A$1:$I$89,3,0)*0.475*44/12</f>
        <v>1.5126092964813742E-3</v>
      </c>
      <c r="DI114" s="22">
        <f t="shared" si="69"/>
        <v>81.661577191176562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-2.8421709430404007E-13</v>
      </c>
      <c r="DP114" s="17">
        <f>DO114*VLOOKUP('Données projet'!$B$14,Paramètres!$A$1:$I$89,3,0)*VLOOKUP('Données projet'!$B$14,Paramètres!$A$1:$I$89,5,0)</f>
        <v>-2.7489477361086758E-13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508.3185483454435</v>
      </c>
      <c r="DU114" s="59">
        <f t="shared" si="98"/>
        <v>487.08233034004945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79.553156966670812</v>
      </c>
      <c r="EB114" s="21">
        <f>EXP(-LN(2)/25)*EB113+(1-EXP(-LN(2)/25))/(LN(2)/25)*Calculateur!DW114*Calculateur!DY114*VLOOKUP('Données projet'!$B$14,Paramètres!$A$1:$I$89,3,0)*0.475*44/12</f>
        <v>2.1069076152092627</v>
      </c>
      <c r="EC114" s="21">
        <f>EXP(-LN(2)/2)*EC113+(1-EXP(-LN(2)/2))/(LN(2)/2)*DW114*DZ114*VLOOKUP('Données projet'!$B$14,Paramètres!$A$1:$I$89,3,0)*0.475*44/12</f>
        <v>1.5126092964813742E-3</v>
      </c>
      <c r="ED114" s="22">
        <f t="shared" si="72"/>
        <v>81.661577191176562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</v>
      </c>
      <c r="N115" s="13">
        <f>IF('Données projet'!$A$36&gt;35,N114+M115-V114,IF(A115&lt;'Données projet'!$A$36,$K$205^A115,IF(A115='Données projet'!$A$36,'Données projet'!$B$36,N114+M115-V114)))</f>
        <v>363.99999999999943</v>
      </c>
      <c r="O115" s="13">
        <f>N115*VLOOKUP('Données projet'!$B$9,Paramètres!$A$1:$I$89,3,0)*VLOOKUP('Données projet'!$B$9,Paramètres!$A$1:$I$89,5,0)</f>
        <v>329.34719999999948</v>
      </c>
      <c r="P115" s="13">
        <f t="shared" si="87"/>
        <v>77.294949483241425</v>
      </c>
      <c r="Q115" s="20">
        <f t="shared" si="107"/>
        <v>708.2350770166446</v>
      </c>
      <c r="R115" s="59">
        <f t="shared" si="55"/>
        <v>988.65638843221541</v>
      </c>
      <c r="S115" s="59">
        <f ca="1">AVERAGE(OFFSET($R$3,0,0,'Données projet'!$E$9+1,1))-AVERAGE(OFFSET($H$3,0,0,'Données projet'!$E$9+1,1))</f>
        <v>569.49435820174267</v>
      </c>
      <c r="T115" s="59">
        <f t="shared" si="88"/>
        <v>295.37730858134739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21.397945338201144</v>
      </c>
      <c r="AA115" s="21">
        <f>EXP(-LN(2)/25)*AA114+(1-EXP(-LN(2)/25))/(LN(2)/25)*Calculateur!V115*Calculateur!X115*VLOOKUP('Données projet'!$B$9,Paramètres!$A$1:$I$89,3,0)*0.475*44/12</f>
        <v>22.712823709198275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44.110769047399415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</v>
      </c>
      <c r="AI115" s="13">
        <f>IF('Données projet'!$A$62&gt;35,AI114+AH115-AQ114,IF(A115&lt;'Données projet'!$A$62,$AF$205^A115,IF(A115='Données projet'!$A$62,'Données projet'!$B$62,AI114+AH115-AQ114)))</f>
        <v>363.99999999999943</v>
      </c>
      <c r="AJ115" s="13">
        <f>AI115*VLOOKUP('Données projet'!$B$10,Paramètres!$A$1:$I$89,3,0)*VLOOKUP('Données projet'!$B$10,Paramètres!$A$1:$I$89,5,0)</f>
        <v>369.09599999999944</v>
      </c>
      <c r="AK115" s="13">
        <f t="shared" si="89"/>
        <v>85.482336542270247</v>
      </c>
      <c r="AL115" s="20">
        <f t="shared" si="58"/>
        <v>791.72393614445298</v>
      </c>
      <c r="AM115" s="59">
        <f t="shared" si="59"/>
        <v>1072.1452475600238</v>
      </c>
      <c r="AN115" s="59">
        <f ca="1">AVERAGE(OFFSET($AM$3,0,0,'Données projet'!$E$10+1,1))-AVERAGE(OFFSET($H$3,0,0,'Données projet'!$E$10+1,1))</f>
        <v>627.83896530587367</v>
      </c>
      <c r="AO115" s="59">
        <f t="shared" si="90"/>
        <v>323.54927030899489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23.980455982466797</v>
      </c>
      <c r="AV115" s="21">
        <f>EXP(-LN(2)/25)*AV114+(1-EXP(-LN(2)/25))/(LN(2)/25)*Calculateur!AQ115*Calculateur!AS115*VLOOKUP('Données projet'!$B$10,Paramètres!$A$1:$I$89,3,0)*0.475*44/12</f>
        <v>25.454026570653241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49.434482553120034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-2.8421709430404007E-13</v>
      </c>
      <c r="BE115" s="13">
        <f>BD115*VLOOKUP('Données projet'!$B$11,Paramètres!$A$1:$I$89,3,0)*VLOOKUP('Données projet'!$B$11,Paramètres!$A$1:$I$89,5,0)</f>
        <v>-2.7489477361086758E-13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508.3185483454435</v>
      </c>
      <c r="BJ115" s="59">
        <f t="shared" si="92"/>
        <v>487.08233034004945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77.993168081188941</v>
      </c>
      <c r="BQ115" s="21">
        <f>EXP(-LN(2)/25)*BQ114+(1-EXP(-LN(2)/25))/(LN(2)/25)*Calculateur!BL115*Calculateur!BN115*VLOOKUP('Données projet'!$B$11,Paramètres!$A$1:$I$89,3,0)*0.475*44/12</f>
        <v>2.0492941156739093</v>
      </c>
      <c r="BR115" s="21">
        <f>EXP(-LN(2)/2)*BR114+(1-EXP(-LN(2)/2))/(LN(2)/2)*BL115*BO115*VLOOKUP('Données projet'!$B$11,Paramètres!$A$1:$I$89,3,0)*0.475*44/12</f>
        <v>1.0695762908277927E-3</v>
      </c>
      <c r="BS115" s="22">
        <f t="shared" si="63"/>
        <v>80.043531773153688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-2.8421709430404007E-13</v>
      </c>
      <c r="BZ115" s="13">
        <f>BY115*VLOOKUP('Données projet'!$B$12,Paramètres!$A$1:$I$89,3,0)*VLOOKUP('Données projet'!$B$12,Paramètres!$A$1:$I$89,5,0)</f>
        <v>-2.3055690689943731E-13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436.50252985867149</v>
      </c>
      <c r="CE115" s="59">
        <f t="shared" si="94"/>
        <v>419.00806288456329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65.413624842287547</v>
      </c>
      <c r="CL115" s="21">
        <f>EXP(-LN(2)/25)*CL114+(1-EXP(-LN(2)/25))/(LN(2)/25)*Calculateur!CG115*Calculateur!CI115*VLOOKUP('Données projet'!$B$12,Paramètres!$A$1:$I$89,3,0)*0.475*44/12</f>
        <v>1.7187628066942469</v>
      </c>
      <c r="CM115" s="21">
        <f>EXP(-LN(2)/2)*CM114+(1-EXP(-LN(2)/2))/(LN(2)/2)*CG115*CJ115*VLOOKUP('Données projet'!$B$12,Paramètres!$A$1:$I$89,3,0)*0.475*44/12</f>
        <v>8.9706398585556995E-4</v>
      </c>
      <c r="CN115" s="22">
        <f t="shared" si="66"/>
        <v>67.133284712967651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-2.8421709430404007E-13</v>
      </c>
      <c r="CU115" s="17">
        <f>CT115*VLOOKUP('Données projet'!$B$13,Paramètres!$A$1:$I$89,3,0)*VLOOKUP('Données projet'!$B$13,Paramètres!$A$1:$I$89,5,0)</f>
        <v>-2.7489477361086758E-13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508.3185483454435</v>
      </c>
      <c r="CZ115" s="59">
        <f t="shared" si="96"/>
        <v>487.08233034004945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77.993168081188941</v>
      </c>
      <c r="DG115" s="21">
        <f>EXP(-LN(2)/25)*DG114+(1-EXP(-LN(2)/25))/(LN(2)/25)*Calculateur!DB115*Calculateur!DD115*VLOOKUP('Données projet'!$B$13,Paramètres!$A$1:$I$89,3,0)*0.475*44/12</f>
        <v>2.0492941156739093</v>
      </c>
      <c r="DH115" s="21">
        <f>EXP(-LN(2)/2)*DH114+(1-EXP(-LN(2)/2))/(LN(2)/2)*DB115*DE115*VLOOKUP('Données projet'!$B$13,Paramètres!$A$1:$I$89,3,0)*0.475*44/12</f>
        <v>1.0695762908277927E-3</v>
      </c>
      <c r="DI115" s="22">
        <f t="shared" si="69"/>
        <v>80.043531773153688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-2.8421709430404007E-13</v>
      </c>
      <c r="DP115" s="17">
        <f>DO115*VLOOKUP('Données projet'!$B$14,Paramètres!$A$1:$I$89,3,0)*VLOOKUP('Données projet'!$B$14,Paramètres!$A$1:$I$89,5,0)</f>
        <v>-2.7489477361086758E-13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508.3185483454435</v>
      </c>
      <c r="DU115" s="59">
        <f t="shared" si="98"/>
        <v>487.08233034004945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77.993168081188941</v>
      </c>
      <c r="EB115" s="21">
        <f>EXP(-LN(2)/25)*EB114+(1-EXP(-LN(2)/25))/(LN(2)/25)*Calculateur!DW115*Calculateur!DY115*VLOOKUP('Données projet'!$B$14,Paramètres!$A$1:$I$89,3,0)*0.475*44/12</f>
        <v>2.0492941156739093</v>
      </c>
      <c r="EC115" s="21">
        <f>EXP(-LN(2)/2)*EC114+(1-EXP(-LN(2)/2))/(LN(2)/2)*DW115*DZ115*VLOOKUP('Données projet'!$B$14,Paramètres!$A$1:$I$89,3,0)*0.475*44/12</f>
        <v>1.0695762908277927E-3</v>
      </c>
      <c r="ED115" s="22">
        <f t="shared" si="72"/>
        <v>80.043531773153688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</v>
      </c>
      <c r="N116" s="13">
        <f>IF('Données projet'!$A$36&gt;35,N115+M116-V115,IF(A116&lt;'Données projet'!$A$36,$K$205^A116,IF(A116='Données projet'!$A$36,'Données projet'!$B$36,N115+M116-V115)))</f>
        <v>370.99999999999943</v>
      </c>
      <c r="O116" s="13">
        <f>N116*VLOOKUP('Données projet'!$B$9,Paramètres!$A$1:$I$89,3,0)*VLOOKUP('Données projet'!$B$9,Paramètres!$A$1:$I$89,5,0)</f>
        <v>335.68079999999946</v>
      </c>
      <c r="P116" s="13">
        <f t="shared" si="87"/>
        <v>78.606909442620307</v>
      </c>
      <c r="Q116" s="20">
        <f t="shared" si="107"/>
        <v>721.55109394589601</v>
      </c>
      <c r="R116" s="59">
        <f t="shared" si="55"/>
        <v>1002.1964000747837</v>
      </c>
      <c r="S116" s="59">
        <f ca="1">AVERAGE(OFFSET($R$3,0,0,'Données projet'!$E$9+1,1))-AVERAGE(OFFSET($H$3,0,0,'Données projet'!$E$9+1,1))</f>
        <v>569.49435820174267</v>
      </c>
      <c r="T116" s="59">
        <f t="shared" si="88"/>
        <v>295.37730858134739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20.978344681576949</v>
      </c>
      <c r="AA116" s="21">
        <f>EXP(-LN(2)/25)*AA115+(1-EXP(-LN(2)/25))/(LN(2)/25)*Calculateur!V116*Calculateur!X116*VLOOKUP('Données projet'!$B$9,Paramètres!$A$1:$I$89,3,0)*0.475*44/12</f>
        <v>22.09174035045476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43.070085032031713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</v>
      </c>
      <c r="AI116" s="13">
        <f>IF('Données projet'!$A$62&gt;35,AI115+AH116-AQ115,IF(A116&lt;'Données projet'!$A$62,$AF$205^A116,IF(A116='Données projet'!$A$62,'Données projet'!$B$62,AI115+AH116-AQ115)))</f>
        <v>370.99999999999943</v>
      </c>
      <c r="AJ116" s="13">
        <f>AI116*VLOOKUP('Données projet'!$B$10,Paramètres!$A$1:$I$89,3,0)*VLOOKUP('Données projet'!$B$10,Paramètres!$A$1:$I$89,5,0)</f>
        <v>376.19399999999945</v>
      </c>
      <c r="AK116" s="13">
        <f t="shared" si="89"/>
        <v>86.93326449458003</v>
      </c>
      <c r="AL116" s="20">
        <f t="shared" si="58"/>
        <v>806.61331899472589</v>
      </c>
      <c r="AM116" s="59">
        <f t="shared" si="59"/>
        <v>1087.2586251236135</v>
      </c>
      <c r="AN116" s="59">
        <f ca="1">AVERAGE(OFFSET($AM$3,0,0,'Données projet'!$E$10+1,1))-AVERAGE(OFFSET($H$3,0,0,'Données projet'!$E$10+1,1))</f>
        <v>627.83896530587367</v>
      </c>
      <c r="AO116" s="59">
        <f t="shared" si="90"/>
        <v>323.54927030899489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23.510213867284513</v>
      </c>
      <c r="AV116" s="21">
        <f>EXP(-LN(2)/25)*AV115+(1-EXP(-LN(2)/25))/(LN(2)/25)*Calculateur!AQ116*Calculateur!AS116*VLOOKUP('Données projet'!$B$10,Paramètres!$A$1:$I$89,3,0)*0.475*44/12</f>
        <v>24.757984875509646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48.268198742794155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-2.8421709430404007E-13</v>
      </c>
      <c r="BE116" s="13">
        <f>BD116*VLOOKUP('Données projet'!$B$11,Paramètres!$A$1:$I$89,3,0)*VLOOKUP('Données projet'!$B$11,Paramètres!$A$1:$I$89,5,0)</f>
        <v>-2.7489477361086758E-13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508.3185483454435</v>
      </c>
      <c r="BJ116" s="59">
        <f t="shared" si="92"/>
        <v>487.08233034004945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76.463769626252102</v>
      </c>
      <c r="BQ116" s="21">
        <f>EXP(-LN(2)/25)*BQ115+(1-EXP(-LN(2)/25))/(LN(2)/25)*Calculateur!BL116*Calculateur!BN116*VLOOKUP('Données projet'!$B$11,Paramètres!$A$1:$I$89,3,0)*0.475*44/12</f>
        <v>1.9932560603131124</v>
      </c>
      <c r="BR116" s="21">
        <f>EXP(-LN(2)/2)*BR115+(1-EXP(-LN(2)/2))/(LN(2)/2)*BL116*BO116*VLOOKUP('Données projet'!$B$11,Paramètres!$A$1:$I$89,3,0)*0.475*44/12</f>
        <v>7.5630464824068711E-4</v>
      </c>
      <c r="BS116" s="22">
        <f t="shared" si="63"/>
        <v>78.457781991213452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-2.8421709430404007E-13</v>
      </c>
      <c r="BZ116" s="13">
        <f>BY116*VLOOKUP('Données projet'!$B$12,Paramètres!$A$1:$I$89,3,0)*VLOOKUP('Données projet'!$B$12,Paramètres!$A$1:$I$89,5,0)</f>
        <v>-2.3055690689943731E-13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436.50252985867149</v>
      </c>
      <c r="CE116" s="59">
        <f t="shared" si="94"/>
        <v>419.00806288456329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64.13090355750181</v>
      </c>
      <c r="CL116" s="21">
        <f>EXP(-LN(2)/25)*CL115+(1-EXP(-LN(2)/25))/(LN(2)/25)*Calculateur!CG116*Calculateur!CI116*VLOOKUP('Données projet'!$B$12,Paramètres!$A$1:$I$89,3,0)*0.475*44/12</f>
        <v>1.671763147359385</v>
      </c>
      <c r="CM116" s="21">
        <f>EXP(-LN(2)/2)*CM115+(1-EXP(-LN(2)/2))/(LN(2)/2)*CG116*CJ116*VLOOKUP('Données projet'!$B$12,Paramètres!$A$1:$I$89,3,0)*0.475*44/12</f>
        <v>6.3432002755670666E-4</v>
      </c>
      <c r="CN116" s="22">
        <f t="shared" si="66"/>
        <v>65.803301024888754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-2.8421709430404007E-13</v>
      </c>
      <c r="CU116" s="17">
        <f>CT116*VLOOKUP('Données projet'!$B$13,Paramètres!$A$1:$I$89,3,0)*VLOOKUP('Données projet'!$B$13,Paramètres!$A$1:$I$89,5,0)</f>
        <v>-2.7489477361086758E-13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508.3185483454435</v>
      </c>
      <c r="CZ116" s="59">
        <f t="shared" si="96"/>
        <v>487.08233034004945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76.463769626252102</v>
      </c>
      <c r="DG116" s="21">
        <f>EXP(-LN(2)/25)*DG115+(1-EXP(-LN(2)/25))/(LN(2)/25)*Calculateur!DB116*Calculateur!DD116*VLOOKUP('Données projet'!$B$13,Paramètres!$A$1:$I$89,3,0)*0.475*44/12</f>
        <v>1.9932560603131124</v>
      </c>
      <c r="DH116" s="21">
        <f>EXP(-LN(2)/2)*DH115+(1-EXP(-LN(2)/2))/(LN(2)/2)*DB116*DE116*VLOOKUP('Données projet'!$B$13,Paramètres!$A$1:$I$89,3,0)*0.475*44/12</f>
        <v>7.5630464824068711E-4</v>
      </c>
      <c r="DI116" s="22">
        <f t="shared" si="69"/>
        <v>78.457781991213452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-2.8421709430404007E-13</v>
      </c>
      <c r="DP116" s="17">
        <f>DO116*VLOOKUP('Données projet'!$B$14,Paramètres!$A$1:$I$89,3,0)*VLOOKUP('Données projet'!$B$14,Paramètres!$A$1:$I$89,5,0)</f>
        <v>-2.7489477361086758E-13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508.3185483454435</v>
      </c>
      <c r="DU116" s="59">
        <f t="shared" si="98"/>
        <v>487.08233034004945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76.463769626252102</v>
      </c>
      <c r="EB116" s="21">
        <f>EXP(-LN(2)/25)*EB115+(1-EXP(-LN(2)/25))/(LN(2)/25)*Calculateur!DW116*Calculateur!DY116*VLOOKUP('Données projet'!$B$14,Paramètres!$A$1:$I$89,3,0)*0.475*44/12</f>
        <v>1.9932560603131124</v>
      </c>
      <c r="EC116" s="21">
        <f>EXP(-LN(2)/2)*EC115+(1-EXP(-LN(2)/2))/(LN(2)/2)*DW116*DZ116*VLOOKUP('Données projet'!$B$14,Paramètres!$A$1:$I$89,3,0)*0.475*44/12</f>
        <v>7.5630464824068711E-4</v>
      </c>
      <c r="ED116" s="22">
        <f t="shared" si="72"/>
        <v>78.457781991213452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378</v>
      </c>
      <c r="L117" s="12">
        <f>VLOOKUP(A117,'Données projet'!$A$35:$I$55,9,0)</f>
        <v>7</v>
      </c>
      <c r="M117" s="12">
        <f t="array" ref="M117">INDEX(L:L,MIN(IF(ISNUMBER(L117:L313),ROW(L117:L313),"")))</f>
        <v>7</v>
      </c>
      <c r="N117" s="13">
        <f>IF('Données projet'!$A$36&gt;35,N116+M117-V116,IF(A117&lt;'Données projet'!$A$36,$K$205^A117,IF(A117='Données projet'!$A$36,'Données projet'!$B$36,N116+M117-V116)))</f>
        <v>377.99999999999943</v>
      </c>
      <c r="O117" s="13">
        <f>N117*VLOOKUP('Données projet'!$B$9,Paramètres!$A$1:$I$89,3,0)*VLOOKUP('Données projet'!$B$9,Paramètres!$A$1:$I$89,5,0)</f>
        <v>342.01439999999951</v>
      </c>
      <c r="P117" s="13">
        <f t="shared" si="87"/>
        <v>79.915991022086487</v>
      </c>
      <c r="Q117" s="20">
        <f t="shared" si="107"/>
        <v>734.86209769679965</v>
      </c>
      <c r="R117" s="59">
        <f t="shared" si="55"/>
        <v>1015.7275127315052</v>
      </c>
      <c r="S117" s="59">
        <f ca="1">AVERAGE(OFFSET($R$3,0,0,'Données projet'!$E$9+1,1))-AVERAGE(OFFSET($H$3,0,0,'Données projet'!$E$9+1,1))</f>
        <v>569.49435820174267</v>
      </c>
      <c r="T117" s="59">
        <f t="shared" si="88"/>
        <v>295.37730858134739</v>
      </c>
      <c r="U117" s="15">
        <f>IF(ISNA(VLOOKUP(A117,'Données projet'!$A$35:$I$55,3,0)),0,VLOOKUP(A117,'Données projet'!$A$35:$I$55,3,0))</f>
        <v>10</v>
      </c>
      <c r="V117" s="15">
        <f>IF(ISNA(VLOOKUP(A117,'Données projet'!$A$35:$I$55,4,0)),0,VLOOKUP(A117,'Données projet'!$A$35:$I$55,4,0))</f>
        <v>43</v>
      </c>
      <c r="W117" s="16">
        <f>IF(ISNA(VLOOKUP(A117,'Données projet'!$A$35:$I$55,5,0)),0%,VLOOKUP(A117,'Données projet'!$A$35:$I$55,5,0)*VLOOKUP('Données projet'!$B$9,Paramètres!$A$1:$I$89,7,0))</f>
        <v>0.30099999999999999</v>
      </c>
      <c r="X117" s="16">
        <f>IF(ISNA(VLOOKUP(A117,'Données projet'!$A$35:$I$55,6,0)),0%,VLOOKUP(A117,'Données projet'!$A$35:$I$55,6,0)*VLOOKUP('Données projet'!$B$9,Paramètres!$A$1:$I$89,7,0))</f>
        <v>4.3000000000000003E-2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33.51294384295052</v>
      </c>
      <c r="AA117" s="21">
        <f>EXP(-LN(2)/25)*AA116+(1-EXP(-LN(2)/25))/(LN(2)/25)*Calculateur!V117*Calculateur!X117*VLOOKUP('Données projet'!$B$9,Paramètres!$A$1:$I$89,3,0)*0.475*44/12</f>
        <v>23.329783189052836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56.842727032003353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378</v>
      </c>
      <c r="AG117" s="12">
        <f>VLOOKUP(A117,'Données projet'!$A$61:$I$81,9,0)</f>
        <v>7</v>
      </c>
      <c r="AH117" s="12">
        <f t="array" ref="AH117">INDEX(AG:AG,MIN(IF(ISNUMBER(AG117:AG313),ROW(AG117:AG313),"")))</f>
        <v>7</v>
      </c>
      <c r="AI117" s="13">
        <f>IF('Données projet'!$A$62&gt;35,AI116+AH117-AQ116,IF(A117&lt;'Données projet'!$A$62,$AF$205^A117,IF(A117='Données projet'!$A$62,'Données projet'!$B$62,AI116+AH117-AQ116)))</f>
        <v>377.99999999999943</v>
      </c>
      <c r="AJ117" s="13">
        <f>AI117*VLOOKUP('Données projet'!$B$10,Paramètres!$A$1:$I$89,3,0)*VLOOKUP('Données projet'!$B$10,Paramètres!$A$1:$I$89,5,0)</f>
        <v>383.29199999999946</v>
      </c>
      <c r="AK117" s="13">
        <f t="shared" si="89"/>
        <v>88.381009177581234</v>
      </c>
      <c r="AL117" s="20">
        <f t="shared" si="58"/>
        <v>821.497157650953</v>
      </c>
      <c r="AM117" s="59">
        <f t="shared" si="59"/>
        <v>1102.3625726856585</v>
      </c>
      <c r="AN117" s="59">
        <f ca="1">AVERAGE(OFFSET($AM$3,0,0,'Données projet'!$E$10+1,1))-AVERAGE(OFFSET($H$3,0,0,'Données projet'!$E$10+1,1))</f>
        <v>627.83896530587367</v>
      </c>
      <c r="AO117" s="59">
        <f t="shared" si="90"/>
        <v>323.54927030899489</v>
      </c>
      <c r="AP117" s="15">
        <f>IF(ISNA(VLOOKUP(A117,'Données projet'!$A$61:$I$81,3,0)),0,VLOOKUP(A117,'Données projet'!$A$61:$I$81,3,0))</f>
        <v>10</v>
      </c>
      <c r="AQ117" s="15">
        <f>IF(ISNA(VLOOKUP(A117,'Données projet'!$A$61:$I$81,4,0)),0,VLOOKUP(A117,'Données projet'!$A$61:$I$81,4,0))</f>
        <v>43</v>
      </c>
      <c r="AR117" s="16">
        <f>IF(ISNA(VLOOKUP(A117,'Données projet'!$A$61:$I$81,5,0)),0%,VLOOKUP(A117,'Données projet'!$A$61:$I$81,5,0)*VLOOKUP('Données projet'!$B$10,Paramètres!$A$1:$I$89,7,0))</f>
        <v>0.30099999999999999</v>
      </c>
      <c r="AS117" s="16">
        <f>IF(ISNA(VLOOKUP(A117,'Données projet'!$A$61:$I$81,6,0)),0%,VLOOKUP(A117,'Données projet'!$A$61:$I$81,6,0)*VLOOKUP('Données projet'!$B$10,Paramètres!$A$1:$I$89,7,0))</f>
        <v>4.3000000000000003E-2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37.557609479168683</v>
      </c>
      <c r="AV117" s="21">
        <f>EXP(-LN(2)/25)*AV116+(1-EXP(-LN(2)/25))/(LN(2)/25)*Calculateur!AQ117*Calculateur!AS117*VLOOKUP('Données projet'!$B$10,Paramètres!$A$1:$I$89,3,0)*0.475*44/12</f>
        <v>26.145446677386797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63.703056156555476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-2.8421709430404007E-13</v>
      </c>
      <c r="BE117" s="13">
        <f>BD117*VLOOKUP('Données projet'!$B$11,Paramètres!$A$1:$I$89,3,0)*VLOOKUP('Données projet'!$B$11,Paramètres!$A$1:$I$89,5,0)</f>
        <v>-2.7489477361086758E-13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508.3185483454435</v>
      </c>
      <c r="BJ117" s="59">
        <f t="shared" si="92"/>
        <v>487.08233034004945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74.964361742175626</v>
      </c>
      <c r="BQ117" s="21">
        <f>EXP(-LN(2)/25)*BQ116+(1-EXP(-LN(2)/25))/(LN(2)/25)*Calculateur!BL117*Calculateur!BN117*VLOOKUP('Données projet'!$B$11,Paramètres!$A$1:$I$89,3,0)*0.475*44/12</f>
        <v>1.9387503685230698</v>
      </c>
      <c r="BR117" s="21">
        <f>EXP(-LN(2)/2)*BR116+(1-EXP(-LN(2)/2))/(LN(2)/2)*BL117*BO117*VLOOKUP('Données projet'!$B$11,Paramètres!$A$1:$I$89,3,0)*0.475*44/12</f>
        <v>5.3478814541389633E-4</v>
      </c>
      <c r="BS117" s="22">
        <f t="shared" si="63"/>
        <v>76.903646898844116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-2.8421709430404007E-13</v>
      </c>
      <c r="BZ117" s="13">
        <f>BY117*VLOOKUP('Données projet'!$B$12,Paramètres!$A$1:$I$89,3,0)*VLOOKUP('Données projet'!$B$12,Paramètres!$A$1:$I$89,5,0)</f>
        <v>-2.3055690689943731E-13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436.50252985867149</v>
      </c>
      <c r="CE117" s="59">
        <f t="shared" si="94"/>
        <v>419.00806288456329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62.873335654727988</v>
      </c>
      <c r="CL117" s="21">
        <f>EXP(-LN(2)/25)*CL116+(1-EXP(-LN(2)/25))/(LN(2)/25)*Calculateur!CG117*Calculateur!CI117*VLOOKUP('Données projet'!$B$12,Paramètres!$A$1:$I$89,3,0)*0.475*44/12</f>
        <v>1.6260486961806395</v>
      </c>
      <c r="CM117" s="21">
        <f>EXP(-LN(2)/2)*CM116+(1-EXP(-LN(2)/2))/(LN(2)/2)*CG117*CJ117*VLOOKUP('Données projet'!$B$12,Paramètres!$A$1:$I$89,3,0)*0.475*44/12</f>
        <v>4.4853199292778497E-4</v>
      </c>
      <c r="CN117" s="22">
        <f t="shared" si="66"/>
        <v>64.499832882901558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-2.8421709430404007E-13</v>
      </c>
      <c r="CU117" s="17">
        <f>CT117*VLOOKUP('Données projet'!$B$13,Paramètres!$A$1:$I$89,3,0)*VLOOKUP('Données projet'!$B$13,Paramètres!$A$1:$I$89,5,0)</f>
        <v>-2.7489477361086758E-13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508.3185483454435</v>
      </c>
      <c r="CZ117" s="59">
        <f t="shared" si="96"/>
        <v>487.08233034004945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74.964361742175626</v>
      </c>
      <c r="DG117" s="21">
        <f>EXP(-LN(2)/25)*DG116+(1-EXP(-LN(2)/25))/(LN(2)/25)*Calculateur!DB117*Calculateur!DD117*VLOOKUP('Données projet'!$B$13,Paramètres!$A$1:$I$89,3,0)*0.475*44/12</f>
        <v>1.9387503685230698</v>
      </c>
      <c r="DH117" s="21">
        <f>EXP(-LN(2)/2)*DH116+(1-EXP(-LN(2)/2))/(LN(2)/2)*DB117*DE117*VLOOKUP('Données projet'!$B$13,Paramètres!$A$1:$I$89,3,0)*0.475*44/12</f>
        <v>5.3478814541389633E-4</v>
      </c>
      <c r="DI117" s="22">
        <f t="shared" si="69"/>
        <v>76.903646898844116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-2.8421709430404007E-13</v>
      </c>
      <c r="DP117" s="17">
        <f>DO117*VLOOKUP('Données projet'!$B$14,Paramètres!$A$1:$I$89,3,0)*VLOOKUP('Données projet'!$B$14,Paramètres!$A$1:$I$89,5,0)</f>
        <v>-2.7489477361086758E-13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508.3185483454435</v>
      </c>
      <c r="DU117" s="59">
        <f t="shared" si="98"/>
        <v>487.08233034004945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74.964361742175626</v>
      </c>
      <c r="EB117" s="21">
        <f>EXP(-LN(2)/25)*EB116+(1-EXP(-LN(2)/25))/(LN(2)/25)*Calculateur!DW117*Calculateur!DY117*VLOOKUP('Données projet'!$B$14,Paramètres!$A$1:$I$89,3,0)*0.475*44/12</f>
        <v>1.9387503685230698</v>
      </c>
      <c r="EC117" s="21">
        <f>EXP(-LN(2)/2)*EC116+(1-EXP(-LN(2)/2))/(LN(2)/2)*DW117*DZ117*VLOOKUP('Données projet'!$B$14,Paramètres!$A$1:$I$89,3,0)*0.475*44/12</f>
        <v>5.3478814541389633E-4</v>
      </c>
      <c r="ED117" s="22">
        <f t="shared" si="72"/>
        <v>76.903646898844116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6.8888888888888893</v>
      </c>
      <c r="N118" s="13">
        <f>IF('Données projet'!$A$36&gt;35,N117+M118-V117,IF(A118&lt;'Données projet'!$A$36,$K$205^A118,IF(A118='Données projet'!$A$36,'Données projet'!$B$36,N117+M118-V117)))</f>
        <v>341.88888888888835</v>
      </c>
      <c r="O118" s="13">
        <f>N118*VLOOKUP('Données projet'!$B$9,Paramètres!$A$1:$I$89,3,0)*VLOOKUP('Données projet'!$B$9,Paramètres!$A$1:$I$89,5,0)</f>
        <v>309.34106666666617</v>
      </c>
      <c r="P118" s="13">
        <f t="shared" si="87"/>
        <v>73.131201628191135</v>
      </c>
      <c r="Q118" s="20">
        <f t="shared" si="107"/>
        <v>666.13920061354315</v>
      </c>
      <c r="R118" s="59">
        <f t="shared" si="55"/>
        <v>947.22090615664047</v>
      </c>
      <c r="S118" s="59">
        <f ca="1">AVERAGE(OFFSET($R$3,0,0,'Données projet'!$E$9+1,1))-AVERAGE(OFFSET($H$3,0,0,'Données projet'!$E$9+1,1))</f>
        <v>569.49435820174267</v>
      </c>
      <c r="T118" s="59">
        <f t="shared" si="88"/>
        <v>295.37730858134739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32.855775455067636</v>
      </c>
      <c r="AA118" s="21">
        <f>EXP(-LN(2)/25)*AA117+(1-EXP(-LN(2)/25))/(LN(2)/25)*Calculateur!V118*Calculateur!X118*VLOOKUP('Données projet'!$B$9,Paramètres!$A$1:$I$89,3,0)*0.475*44/12</f>
        <v>22.691829040888209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55.547604495955845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6.8888888888888893</v>
      </c>
      <c r="AI118" s="13">
        <f>IF('Données projet'!$A$62&gt;35,AI117+AH118-AQ117,IF(A118&lt;'Données projet'!$A$62,$AF$205^A118,IF(A118='Données projet'!$A$62,'Données projet'!$B$62,AI117+AH118-AQ117)))</f>
        <v>341.88888888888835</v>
      </c>
      <c r="AJ118" s="13">
        <f>AI118*VLOOKUP('Données projet'!$B$10,Paramètres!$A$1:$I$89,3,0)*VLOOKUP('Données projet'!$B$10,Paramètres!$A$1:$I$89,5,0)</f>
        <v>346.67533333333279</v>
      </c>
      <c r="AK118" s="13">
        <f t="shared" si="89"/>
        <v>80.877548030185963</v>
      </c>
      <c r="AL118" s="20">
        <f t="shared" si="58"/>
        <v>744.65460170812833</v>
      </c>
      <c r="AM118" s="59">
        <f t="shared" si="59"/>
        <v>1025.7363072512255</v>
      </c>
      <c r="AN118" s="59">
        <f ca="1">AVERAGE(OFFSET($AM$3,0,0,'Données projet'!$E$10+1,1))-AVERAGE(OFFSET($H$3,0,0,'Données projet'!$E$10+1,1))</f>
        <v>627.83896530587367</v>
      </c>
      <c r="AO118" s="59">
        <f t="shared" si="90"/>
        <v>323.54927030899489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36.821127665162003</v>
      </c>
      <c r="AV118" s="21">
        <f>EXP(-LN(2)/25)*AV117+(1-EXP(-LN(2)/25))/(LN(2)/25)*Calculateur!AQ118*Calculateur!AS118*VLOOKUP('Données projet'!$B$10,Paramètres!$A$1:$I$89,3,0)*0.475*44/12</f>
        <v>25.43049806306437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62.251625728226372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-2.8421709430404007E-13</v>
      </c>
      <c r="BE118" s="13">
        <f>BD118*VLOOKUP('Données projet'!$B$11,Paramètres!$A$1:$I$89,3,0)*VLOOKUP('Données projet'!$B$11,Paramètres!$A$1:$I$89,5,0)</f>
        <v>-2.7489477361086758E-13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508.3185483454435</v>
      </c>
      <c r="BJ118" s="59">
        <f t="shared" si="92"/>
        <v>487.08233034004945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73.494356332157381</v>
      </c>
      <c r="BQ118" s="21">
        <f>EXP(-LN(2)/25)*BQ117+(1-EXP(-LN(2)/25))/(LN(2)/25)*Calculateur!BL118*Calculateur!BN118*VLOOKUP('Données projet'!$B$11,Paramètres!$A$1:$I$89,3,0)*0.475*44/12</f>
        <v>1.8857351377413556</v>
      </c>
      <c r="BR118" s="21">
        <f>EXP(-LN(2)/2)*BR117+(1-EXP(-LN(2)/2))/(LN(2)/2)*BL118*BO118*VLOOKUP('Données projet'!$B$11,Paramètres!$A$1:$I$89,3,0)*0.475*44/12</f>
        <v>3.7815232412034355E-4</v>
      </c>
      <c r="BS118" s="22">
        <f t="shared" si="63"/>
        <v>75.380469622222847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-2.8421709430404007E-13</v>
      </c>
      <c r="BZ118" s="13">
        <f>BY118*VLOOKUP('Données projet'!$B$12,Paramètres!$A$1:$I$89,3,0)*VLOOKUP('Données projet'!$B$12,Paramètres!$A$1:$I$89,5,0)</f>
        <v>-2.3055690689943731E-13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436.50252985867149</v>
      </c>
      <c r="CE118" s="59">
        <f t="shared" si="94"/>
        <v>419.00806288456329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61.64042789148688</v>
      </c>
      <c r="CL118" s="21">
        <f>EXP(-LN(2)/25)*CL117+(1-EXP(-LN(2)/25))/(LN(2)/25)*Calculateur!CG118*Calculateur!CI118*VLOOKUP('Données projet'!$B$12,Paramètres!$A$1:$I$89,3,0)*0.475*44/12</f>
        <v>1.5815843090733954</v>
      </c>
      <c r="CM118" s="21">
        <f>EXP(-LN(2)/2)*CM117+(1-EXP(-LN(2)/2))/(LN(2)/2)*CG118*CJ118*VLOOKUP('Données projet'!$B$12,Paramètres!$A$1:$I$89,3,0)*0.475*44/12</f>
        <v>3.1716001377835333E-4</v>
      </c>
      <c r="CN118" s="22">
        <f t="shared" si="66"/>
        <v>63.222329360574051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-2.8421709430404007E-13</v>
      </c>
      <c r="CU118" s="17">
        <f>CT118*VLOOKUP('Données projet'!$B$13,Paramètres!$A$1:$I$89,3,0)*VLOOKUP('Données projet'!$B$13,Paramètres!$A$1:$I$89,5,0)</f>
        <v>-2.7489477361086758E-13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508.3185483454435</v>
      </c>
      <c r="CZ118" s="59">
        <f t="shared" si="96"/>
        <v>487.08233034004945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73.494356332157381</v>
      </c>
      <c r="DG118" s="21">
        <f>EXP(-LN(2)/25)*DG117+(1-EXP(-LN(2)/25))/(LN(2)/25)*Calculateur!DB118*Calculateur!DD118*VLOOKUP('Données projet'!$B$13,Paramètres!$A$1:$I$89,3,0)*0.475*44/12</f>
        <v>1.8857351377413556</v>
      </c>
      <c r="DH118" s="21">
        <f>EXP(-LN(2)/2)*DH117+(1-EXP(-LN(2)/2))/(LN(2)/2)*DB118*DE118*VLOOKUP('Données projet'!$B$13,Paramètres!$A$1:$I$89,3,0)*0.475*44/12</f>
        <v>3.7815232412034355E-4</v>
      </c>
      <c r="DI118" s="22">
        <f t="shared" si="69"/>
        <v>75.380469622222847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-2.8421709430404007E-13</v>
      </c>
      <c r="DP118" s="17">
        <f>DO118*VLOOKUP('Données projet'!$B$14,Paramètres!$A$1:$I$89,3,0)*VLOOKUP('Données projet'!$B$14,Paramètres!$A$1:$I$89,5,0)</f>
        <v>-2.7489477361086758E-13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508.3185483454435</v>
      </c>
      <c r="DU118" s="59">
        <f t="shared" si="98"/>
        <v>487.08233034004945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73.494356332157381</v>
      </c>
      <c r="EB118" s="21">
        <f>EXP(-LN(2)/25)*EB117+(1-EXP(-LN(2)/25))/(LN(2)/25)*Calculateur!DW118*Calculateur!DY118*VLOOKUP('Données projet'!$B$14,Paramètres!$A$1:$I$89,3,0)*0.475*44/12</f>
        <v>1.8857351377413556</v>
      </c>
      <c r="EC118" s="21">
        <f>EXP(-LN(2)/2)*EC117+(1-EXP(-LN(2)/2))/(LN(2)/2)*DW118*DZ118*VLOOKUP('Données projet'!$B$14,Paramètres!$A$1:$I$89,3,0)*0.475*44/12</f>
        <v>3.7815232412034355E-4</v>
      </c>
      <c r="ED118" s="22">
        <f t="shared" si="72"/>
        <v>75.380469622222847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6.8888888888888893</v>
      </c>
      <c r="N119" s="13">
        <f>IF('Données projet'!$A$36&gt;35,N118+M119-V118,IF(A119&lt;'Données projet'!$A$36,$K$205^A119,IF(A119='Données projet'!$A$36,'Données projet'!$B$36,N118+M119-V118)))</f>
        <v>348.77777777777726</v>
      </c>
      <c r="O119" s="13">
        <f>N119*VLOOKUP('Données projet'!$B$9,Paramètres!$A$1:$I$89,3,0)*VLOOKUP('Données projet'!$B$9,Paramètres!$A$1:$I$89,5,0)</f>
        <v>315.5741333333329</v>
      </c>
      <c r="P119" s="13">
        <f t="shared" si="87"/>
        <v>74.431720913378854</v>
      </c>
      <c r="Q119" s="20">
        <f t="shared" si="107"/>
        <v>679.26019614635629</v>
      </c>
      <c r="R119" s="59">
        <f t="shared" si="55"/>
        <v>960.55444004107778</v>
      </c>
      <c r="S119" s="59">
        <f ca="1">AVERAGE(OFFSET($R$3,0,0,'Données projet'!$E$9+1,1))-AVERAGE(OFFSET($H$3,0,0,'Données projet'!$E$9+1,1))</f>
        <v>569.49435820174267</v>
      </c>
      <c r="T119" s="59">
        <f t="shared" si="88"/>
        <v>295.37730858134739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32.211493738437994</v>
      </c>
      <c r="AA119" s="21">
        <f>EXP(-LN(2)/25)*AA118+(1-EXP(-LN(2)/25))/(LN(2)/25)*Calculateur!V119*Calculateur!X119*VLOOKUP('Données projet'!$B$9,Paramètres!$A$1:$I$89,3,0)*0.475*44/12</f>
        <v>22.071319782453696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54.282813520891693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6.8888888888888893</v>
      </c>
      <c r="AI119" s="13">
        <f>IF('Données projet'!$A$62&gt;35,AI118+AH119-AQ118,IF(A119&lt;'Données projet'!$A$62,$AF$205^A119,IF(A119='Données projet'!$A$62,'Données projet'!$B$62,AI118+AH119-AQ118)))</f>
        <v>348.77777777777726</v>
      </c>
      <c r="AJ119" s="13">
        <f>AI119*VLOOKUP('Données projet'!$B$10,Paramètres!$A$1:$I$89,3,0)*VLOOKUP('Données projet'!$B$10,Paramètres!$A$1:$I$89,5,0)</f>
        <v>353.6606666666662</v>
      </c>
      <c r="AK119" s="13">
        <f t="shared" si="89"/>
        <v>82.315823466800779</v>
      </c>
      <c r="AL119" s="20">
        <f t="shared" si="58"/>
        <v>759.32572031578832</v>
      </c>
      <c r="AM119" s="59">
        <f t="shared" si="59"/>
        <v>1040.6199642105098</v>
      </c>
      <c r="AN119" s="59">
        <f ca="1">AVERAGE(OFFSET($AM$3,0,0,'Données projet'!$E$10+1,1))-AVERAGE(OFFSET($H$3,0,0,'Données projet'!$E$10+1,1))</f>
        <v>627.83896530587367</v>
      </c>
      <c r="AO119" s="59">
        <f t="shared" si="90"/>
        <v>323.54927030899489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36.099087810318444</v>
      </c>
      <c r="AV119" s="21">
        <f>EXP(-LN(2)/25)*AV118+(1-EXP(-LN(2)/25))/(LN(2)/25)*Calculateur!AQ119*Calculateur!AS119*VLOOKUP('Données projet'!$B$10,Paramètres!$A$1:$I$89,3,0)*0.475*44/12</f>
        <v>24.735099756198103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60.834187566516547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-2.8421709430404007E-13</v>
      </c>
      <c r="BE119" s="13">
        <f>BD119*VLOOKUP('Données projet'!$B$11,Paramètres!$A$1:$I$89,3,0)*VLOOKUP('Données projet'!$B$11,Paramètres!$A$1:$I$89,5,0)</f>
        <v>-2.7489477361086758E-13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508.3185483454435</v>
      </c>
      <c r="BJ119" s="59">
        <f t="shared" si="92"/>
        <v>487.08233034004945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72.05317683161482</v>
      </c>
      <c r="BQ119" s="21">
        <f>EXP(-LN(2)/25)*BQ118+(1-EXP(-LN(2)/25))/(LN(2)/25)*Calculateur!BL119*Calculateur!BN119*VLOOKUP('Données projet'!$B$11,Paramètres!$A$1:$I$89,3,0)*0.475*44/12</f>
        <v>1.8341696112333172</v>
      </c>
      <c r="BR119" s="21">
        <f>EXP(-LN(2)/2)*BR118+(1-EXP(-LN(2)/2))/(LN(2)/2)*BL119*BO119*VLOOKUP('Données projet'!$B$11,Paramètres!$A$1:$I$89,3,0)*0.475*44/12</f>
        <v>2.6739407270694816E-4</v>
      </c>
      <c r="BS119" s="22">
        <f t="shared" si="63"/>
        <v>73.887613836920849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-2.8421709430404007E-13</v>
      </c>
      <c r="BZ119" s="13">
        <f>BY119*VLOOKUP('Données projet'!$B$12,Paramètres!$A$1:$I$89,3,0)*VLOOKUP('Données projet'!$B$12,Paramètres!$A$1:$I$89,5,0)</f>
        <v>-2.3055690689943731E-13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436.50252985867149</v>
      </c>
      <c r="CE119" s="59">
        <f t="shared" si="94"/>
        <v>419.00806288456329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60.431696697483446</v>
      </c>
      <c r="CL119" s="21">
        <f>EXP(-LN(2)/25)*CL118+(1-EXP(-LN(2)/25))/(LN(2)/25)*Calculateur!CG119*Calculateur!CI119*VLOOKUP('Données projet'!$B$12,Paramètres!$A$1:$I$89,3,0)*0.475*44/12</f>
        <v>1.5383358029698793</v>
      </c>
      <c r="CM119" s="21">
        <f>EXP(-LN(2)/2)*CM118+(1-EXP(-LN(2)/2))/(LN(2)/2)*CG119*CJ119*VLOOKUP('Données projet'!$B$12,Paramètres!$A$1:$I$89,3,0)*0.475*44/12</f>
        <v>2.2426599646389249E-4</v>
      </c>
      <c r="CN119" s="22">
        <f t="shared" si="66"/>
        <v>61.970256766449793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-2.8421709430404007E-13</v>
      </c>
      <c r="CU119" s="17">
        <f>CT119*VLOOKUP('Données projet'!$B$13,Paramètres!$A$1:$I$89,3,0)*VLOOKUP('Données projet'!$B$13,Paramètres!$A$1:$I$89,5,0)</f>
        <v>-2.7489477361086758E-13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508.3185483454435</v>
      </c>
      <c r="CZ119" s="59">
        <f t="shared" si="96"/>
        <v>487.08233034004945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72.05317683161482</v>
      </c>
      <c r="DG119" s="21">
        <f>EXP(-LN(2)/25)*DG118+(1-EXP(-LN(2)/25))/(LN(2)/25)*Calculateur!DB119*Calculateur!DD119*VLOOKUP('Données projet'!$B$13,Paramètres!$A$1:$I$89,3,0)*0.475*44/12</f>
        <v>1.8341696112333172</v>
      </c>
      <c r="DH119" s="21">
        <f>EXP(-LN(2)/2)*DH118+(1-EXP(-LN(2)/2))/(LN(2)/2)*DB119*DE119*VLOOKUP('Données projet'!$B$13,Paramètres!$A$1:$I$89,3,0)*0.475*44/12</f>
        <v>2.6739407270694816E-4</v>
      </c>
      <c r="DI119" s="22">
        <f t="shared" si="69"/>
        <v>73.887613836920849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-2.8421709430404007E-13</v>
      </c>
      <c r="DP119" s="17">
        <f>DO119*VLOOKUP('Données projet'!$B$14,Paramètres!$A$1:$I$89,3,0)*VLOOKUP('Données projet'!$B$14,Paramètres!$A$1:$I$89,5,0)</f>
        <v>-2.7489477361086758E-13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508.3185483454435</v>
      </c>
      <c r="DU119" s="59">
        <f t="shared" si="98"/>
        <v>487.08233034004945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72.05317683161482</v>
      </c>
      <c r="EB119" s="21">
        <f>EXP(-LN(2)/25)*EB118+(1-EXP(-LN(2)/25))/(LN(2)/25)*Calculateur!DW119*Calculateur!DY119*VLOOKUP('Données projet'!$B$14,Paramètres!$A$1:$I$89,3,0)*0.475*44/12</f>
        <v>1.8341696112333172</v>
      </c>
      <c r="EC119" s="21">
        <f>EXP(-LN(2)/2)*EC118+(1-EXP(-LN(2)/2))/(LN(2)/2)*DW119*DZ119*VLOOKUP('Données projet'!$B$14,Paramètres!$A$1:$I$89,3,0)*0.475*44/12</f>
        <v>2.6739407270694816E-4</v>
      </c>
      <c r="ED119" s="22">
        <f t="shared" si="72"/>
        <v>73.887613836920849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6.8888888888888893</v>
      </c>
      <c r="N120" s="13">
        <f>IF('Données projet'!$A$36&gt;35,N119+M120-V119,IF(A120&lt;'Données projet'!$A$36,$K$205^A120,IF(A120='Données projet'!$A$36,'Données projet'!$B$36,N119+M120-V119)))</f>
        <v>355.66666666666617</v>
      </c>
      <c r="O120" s="13">
        <f>N120*VLOOKUP('Données projet'!$B$9,Paramètres!$A$1:$I$89,3,0)*VLOOKUP('Données projet'!$B$9,Paramètres!$A$1:$I$89,5,0)</f>
        <v>321.80719999999957</v>
      </c>
      <c r="P120" s="13">
        <f t="shared" si="87"/>
        <v>75.729253434901665</v>
      </c>
      <c r="Q120" s="20">
        <f t="shared" si="107"/>
        <v>692.37598973245292</v>
      </c>
      <c r="R120" s="59">
        <f t="shared" si="55"/>
        <v>973.87908491356256</v>
      </c>
      <c r="S120" s="59">
        <f ca="1">AVERAGE(OFFSET($R$3,0,0,'Données projet'!$E$9+1,1))-AVERAGE(OFFSET($H$3,0,0,'Données projet'!$E$9+1,1))</f>
        <v>569.49435820174267</v>
      </c>
      <c r="T120" s="59">
        <f t="shared" si="88"/>
        <v>295.37730858134739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31.57984599329842</v>
      </c>
      <c r="AA120" s="21">
        <f>EXP(-LN(2)/25)*AA119+(1-EXP(-LN(2)/25))/(LN(2)/25)*Calculateur!V120*Calculateur!X120*VLOOKUP('Données projet'!$B$9,Paramètres!$A$1:$I$89,3,0)*0.475*44/12</f>
        <v>21.467778382322237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53.047624375620657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6.8888888888888893</v>
      </c>
      <c r="AI120" s="13">
        <f>IF('Données projet'!$A$62&gt;35,AI119+AH120-AQ119,IF(A120&lt;'Données projet'!$A$62,$AF$205^A120,IF(A120='Données projet'!$A$62,'Données projet'!$B$62,AI119+AH120-AQ119)))</f>
        <v>355.66666666666617</v>
      </c>
      <c r="AJ120" s="13">
        <f>AI120*VLOOKUP('Données projet'!$B$10,Paramètres!$A$1:$I$89,3,0)*VLOOKUP('Données projet'!$B$10,Paramètres!$A$1:$I$89,5,0)</f>
        <v>360.6459999999995</v>
      </c>
      <c r="AK120" s="13">
        <f t="shared" si="89"/>
        <v>83.750795769918682</v>
      </c>
      <c r="AL120" s="20">
        <f t="shared" si="58"/>
        <v>773.99108596594078</v>
      </c>
      <c r="AM120" s="59">
        <f t="shared" si="59"/>
        <v>1055.4941811470503</v>
      </c>
      <c r="AN120" s="59">
        <f ca="1">AVERAGE(OFFSET($AM$3,0,0,'Données projet'!$E$10+1,1))-AVERAGE(OFFSET($H$3,0,0,'Données projet'!$E$10+1,1))</f>
        <v>627.83896530587367</v>
      </c>
      <c r="AO120" s="59">
        <f t="shared" si="90"/>
        <v>323.54927030899489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35.391206716627543</v>
      </c>
      <c r="AV120" s="21">
        <f>EXP(-LN(2)/25)*AV119+(1-EXP(-LN(2)/25))/(LN(2)/25)*Calculateur!AQ120*Calculateur!AS120*VLOOKUP('Données projet'!$B$10,Paramètres!$A$1:$I$89,3,0)*0.475*44/12</f>
        <v>24.058717152602501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59.449923869230048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-2.8421709430404007E-13</v>
      </c>
      <c r="BE120" s="13">
        <f>BD120*VLOOKUP('Données projet'!$B$11,Paramètres!$A$1:$I$89,3,0)*VLOOKUP('Données projet'!$B$11,Paramètres!$A$1:$I$89,5,0)</f>
        <v>-2.7489477361086758E-13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508.3185483454435</v>
      </c>
      <c r="BJ120" s="59">
        <f t="shared" si="92"/>
        <v>487.08233034004945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70.640257982045213</v>
      </c>
      <c r="BQ120" s="21">
        <f>EXP(-LN(2)/25)*BQ119+(1-EXP(-LN(2)/25))/(LN(2)/25)*Calculateur!BL120*Calculateur!BN120*VLOOKUP('Données projet'!$B$11,Paramètres!$A$1:$I$89,3,0)*0.475*44/12</f>
        <v>1.7840141467593544</v>
      </c>
      <c r="BR120" s="21">
        <f>EXP(-LN(2)/2)*BR119+(1-EXP(-LN(2)/2))/(LN(2)/2)*BL120*BO120*VLOOKUP('Données projet'!$B$11,Paramètres!$A$1:$I$89,3,0)*0.475*44/12</f>
        <v>1.8907616206017178E-4</v>
      </c>
      <c r="BS120" s="22">
        <f t="shared" si="63"/>
        <v>72.424461204966633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-2.8421709430404007E-13</v>
      </c>
      <c r="BZ120" s="13">
        <f>BY120*VLOOKUP('Données projet'!$B$12,Paramètres!$A$1:$I$89,3,0)*VLOOKUP('Données projet'!$B$12,Paramètres!$A$1:$I$89,5,0)</f>
        <v>-2.3055690689943731E-13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436.50252985867149</v>
      </c>
      <c r="CE120" s="59">
        <f t="shared" si="94"/>
        <v>419.00806288456329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59.24666798494119</v>
      </c>
      <c r="CL120" s="21">
        <f>EXP(-LN(2)/25)*CL119+(1-EXP(-LN(2)/25))/(LN(2)/25)*Calculateur!CG120*Calculateur!CI120*VLOOKUP('Données projet'!$B$12,Paramètres!$A$1:$I$89,3,0)*0.475*44/12</f>
        <v>1.4962699295401038</v>
      </c>
      <c r="CM120" s="21">
        <f>EXP(-LN(2)/2)*CM119+(1-EXP(-LN(2)/2))/(LN(2)/2)*CG120*CJ120*VLOOKUP('Données projet'!$B$12,Paramètres!$A$1:$I$89,3,0)*0.475*44/12</f>
        <v>1.5858000688917666E-4</v>
      </c>
      <c r="CN120" s="22">
        <f t="shared" si="66"/>
        <v>60.743096494488185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-2.8421709430404007E-13</v>
      </c>
      <c r="CU120" s="17">
        <f>CT120*VLOOKUP('Données projet'!$B$13,Paramètres!$A$1:$I$89,3,0)*VLOOKUP('Données projet'!$B$13,Paramètres!$A$1:$I$89,5,0)</f>
        <v>-2.7489477361086758E-13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508.3185483454435</v>
      </c>
      <c r="CZ120" s="59">
        <f t="shared" si="96"/>
        <v>487.08233034004945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70.640257982045213</v>
      </c>
      <c r="DG120" s="21">
        <f>EXP(-LN(2)/25)*DG119+(1-EXP(-LN(2)/25))/(LN(2)/25)*Calculateur!DB120*Calculateur!DD120*VLOOKUP('Données projet'!$B$13,Paramètres!$A$1:$I$89,3,0)*0.475*44/12</f>
        <v>1.7840141467593544</v>
      </c>
      <c r="DH120" s="21">
        <f>EXP(-LN(2)/2)*DH119+(1-EXP(-LN(2)/2))/(LN(2)/2)*DB120*DE120*VLOOKUP('Données projet'!$B$13,Paramètres!$A$1:$I$89,3,0)*0.475*44/12</f>
        <v>1.8907616206017178E-4</v>
      </c>
      <c r="DI120" s="22">
        <f t="shared" si="69"/>
        <v>72.424461204966633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-2.8421709430404007E-13</v>
      </c>
      <c r="DP120" s="17">
        <f>DO120*VLOOKUP('Données projet'!$B$14,Paramètres!$A$1:$I$89,3,0)*VLOOKUP('Données projet'!$B$14,Paramètres!$A$1:$I$89,5,0)</f>
        <v>-2.7489477361086758E-13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508.3185483454435</v>
      </c>
      <c r="DU120" s="59">
        <f t="shared" si="98"/>
        <v>487.08233034004945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70.640257982045213</v>
      </c>
      <c r="EB120" s="21">
        <f>EXP(-LN(2)/25)*EB119+(1-EXP(-LN(2)/25))/(LN(2)/25)*Calculateur!DW120*Calculateur!DY120*VLOOKUP('Données projet'!$B$14,Paramètres!$A$1:$I$89,3,0)*0.475*44/12</f>
        <v>1.7840141467593544</v>
      </c>
      <c r="EC120" s="21">
        <f>EXP(-LN(2)/2)*EC119+(1-EXP(-LN(2)/2))/(LN(2)/2)*DW120*DZ120*VLOOKUP('Données projet'!$B$14,Paramètres!$A$1:$I$89,3,0)*0.475*44/12</f>
        <v>1.8907616206017178E-4</v>
      </c>
      <c r="ED120" s="22">
        <f t="shared" si="72"/>
        <v>72.424461204966633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6.8888888888888893</v>
      </c>
      <c r="N121" s="13">
        <f>IF('Données projet'!$A$36&gt;35,N120+M121-V120,IF(A121&lt;'Données projet'!$A$36,$K$205^A121,IF(A121='Données projet'!$A$36,'Données projet'!$B$36,N120+M121-V120)))</f>
        <v>362.55555555555509</v>
      </c>
      <c r="O121" s="13">
        <f>N121*VLOOKUP('Données projet'!$B$9,Paramètres!$A$1:$I$89,3,0)*VLOOKUP('Données projet'!$B$9,Paramètres!$A$1:$I$89,5,0)</f>
        <v>328.04026666666624</v>
      </c>
      <c r="P121" s="13">
        <f t="shared" si="87"/>
        <v>77.023863712411838</v>
      </c>
      <c r="Q121" s="20">
        <f t="shared" si="107"/>
        <v>705.48669374356086</v>
      </c>
      <c r="R121" s="59">
        <f t="shared" si="55"/>
        <v>987.19501710816121</v>
      </c>
      <c r="S121" s="59">
        <f ca="1">AVERAGE(OFFSET($R$3,0,0,'Données projet'!$E$9+1,1))-AVERAGE(OFFSET($H$3,0,0,'Données projet'!$E$9+1,1))</f>
        <v>569.49435820174267</v>
      </c>
      <c r="T121" s="59">
        <f t="shared" si="88"/>
        <v>295.37730858134739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30.960584475173949</v>
      </c>
      <c r="AA121" s="21">
        <f>EXP(-LN(2)/25)*AA120+(1-EXP(-LN(2)/25))/(LN(2)/25)*Calculateur!V121*Calculateur!X121*VLOOKUP('Données projet'!$B$9,Paramètres!$A$1:$I$89,3,0)*0.475*44/12</f>
        <v>20.880740853516237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51.841325328690189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6.8888888888888893</v>
      </c>
      <c r="AI121" s="13">
        <f>IF('Données projet'!$A$62&gt;35,AI120+AH121-AQ120,IF(A121&lt;'Données projet'!$A$62,$AF$205^A121,IF(A121='Données projet'!$A$62,'Données projet'!$B$62,AI120+AH121-AQ120)))</f>
        <v>362.55555555555509</v>
      </c>
      <c r="AJ121" s="13">
        <f>AI121*VLOOKUP('Données projet'!$B$10,Paramètres!$A$1:$I$89,3,0)*VLOOKUP('Données projet'!$B$10,Paramètres!$A$1:$I$89,5,0)</f>
        <v>367.63133333333286</v>
      </c>
      <c r="AK121" s="13">
        <f t="shared" si="89"/>
        <v>85.182536293369054</v>
      </c>
      <c r="AL121" s="20">
        <f t="shared" si="58"/>
        <v>788.65082293317255</v>
      </c>
      <c r="AM121" s="59">
        <f t="shared" si="59"/>
        <v>1070.3591462977729</v>
      </c>
      <c r="AN121" s="59">
        <f ca="1">AVERAGE(OFFSET($AM$3,0,0,'Données projet'!$E$10+1,1))-AVERAGE(OFFSET($H$3,0,0,'Données projet'!$E$10+1,1))</f>
        <v>627.83896530587367</v>
      </c>
      <c r="AO121" s="59">
        <f t="shared" si="90"/>
        <v>323.54927030899489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34.697206739419087</v>
      </c>
      <c r="AV121" s="21">
        <f>EXP(-LN(2)/25)*AV120+(1-EXP(-LN(2)/25))/(LN(2)/25)*Calculateur!AQ121*Calculateur!AS121*VLOOKUP('Données projet'!$B$10,Paramètres!$A$1:$I$89,3,0)*0.475*44/12</f>
        <v>23.400830266871637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58.098037006290724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-2.8421709430404007E-13</v>
      </c>
      <c r="BE121" s="13">
        <f>BD121*VLOOKUP('Données projet'!$B$11,Paramètres!$A$1:$I$89,3,0)*VLOOKUP('Données projet'!$B$11,Paramètres!$A$1:$I$89,5,0)</f>
        <v>-2.7489477361086758E-13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508.3185483454435</v>
      </c>
      <c r="BJ121" s="59">
        <f t="shared" si="92"/>
        <v>487.08233034004945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69.255045609320263</v>
      </c>
      <c r="BQ121" s="21">
        <f>EXP(-LN(2)/25)*BQ120+(1-EXP(-LN(2)/25))/(LN(2)/25)*Calculateur!BL121*Calculateur!BN121*VLOOKUP('Données projet'!$B$11,Paramètres!$A$1:$I$89,3,0)*0.475*44/12</f>
        <v>1.7352301860989934</v>
      </c>
      <c r="BR121" s="21">
        <f>EXP(-LN(2)/2)*BR120+(1-EXP(-LN(2)/2))/(LN(2)/2)*BL121*BO121*VLOOKUP('Données projet'!$B$11,Paramètres!$A$1:$I$89,3,0)*0.475*44/12</f>
        <v>1.3369703635347408E-4</v>
      </c>
      <c r="BS121" s="22">
        <f t="shared" si="63"/>
        <v>70.990409492455598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-2.8421709430404007E-13</v>
      </c>
      <c r="BZ121" s="13">
        <f>BY121*VLOOKUP('Données projet'!$B$12,Paramètres!$A$1:$I$89,3,0)*VLOOKUP('Données projet'!$B$12,Paramètres!$A$1:$I$89,5,0)</f>
        <v>-2.3055690689943731E-13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436.50252985867149</v>
      </c>
      <c r="CE121" s="59">
        <f t="shared" si="94"/>
        <v>419.00806288456329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58.084876962655741</v>
      </c>
      <c r="CL121" s="21">
        <f>EXP(-LN(2)/25)*CL120+(1-EXP(-LN(2)/25))/(LN(2)/25)*Calculateur!CG121*Calculateur!CI121*VLOOKUP('Données projet'!$B$12,Paramètres!$A$1:$I$89,3,0)*0.475*44/12</f>
        <v>1.4553543496314139</v>
      </c>
      <c r="CM121" s="21">
        <f>EXP(-LN(2)/2)*CM120+(1-EXP(-LN(2)/2))/(LN(2)/2)*CG121*CJ121*VLOOKUP('Données projet'!$B$12,Paramètres!$A$1:$I$89,3,0)*0.475*44/12</f>
        <v>1.1213299823194624E-4</v>
      </c>
      <c r="CN121" s="22">
        <f t="shared" si="66"/>
        <v>59.540343445285387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-2.8421709430404007E-13</v>
      </c>
      <c r="CU121" s="17">
        <f>CT121*VLOOKUP('Données projet'!$B$13,Paramètres!$A$1:$I$89,3,0)*VLOOKUP('Données projet'!$B$13,Paramètres!$A$1:$I$89,5,0)</f>
        <v>-2.7489477361086758E-13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508.3185483454435</v>
      </c>
      <c r="CZ121" s="59">
        <f t="shared" si="96"/>
        <v>487.08233034004945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69.255045609320263</v>
      </c>
      <c r="DG121" s="21">
        <f>EXP(-LN(2)/25)*DG120+(1-EXP(-LN(2)/25))/(LN(2)/25)*Calculateur!DB121*Calculateur!DD121*VLOOKUP('Données projet'!$B$13,Paramètres!$A$1:$I$89,3,0)*0.475*44/12</f>
        <v>1.7352301860989934</v>
      </c>
      <c r="DH121" s="21">
        <f>EXP(-LN(2)/2)*DH120+(1-EXP(-LN(2)/2))/(LN(2)/2)*DB121*DE121*VLOOKUP('Données projet'!$B$13,Paramètres!$A$1:$I$89,3,0)*0.475*44/12</f>
        <v>1.3369703635347408E-4</v>
      </c>
      <c r="DI121" s="22">
        <f t="shared" si="69"/>
        <v>70.990409492455598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-2.8421709430404007E-13</v>
      </c>
      <c r="DP121" s="17">
        <f>DO121*VLOOKUP('Données projet'!$B$14,Paramètres!$A$1:$I$89,3,0)*VLOOKUP('Données projet'!$B$14,Paramètres!$A$1:$I$89,5,0)</f>
        <v>-2.7489477361086758E-13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508.3185483454435</v>
      </c>
      <c r="DU121" s="59">
        <f t="shared" si="98"/>
        <v>487.08233034004945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69.255045609320263</v>
      </c>
      <c r="EB121" s="21">
        <f>EXP(-LN(2)/25)*EB120+(1-EXP(-LN(2)/25))/(LN(2)/25)*Calculateur!DW121*Calculateur!DY121*VLOOKUP('Données projet'!$B$14,Paramètres!$A$1:$I$89,3,0)*0.475*44/12</f>
        <v>1.7352301860989934</v>
      </c>
      <c r="EC121" s="21">
        <f>EXP(-LN(2)/2)*EC120+(1-EXP(-LN(2)/2))/(LN(2)/2)*DW121*DZ121*VLOOKUP('Données projet'!$B$14,Paramètres!$A$1:$I$89,3,0)*0.475*44/12</f>
        <v>1.3369703635347408E-4</v>
      </c>
      <c r="ED121" s="22">
        <f t="shared" si="72"/>
        <v>70.990409492455598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6.8888888888888893</v>
      </c>
      <c r="N122" s="13">
        <f>IF('Données projet'!$A$36&gt;35,N121+M122-V121,IF(A122&lt;'Données projet'!$A$36,$K$205^A122,IF(A122='Données projet'!$A$36,'Données projet'!$B$36,N121+M122-V121)))</f>
        <v>369.444444444444</v>
      </c>
      <c r="O122" s="13">
        <f>N122*VLOOKUP('Données projet'!$B$9,Paramètres!$A$1:$I$89,3,0)*VLOOKUP('Données projet'!$B$9,Paramètres!$A$1:$I$89,5,0)</f>
        <v>334.27333333333291</v>
      </c>
      <c r="P122" s="13">
        <f t="shared" si="87"/>
        <v>78.315613673397451</v>
      </c>
      <c r="Q122" s="20">
        <f t="shared" si="107"/>
        <v>718.59241603672206</v>
      </c>
      <c r="R122" s="59">
        <f t="shared" si="55"/>
        <v>1000.5024073346513</v>
      </c>
      <c r="S122" s="59">
        <f ca="1">AVERAGE(OFFSET($R$3,0,0,'Données projet'!$E$9+1,1))-AVERAGE(OFFSET($H$3,0,0,'Données projet'!$E$9+1,1))</f>
        <v>569.49435820174267</v>
      </c>
      <c r="T122" s="59">
        <f t="shared" si="88"/>
        <v>295.37730858134739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30.353466297707669</v>
      </c>
      <c r="AA122" s="21">
        <f>EXP(-LN(2)/25)*AA121+(1-EXP(-LN(2)/25))/(LN(2)/25)*Calculateur!V122*Calculateur!X122*VLOOKUP('Données projet'!$B$9,Paramètres!$A$1:$I$89,3,0)*0.475*44/12</f>
        <v>20.309755896806397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50.663222194514063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6.8888888888888893</v>
      </c>
      <c r="AI122" s="13">
        <f>IF('Données projet'!$A$62&gt;35,AI121+AH122-AQ121,IF(A122&lt;'Données projet'!$A$62,$AF$205^A122,IF(A122='Données projet'!$A$62,'Données projet'!$B$62,AI121+AH122-AQ121)))</f>
        <v>369.444444444444</v>
      </c>
      <c r="AJ122" s="13">
        <f>AI122*VLOOKUP('Données projet'!$B$10,Paramètres!$A$1:$I$89,3,0)*VLOOKUP('Données projet'!$B$10,Paramètres!$A$1:$I$89,5,0)</f>
        <v>374.61666666666622</v>
      </c>
      <c r="AK122" s="13">
        <f t="shared" si="89"/>
        <v>86.611113524244615</v>
      </c>
      <c r="AL122" s="20">
        <f t="shared" si="58"/>
        <v>803.30505049916974</v>
      </c>
      <c r="AM122" s="59">
        <f t="shared" si="59"/>
        <v>1085.2150417970988</v>
      </c>
      <c r="AN122" s="59">
        <f ca="1">AVERAGE(OFFSET($AM$3,0,0,'Données projet'!$E$10+1,1))-AVERAGE(OFFSET($H$3,0,0,'Données projet'!$E$10+1,1))</f>
        <v>627.83896530587367</v>
      </c>
      <c r="AO122" s="59">
        <f t="shared" si="90"/>
        <v>323.54927030899489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34.016815678465498</v>
      </c>
      <c r="AV122" s="21">
        <f>EXP(-LN(2)/25)*AV121+(1-EXP(-LN(2)/25))/(LN(2)/25)*Calculateur!AQ122*Calculateur!AS122*VLOOKUP('Données projet'!$B$10,Paramètres!$A$1:$I$89,3,0)*0.475*44/12</f>
        <v>22.76093333262785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56.777749011093348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-2.8421709430404007E-13</v>
      </c>
      <c r="BE122" s="13">
        <f>BD122*VLOOKUP('Données projet'!$B$11,Paramètres!$A$1:$I$89,3,0)*VLOOKUP('Données projet'!$B$11,Paramètres!$A$1:$I$89,5,0)</f>
        <v>-2.7489477361086758E-13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508.3185483454435</v>
      </c>
      <c r="BJ122" s="59">
        <f t="shared" si="92"/>
        <v>487.08233034004945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67.896996406328327</v>
      </c>
      <c r="BQ122" s="21">
        <f>EXP(-LN(2)/25)*BQ121+(1-EXP(-LN(2)/25))/(LN(2)/25)*Calculateur!BL122*Calculateur!BN122*VLOOKUP('Données projet'!$B$11,Paramètres!$A$1:$I$89,3,0)*0.475*44/12</f>
        <v>1.6877802254083267</v>
      </c>
      <c r="BR122" s="21">
        <f>EXP(-LN(2)/2)*BR121+(1-EXP(-LN(2)/2))/(LN(2)/2)*BL122*BO122*VLOOKUP('Données projet'!$B$11,Paramètres!$A$1:$I$89,3,0)*0.475*44/12</f>
        <v>9.4538081030085889E-5</v>
      </c>
      <c r="BS122" s="22">
        <f t="shared" si="63"/>
        <v>69.584871169817688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-2.8421709430404007E-13</v>
      </c>
      <c r="BZ122" s="13">
        <f>BY122*VLOOKUP('Données projet'!$B$12,Paramètres!$A$1:$I$89,3,0)*VLOOKUP('Données projet'!$B$12,Paramètres!$A$1:$I$89,5,0)</f>
        <v>-2.3055690689943731E-13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436.50252985867149</v>
      </c>
      <c r="CE122" s="59">
        <f t="shared" si="94"/>
        <v>419.00806288456329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56.945867953694759</v>
      </c>
      <c r="CL122" s="21">
        <f>EXP(-LN(2)/25)*CL121+(1-EXP(-LN(2)/25))/(LN(2)/25)*Calculateur!CG122*Calculateur!CI122*VLOOKUP('Données projet'!$B$12,Paramètres!$A$1:$I$89,3,0)*0.475*44/12</f>
        <v>1.4155576084069839</v>
      </c>
      <c r="CM122" s="21">
        <f>EXP(-LN(2)/2)*CM121+(1-EXP(-LN(2)/2))/(LN(2)/2)*CG122*CJ122*VLOOKUP('Données projet'!$B$12,Paramètres!$A$1:$I$89,3,0)*0.475*44/12</f>
        <v>7.9290003444588332E-5</v>
      </c>
      <c r="CN122" s="22">
        <f t="shared" si="66"/>
        <v>58.361504852105185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-2.8421709430404007E-13</v>
      </c>
      <c r="CU122" s="17">
        <f>CT122*VLOOKUP('Données projet'!$B$13,Paramètres!$A$1:$I$89,3,0)*VLOOKUP('Données projet'!$B$13,Paramètres!$A$1:$I$89,5,0)</f>
        <v>-2.7489477361086758E-13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508.3185483454435</v>
      </c>
      <c r="CZ122" s="59">
        <f t="shared" si="96"/>
        <v>487.08233034004945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67.896996406328327</v>
      </c>
      <c r="DG122" s="21">
        <f>EXP(-LN(2)/25)*DG121+(1-EXP(-LN(2)/25))/(LN(2)/25)*Calculateur!DB122*Calculateur!DD122*VLOOKUP('Données projet'!$B$13,Paramètres!$A$1:$I$89,3,0)*0.475*44/12</f>
        <v>1.6877802254083267</v>
      </c>
      <c r="DH122" s="21">
        <f>EXP(-LN(2)/2)*DH121+(1-EXP(-LN(2)/2))/(LN(2)/2)*DB122*DE122*VLOOKUP('Données projet'!$B$13,Paramètres!$A$1:$I$89,3,0)*0.475*44/12</f>
        <v>9.4538081030085889E-5</v>
      </c>
      <c r="DI122" s="22">
        <f t="shared" si="69"/>
        <v>69.584871169817688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-2.8421709430404007E-13</v>
      </c>
      <c r="DP122" s="17">
        <f>DO122*VLOOKUP('Données projet'!$B$14,Paramètres!$A$1:$I$89,3,0)*VLOOKUP('Données projet'!$B$14,Paramètres!$A$1:$I$89,5,0)</f>
        <v>-2.7489477361086758E-13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508.3185483454435</v>
      </c>
      <c r="DU122" s="59">
        <f t="shared" si="98"/>
        <v>487.08233034004945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67.896996406328327</v>
      </c>
      <c r="EB122" s="21">
        <f>EXP(-LN(2)/25)*EB121+(1-EXP(-LN(2)/25))/(LN(2)/25)*Calculateur!DW122*Calculateur!DY122*VLOOKUP('Données projet'!$B$14,Paramètres!$A$1:$I$89,3,0)*0.475*44/12</f>
        <v>1.6877802254083267</v>
      </c>
      <c r="EC122" s="21">
        <f>EXP(-LN(2)/2)*EC121+(1-EXP(-LN(2)/2))/(LN(2)/2)*DW122*DZ122*VLOOKUP('Données projet'!$B$14,Paramètres!$A$1:$I$89,3,0)*0.475*44/12</f>
        <v>9.4538081030085889E-5</v>
      </c>
      <c r="ED122" s="22">
        <f t="shared" si="72"/>
        <v>69.584871169817688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6.8888888888888893</v>
      </c>
      <c r="N123" s="13">
        <f>IF('Données projet'!$A$36&gt;35,N122+M123-V122,IF(A123&lt;'Données projet'!$A$36,$K$205^A123,IF(A123='Données projet'!$A$36,'Données projet'!$B$36,N122+M123-V122)))</f>
        <v>376.33333333333292</v>
      </c>
      <c r="O123" s="13">
        <f>N123*VLOOKUP('Données projet'!$B$9,Paramètres!$A$1:$I$89,3,0)*VLOOKUP('Données projet'!$B$9,Paramètres!$A$1:$I$89,5,0)</f>
        <v>340.50639999999964</v>
      </c>
      <c r="P123" s="13">
        <f t="shared" si="87"/>
        <v>79.604562803685241</v>
      </c>
      <c r="Q123" s="20">
        <f t="shared" si="107"/>
        <v>731.6932602164178</v>
      </c>
      <c r="R123" s="59">
        <f t="shared" si="55"/>
        <v>1013.8014209598944</v>
      </c>
      <c r="S123" s="59">
        <f ca="1">AVERAGE(OFFSET($R$3,0,0,'Données projet'!$E$9+1,1))-AVERAGE(OFFSET($H$3,0,0,'Données projet'!$E$9+1,1))</f>
        <v>569.49435820174267</v>
      </c>
      <c r="T123" s="59">
        <f t="shared" si="88"/>
        <v>295.37730858134739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29.758253337395978</v>
      </c>
      <c r="AA123" s="21">
        <f>EXP(-LN(2)/25)*AA122+(1-EXP(-LN(2)/25))/(LN(2)/25)*Calculateur!V123*Calculateur!X123*VLOOKUP('Données projet'!$B$9,Paramètres!$A$1:$I$89,3,0)*0.475*44/12</f>
        <v>19.754384553764581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49.512637891160558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6.8888888888888893</v>
      </c>
      <c r="AI123" s="13">
        <f>IF('Données projet'!$A$62&gt;35,AI122+AH123-AQ122,IF(A123&lt;'Données projet'!$A$62,$AF$205^A123,IF(A123='Données projet'!$A$62,'Données projet'!$B$62,AI122+AH123-AQ122)))</f>
        <v>376.33333333333292</v>
      </c>
      <c r="AJ123" s="13">
        <f>AI123*VLOOKUP('Données projet'!$B$10,Paramètres!$A$1:$I$89,3,0)*VLOOKUP('Données projet'!$B$10,Paramètres!$A$1:$I$89,5,0)</f>
        <v>381.60199999999958</v>
      </c>
      <c r="AK123" s="13">
        <f t="shared" si="89"/>
        <v>88.03659324934641</v>
      </c>
      <c r="AL123" s="20">
        <f t="shared" si="58"/>
        <v>817.95388324261091</v>
      </c>
      <c r="AM123" s="59">
        <f t="shared" si="59"/>
        <v>1100.0620439860875</v>
      </c>
      <c r="AN123" s="59">
        <f ca="1">AVERAGE(OFFSET($AM$3,0,0,'Données projet'!$E$10+1,1))-AVERAGE(OFFSET($H$3,0,0,'Données projet'!$E$10+1,1))</f>
        <v>627.83896530587367</v>
      </c>
      <c r="AO123" s="59">
        <f t="shared" si="90"/>
        <v>323.54927030899489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33.349766671219641</v>
      </c>
      <c r="AV123" s="21">
        <f>EXP(-LN(2)/25)*AV122+(1-EXP(-LN(2)/25))/(LN(2)/25)*Calculateur!AQ123*Calculateur!AS123*VLOOKUP('Données projet'!$B$10,Paramètres!$A$1:$I$89,3,0)*0.475*44/12</f>
        <v>22.138534413701677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55.488301084921318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-2.8421709430404007E-13</v>
      </c>
      <c r="BE123" s="13">
        <f>BD123*VLOOKUP('Données projet'!$B$11,Paramètres!$A$1:$I$89,3,0)*VLOOKUP('Données projet'!$B$11,Paramètres!$A$1:$I$89,5,0)</f>
        <v>-2.7489477361086758E-13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508.3185483454435</v>
      </c>
      <c r="BJ123" s="59">
        <f t="shared" si="92"/>
        <v>487.08233034004945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66.565577719878831</v>
      </c>
      <c r="BQ123" s="21">
        <f>EXP(-LN(2)/25)*BQ122+(1-EXP(-LN(2)/25))/(LN(2)/25)*Calculateur!BL123*Calculateur!BN123*VLOOKUP('Données projet'!$B$11,Paramètres!$A$1:$I$89,3,0)*0.475*44/12</f>
        <v>1.6416277863880315</v>
      </c>
      <c r="BR123" s="21">
        <f>EXP(-LN(2)/2)*BR122+(1-EXP(-LN(2)/2))/(LN(2)/2)*BL123*BO123*VLOOKUP('Données projet'!$B$11,Paramètres!$A$1:$I$89,3,0)*0.475*44/12</f>
        <v>6.6848518176737041E-5</v>
      </c>
      <c r="BS123" s="22">
        <f t="shared" si="63"/>
        <v>68.207272354785033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-2.8421709430404007E-13</v>
      </c>
      <c r="BZ123" s="13">
        <f>BY123*VLOOKUP('Données projet'!$B$12,Paramètres!$A$1:$I$89,3,0)*VLOOKUP('Données projet'!$B$12,Paramètres!$A$1:$I$89,5,0)</f>
        <v>-2.3055690689943731E-13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436.50252985867149</v>
      </c>
      <c r="CE123" s="59">
        <f t="shared" si="94"/>
        <v>419.00806288456329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55.829194216672605</v>
      </c>
      <c r="CL123" s="21">
        <f>EXP(-LN(2)/25)*CL122+(1-EXP(-LN(2)/25))/(LN(2)/25)*Calculateur!CG123*Calculateur!CI123*VLOOKUP('Données projet'!$B$12,Paramètres!$A$1:$I$89,3,0)*0.475*44/12</f>
        <v>1.3768491111641556</v>
      </c>
      <c r="CM123" s="21">
        <f>EXP(-LN(2)/2)*CM122+(1-EXP(-LN(2)/2))/(LN(2)/2)*CG123*CJ123*VLOOKUP('Données projet'!$B$12,Paramètres!$A$1:$I$89,3,0)*0.475*44/12</f>
        <v>5.6066499115973122E-5</v>
      </c>
      <c r="CN123" s="22">
        <f t="shared" si="66"/>
        <v>57.206099394335872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-2.8421709430404007E-13</v>
      </c>
      <c r="CU123" s="17">
        <f>CT123*VLOOKUP('Données projet'!$B$13,Paramètres!$A$1:$I$89,3,0)*VLOOKUP('Données projet'!$B$13,Paramètres!$A$1:$I$89,5,0)</f>
        <v>-2.7489477361086758E-13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508.3185483454435</v>
      </c>
      <c r="CZ123" s="59">
        <f t="shared" si="96"/>
        <v>487.08233034004945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66.565577719878831</v>
      </c>
      <c r="DG123" s="21">
        <f>EXP(-LN(2)/25)*DG122+(1-EXP(-LN(2)/25))/(LN(2)/25)*Calculateur!DB123*Calculateur!DD123*VLOOKUP('Données projet'!$B$13,Paramètres!$A$1:$I$89,3,0)*0.475*44/12</f>
        <v>1.6416277863880315</v>
      </c>
      <c r="DH123" s="21">
        <f>EXP(-LN(2)/2)*DH122+(1-EXP(-LN(2)/2))/(LN(2)/2)*DB123*DE123*VLOOKUP('Données projet'!$B$13,Paramètres!$A$1:$I$89,3,0)*0.475*44/12</f>
        <v>6.6848518176737041E-5</v>
      </c>
      <c r="DI123" s="22">
        <f t="shared" si="69"/>
        <v>68.207272354785033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-2.8421709430404007E-13</v>
      </c>
      <c r="DP123" s="17">
        <f>DO123*VLOOKUP('Données projet'!$B$14,Paramètres!$A$1:$I$89,3,0)*VLOOKUP('Données projet'!$B$14,Paramètres!$A$1:$I$89,5,0)</f>
        <v>-2.7489477361086758E-13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508.3185483454435</v>
      </c>
      <c r="DU123" s="59">
        <f t="shared" si="98"/>
        <v>487.08233034004945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66.565577719878831</v>
      </c>
      <c r="EB123" s="21">
        <f>EXP(-LN(2)/25)*EB122+(1-EXP(-LN(2)/25))/(LN(2)/25)*Calculateur!DW123*Calculateur!DY123*VLOOKUP('Données projet'!$B$14,Paramètres!$A$1:$I$89,3,0)*0.475*44/12</f>
        <v>1.6416277863880315</v>
      </c>
      <c r="EC123" s="21">
        <f>EXP(-LN(2)/2)*EC122+(1-EXP(-LN(2)/2))/(LN(2)/2)*DW123*DZ123*VLOOKUP('Données projet'!$B$14,Paramètres!$A$1:$I$89,3,0)*0.475*44/12</f>
        <v>6.6848518176737041E-5</v>
      </c>
      <c r="ED123" s="22">
        <f t="shared" si="72"/>
        <v>68.207272354785033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6.8888888888888893</v>
      </c>
      <c r="N124" s="13">
        <f>IF('Données projet'!$A$36&gt;35,N123+M124-V123,IF(A124&lt;'Données projet'!$A$36,$K$205^A124,IF(A124='Données projet'!$A$36,'Données projet'!$B$36,N123+M124-V123)))</f>
        <v>383.22222222222183</v>
      </c>
      <c r="O124" s="13">
        <f>N124*VLOOKUP('Données projet'!$B$9,Paramètres!$A$1:$I$89,3,0)*VLOOKUP('Données projet'!$B$9,Paramètres!$A$1:$I$89,5,0)</f>
        <v>346.73946666666632</v>
      </c>
      <c r="P124" s="13">
        <f t="shared" si="87"/>
        <v>80.890768286611575</v>
      </c>
      <c r="Q124" s="20">
        <f t="shared" si="107"/>
        <v>744.78932587695897</v>
      </c>
      <c r="R124" s="59">
        <f t="shared" si="55"/>
        <v>1027.0922182691434</v>
      </c>
      <c r="S124" s="59">
        <f ca="1">AVERAGE(OFFSET($R$3,0,0,'Données projet'!$E$9+1,1))-AVERAGE(OFFSET($H$3,0,0,'Données projet'!$E$9+1,1))</f>
        <v>569.49435820174267</v>
      </c>
      <c r="T124" s="59">
        <f t="shared" si="88"/>
        <v>295.37730858134739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29.174712140191943</v>
      </c>
      <c r="AA124" s="21">
        <f>EXP(-LN(2)/25)*AA123+(1-EXP(-LN(2)/25))/(LN(2)/25)*Calculateur!V124*Calculateur!X124*VLOOKUP('Données projet'!$B$9,Paramètres!$A$1:$I$89,3,0)*0.475*44/12</f>
        <v>19.214199869303954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48.388912009495897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6.8888888888888893</v>
      </c>
      <c r="AI124" s="13">
        <f>IF('Données projet'!$A$62&gt;35,AI123+AH124-AQ123,IF(A124&lt;'Données projet'!$A$62,$AF$205^A124,IF(A124='Données projet'!$A$62,'Données projet'!$B$62,AI123+AH124-AQ123)))</f>
        <v>383.22222222222183</v>
      </c>
      <c r="AJ124" s="13">
        <f>AI124*VLOOKUP('Données projet'!$B$10,Paramètres!$A$1:$I$89,3,0)*VLOOKUP('Données projet'!$B$10,Paramètres!$A$1:$I$89,5,0)</f>
        <v>388.58733333333299</v>
      </c>
      <c r="AK124" s="13">
        <f t="shared" si="89"/>
        <v>89.459038709096291</v>
      </c>
      <c r="AL124" s="20">
        <f t="shared" si="58"/>
        <v>832.59743130723098</v>
      </c>
      <c r="AM124" s="59">
        <f t="shared" si="59"/>
        <v>1114.9003236994154</v>
      </c>
      <c r="AN124" s="59">
        <f ca="1">AVERAGE(OFFSET($AM$3,0,0,'Données projet'!$E$10+1,1))-AVERAGE(OFFSET($H$3,0,0,'Données projet'!$E$10+1,1))</f>
        <v>627.83896530587367</v>
      </c>
      <c r="AO124" s="59">
        <f t="shared" si="90"/>
        <v>323.54927030899489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32.695798088146148</v>
      </c>
      <c r="AV124" s="21">
        <f>EXP(-LN(2)/25)*AV123+(1-EXP(-LN(2)/25))/(LN(2)/25)*Calculateur!AQ124*Calculateur!AS124*VLOOKUP('Données projet'!$B$10,Paramètres!$A$1:$I$89,3,0)*0.475*44/12</f>
        <v>21.53315502594408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54.228953114090231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-2.8421709430404007E-13</v>
      </c>
      <c r="BE124" s="13">
        <f>BD124*VLOOKUP('Données projet'!$B$11,Paramètres!$A$1:$I$89,3,0)*VLOOKUP('Données projet'!$B$11,Paramètres!$A$1:$I$89,5,0)</f>
        <v>-2.7489477361086758E-13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508.3185483454435</v>
      </c>
      <c r="BJ124" s="59">
        <f t="shared" si="92"/>
        <v>487.08233034004945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65.260267341785408</v>
      </c>
      <c r="BQ124" s="21">
        <f>EXP(-LN(2)/25)*BQ123+(1-EXP(-LN(2)/25))/(LN(2)/25)*Calculateur!BL124*Calculateur!BN124*VLOOKUP('Données projet'!$B$11,Paramètres!$A$1:$I$89,3,0)*0.475*44/12</f>
        <v>1.5967373882397975</v>
      </c>
      <c r="BR124" s="21">
        <f>EXP(-LN(2)/2)*BR123+(1-EXP(-LN(2)/2))/(LN(2)/2)*BL124*BO124*VLOOKUP('Données projet'!$B$11,Paramètres!$A$1:$I$89,3,0)*0.475*44/12</f>
        <v>4.7269040515042944E-5</v>
      </c>
      <c r="BS124" s="22">
        <f t="shared" si="63"/>
        <v>66.857051999065732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-2.8421709430404007E-13</v>
      </c>
      <c r="BZ124" s="13">
        <f>BY124*VLOOKUP('Données projet'!$B$12,Paramètres!$A$1:$I$89,3,0)*VLOOKUP('Données projet'!$B$12,Paramètres!$A$1:$I$89,5,0)</f>
        <v>-2.3055690689943731E-13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436.50252985867149</v>
      </c>
      <c r="CE124" s="59">
        <f t="shared" si="94"/>
        <v>419.00806288456329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54.734417770529724</v>
      </c>
      <c r="CL124" s="21">
        <f>EXP(-LN(2)/25)*CL123+(1-EXP(-LN(2)/25))/(LN(2)/25)*Calculateur!CG124*Calculateur!CI124*VLOOKUP('Données projet'!$B$12,Paramètres!$A$1:$I$89,3,0)*0.475*44/12</f>
        <v>1.339199099814024</v>
      </c>
      <c r="CM124" s="21">
        <f>EXP(-LN(2)/2)*CM123+(1-EXP(-LN(2)/2))/(LN(2)/2)*CG124*CJ124*VLOOKUP('Données projet'!$B$12,Paramètres!$A$1:$I$89,3,0)*0.475*44/12</f>
        <v>3.9645001722294166E-5</v>
      </c>
      <c r="CN124" s="22">
        <f t="shared" si="66"/>
        <v>56.073656515345469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-2.8421709430404007E-13</v>
      </c>
      <c r="CU124" s="17">
        <f>CT124*VLOOKUP('Données projet'!$B$13,Paramètres!$A$1:$I$89,3,0)*VLOOKUP('Données projet'!$B$13,Paramètres!$A$1:$I$89,5,0)</f>
        <v>-2.7489477361086758E-13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508.3185483454435</v>
      </c>
      <c r="CZ124" s="59">
        <f t="shared" si="96"/>
        <v>487.08233034004945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65.260267341785408</v>
      </c>
      <c r="DG124" s="21">
        <f>EXP(-LN(2)/25)*DG123+(1-EXP(-LN(2)/25))/(LN(2)/25)*Calculateur!DB124*Calculateur!DD124*VLOOKUP('Données projet'!$B$13,Paramètres!$A$1:$I$89,3,0)*0.475*44/12</f>
        <v>1.5967373882397975</v>
      </c>
      <c r="DH124" s="21">
        <f>EXP(-LN(2)/2)*DH123+(1-EXP(-LN(2)/2))/(LN(2)/2)*DB124*DE124*VLOOKUP('Données projet'!$B$13,Paramètres!$A$1:$I$89,3,0)*0.475*44/12</f>
        <v>4.7269040515042944E-5</v>
      </c>
      <c r="DI124" s="22">
        <f t="shared" si="69"/>
        <v>66.857051999065732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-2.8421709430404007E-13</v>
      </c>
      <c r="DP124" s="17">
        <f>DO124*VLOOKUP('Données projet'!$B$14,Paramètres!$A$1:$I$89,3,0)*VLOOKUP('Données projet'!$B$14,Paramètres!$A$1:$I$89,5,0)</f>
        <v>-2.7489477361086758E-13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508.3185483454435</v>
      </c>
      <c r="DU124" s="59">
        <f t="shared" si="98"/>
        <v>487.08233034004945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65.260267341785408</v>
      </c>
      <c r="EB124" s="21">
        <f>EXP(-LN(2)/25)*EB123+(1-EXP(-LN(2)/25))/(LN(2)/25)*Calculateur!DW124*Calculateur!DY124*VLOOKUP('Données projet'!$B$14,Paramètres!$A$1:$I$89,3,0)*0.475*44/12</f>
        <v>1.5967373882397975</v>
      </c>
      <c r="EC124" s="21">
        <f>EXP(-LN(2)/2)*EC123+(1-EXP(-LN(2)/2))/(LN(2)/2)*DW124*DZ124*VLOOKUP('Données projet'!$B$14,Paramètres!$A$1:$I$89,3,0)*0.475*44/12</f>
        <v>4.7269040515042944E-5</v>
      </c>
      <c r="ED124" s="22">
        <f t="shared" si="72"/>
        <v>66.857051999065732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6.8888888888888893</v>
      </c>
      <c r="N125" s="13">
        <f>IF('Données projet'!$A$36&gt;35,N124+M125-V124,IF(A125&lt;'Données projet'!$A$36,$K$205^A125,IF(A125='Données projet'!$A$36,'Données projet'!$B$36,N124+M125-V124)))</f>
        <v>390.11111111111074</v>
      </c>
      <c r="O125" s="13">
        <f>N125*VLOOKUP('Données projet'!$B$9,Paramètres!$A$1:$I$89,3,0)*VLOOKUP('Données projet'!$B$9,Paramètres!$A$1:$I$89,5,0)</f>
        <v>352.97253333333299</v>
      </c>
      <c r="P125" s="13">
        <f t="shared" si="87"/>
        <v>82.174285131904085</v>
      </c>
      <c r="Q125" s="20">
        <f t="shared" si="107"/>
        <v>757.88070882695445</v>
      </c>
      <c r="R125" s="59">
        <f t="shared" si="55"/>
        <v>1040.3749547090963</v>
      </c>
      <c r="S125" s="59">
        <f ca="1">AVERAGE(OFFSET($R$3,0,0,'Données projet'!$E$9+1,1))-AVERAGE(OFFSET($H$3,0,0,'Données projet'!$E$9+1,1))</f>
        <v>569.49435820174267</v>
      </c>
      <c r="T125" s="59">
        <f t="shared" si="88"/>
        <v>295.37730858134739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28.602613829940093</v>
      </c>
      <c r="AA125" s="21">
        <f>EXP(-LN(2)/25)*AA124+(1-EXP(-LN(2)/25))/(LN(2)/25)*Calculateur!V125*Calculateur!X125*VLOOKUP('Données projet'!$B$9,Paramètres!$A$1:$I$89,3,0)*0.475*44/12</f>
        <v>18.688786563446982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47.291400393387079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6.8888888888888893</v>
      </c>
      <c r="AI125" s="13">
        <f>IF('Données projet'!$A$62&gt;35,AI124+AH125-AQ124,IF(A125&lt;'Données projet'!$A$62,$AF$205^A125,IF(A125='Données projet'!$A$62,'Données projet'!$B$62,AI124+AH125-AQ124)))</f>
        <v>390.11111111111074</v>
      </c>
      <c r="AJ125" s="13">
        <f>AI125*VLOOKUP('Données projet'!$B$10,Paramètres!$A$1:$I$89,3,0)*VLOOKUP('Données projet'!$B$10,Paramètres!$A$1:$I$89,5,0)</f>
        <v>395.57266666666635</v>
      </c>
      <c r="AK125" s="13">
        <f t="shared" si="89"/>
        <v>90.878510740069586</v>
      </c>
      <c r="AL125" s="20">
        <f t="shared" si="58"/>
        <v>847.23580065006502</v>
      </c>
      <c r="AM125" s="59">
        <f t="shared" si="59"/>
        <v>1129.7300465322069</v>
      </c>
      <c r="AN125" s="59">
        <f ca="1">AVERAGE(OFFSET($AM$3,0,0,'Données projet'!$E$10+1,1))-AVERAGE(OFFSET($H$3,0,0,'Données projet'!$E$10+1,1))</f>
        <v>627.83896530587367</v>
      </c>
      <c r="AO125" s="59">
        <f t="shared" si="90"/>
        <v>323.54927030899489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32.054653430105283</v>
      </c>
      <c r="AV125" s="21">
        <f>EXP(-LN(2)/25)*AV124+(1-EXP(-LN(2)/25))/(LN(2)/25)*Calculateur!AQ125*Calculateur!AS125*VLOOKUP('Données projet'!$B$10,Paramètres!$A$1:$I$89,3,0)*0.475*44/12</f>
        <v>20.944329769380232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52.998983199485515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-2.8421709430404007E-13</v>
      </c>
      <c r="BE125" s="13">
        <f>BD125*VLOOKUP('Données projet'!$B$11,Paramètres!$A$1:$I$89,3,0)*VLOOKUP('Données projet'!$B$11,Paramètres!$A$1:$I$89,5,0)</f>
        <v>-2.7489477361086758E-13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508.3185483454435</v>
      </c>
      <c r="BJ125" s="59">
        <f t="shared" si="92"/>
        <v>487.08233034004945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63.980553304045671</v>
      </c>
      <c r="BQ125" s="21">
        <f>EXP(-LN(2)/25)*BQ124+(1-EXP(-LN(2)/25))/(LN(2)/25)*Calculateur!BL125*Calculateur!BN125*VLOOKUP('Données projet'!$B$11,Paramètres!$A$1:$I$89,3,0)*0.475*44/12</f>
        <v>1.5530745203896104</v>
      </c>
      <c r="BR125" s="21">
        <f>EXP(-LN(2)/2)*BR124+(1-EXP(-LN(2)/2))/(LN(2)/2)*BL125*BO125*VLOOKUP('Données projet'!$B$11,Paramètres!$A$1:$I$89,3,0)*0.475*44/12</f>
        <v>3.342425908836852E-5</v>
      </c>
      <c r="BS125" s="22">
        <f t="shared" si="63"/>
        <v>65.533661248694372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-2.8421709430404007E-13</v>
      </c>
      <c r="BZ125" s="13">
        <f>BY125*VLOOKUP('Données projet'!$B$12,Paramètres!$A$1:$I$89,3,0)*VLOOKUP('Données projet'!$B$12,Paramètres!$A$1:$I$89,5,0)</f>
        <v>-2.3055690689943731E-13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436.50252985867149</v>
      </c>
      <c r="CE125" s="59">
        <f t="shared" si="94"/>
        <v>419.00806288456329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53.66110922274801</v>
      </c>
      <c r="CL125" s="21">
        <f>EXP(-LN(2)/25)*CL124+(1-EXP(-LN(2)/25))/(LN(2)/25)*Calculateur!CG125*Calculateur!CI125*VLOOKUP('Données projet'!$B$12,Paramètres!$A$1:$I$89,3,0)*0.475*44/12</f>
        <v>1.3025786300041895</v>
      </c>
      <c r="CM125" s="21">
        <f>EXP(-LN(2)/2)*CM124+(1-EXP(-LN(2)/2))/(LN(2)/2)*CG125*CJ125*VLOOKUP('Données projet'!$B$12,Paramètres!$A$1:$I$89,3,0)*0.475*44/12</f>
        <v>2.8033249557986561E-5</v>
      </c>
      <c r="CN125" s="22">
        <f t="shared" si="66"/>
        <v>54.963715886001758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-2.8421709430404007E-13</v>
      </c>
      <c r="CU125" s="17">
        <f>CT125*VLOOKUP('Données projet'!$B$13,Paramètres!$A$1:$I$89,3,0)*VLOOKUP('Données projet'!$B$13,Paramètres!$A$1:$I$89,5,0)</f>
        <v>-2.7489477361086758E-13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508.3185483454435</v>
      </c>
      <c r="CZ125" s="59">
        <f t="shared" si="96"/>
        <v>487.08233034004945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63.980553304045671</v>
      </c>
      <c r="DG125" s="21">
        <f>EXP(-LN(2)/25)*DG124+(1-EXP(-LN(2)/25))/(LN(2)/25)*Calculateur!DB125*Calculateur!DD125*VLOOKUP('Données projet'!$B$13,Paramètres!$A$1:$I$89,3,0)*0.475*44/12</f>
        <v>1.5530745203896104</v>
      </c>
      <c r="DH125" s="21">
        <f>EXP(-LN(2)/2)*DH124+(1-EXP(-LN(2)/2))/(LN(2)/2)*DB125*DE125*VLOOKUP('Données projet'!$B$13,Paramètres!$A$1:$I$89,3,0)*0.475*44/12</f>
        <v>3.342425908836852E-5</v>
      </c>
      <c r="DI125" s="22">
        <f t="shared" si="69"/>
        <v>65.533661248694372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-2.8421709430404007E-13</v>
      </c>
      <c r="DP125" s="17">
        <f>DO125*VLOOKUP('Données projet'!$B$14,Paramètres!$A$1:$I$89,3,0)*VLOOKUP('Données projet'!$B$14,Paramètres!$A$1:$I$89,5,0)</f>
        <v>-2.7489477361086758E-13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508.3185483454435</v>
      </c>
      <c r="DU125" s="59">
        <f t="shared" si="98"/>
        <v>487.08233034004945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63.980553304045671</v>
      </c>
      <c r="EB125" s="21">
        <f>EXP(-LN(2)/25)*EB124+(1-EXP(-LN(2)/25))/(LN(2)/25)*Calculateur!DW125*Calculateur!DY125*VLOOKUP('Données projet'!$B$14,Paramètres!$A$1:$I$89,3,0)*0.475*44/12</f>
        <v>1.5530745203896104</v>
      </c>
      <c r="EC125" s="21">
        <f>EXP(-LN(2)/2)*EC124+(1-EXP(-LN(2)/2))/(LN(2)/2)*DW125*DZ125*VLOOKUP('Données projet'!$B$14,Paramètres!$A$1:$I$89,3,0)*0.475*44/12</f>
        <v>3.342425908836852E-5</v>
      </c>
      <c r="ED125" s="22">
        <f t="shared" si="72"/>
        <v>65.533661248694372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397</v>
      </c>
      <c r="L126" s="12">
        <f>VLOOKUP(A126,'Données projet'!$A$35:$I$55,9,0)</f>
        <v>6.8888888888888893</v>
      </c>
      <c r="M126" s="12">
        <f t="array" ref="M126">INDEX(L:L,MIN(IF(ISNUMBER(L126:L322),ROW(L126:L322),"")))</f>
        <v>6.8888888888888893</v>
      </c>
      <c r="N126" s="13">
        <f>IF('Données projet'!$A$36&gt;35,N125+M126-V125,IF(A126&lt;'Données projet'!$A$36,$K$205^A126,IF(A126='Données projet'!$A$36,'Données projet'!$B$36,N125+M126-V125)))</f>
        <v>396.99999999999966</v>
      </c>
      <c r="O126" s="13">
        <f>N126*VLOOKUP('Données projet'!$B$9,Paramètres!$A$1:$I$89,3,0)*VLOOKUP('Données projet'!$B$9,Paramètres!$A$1:$I$89,5,0)</f>
        <v>359.20559999999966</v>
      </c>
      <c r="P126" s="13">
        <f t="shared" si="87"/>
        <v>83.455166295200186</v>
      </c>
      <c r="Q126" s="20">
        <f t="shared" si="107"/>
        <v>770.96750129747295</v>
      </c>
      <c r="R126" s="59">
        <f t="shared" si="55"/>
        <v>1053.6497811143236</v>
      </c>
      <c r="S126" s="59">
        <f ca="1">AVERAGE(OFFSET($R$3,0,0,'Données projet'!$E$9+1,1))-AVERAGE(OFFSET($H$3,0,0,'Données projet'!$E$9+1,1))</f>
        <v>569.49435820174267</v>
      </c>
      <c r="T126" s="59">
        <f t="shared" si="88"/>
        <v>295.37730858134739</v>
      </c>
      <c r="U126" s="15">
        <f>IF(ISNA(VLOOKUP(A126,'Données projet'!$A$35:$I$55,3,0)),0,VLOOKUP(A126,'Données projet'!$A$35:$I$55,3,0))</f>
        <v>11</v>
      </c>
      <c r="V126" s="15">
        <f>IF(ISNA(VLOOKUP(A126,'Données projet'!$A$35:$I$55,4,0)),0,VLOOKUP(A126,'Données projet'!$A$35:$I$55,4,0))</f>
        <v>41</v>
      </c>
      <c r="W126" s="16">
        <f>IF(ISNA(VLOOKUP(A126,'Données projet'!$A$35:$I$55,5,0)),0%,VLOOKUP(A126,'Données projet'!$A$35:$I$55,5,0)*VLOOKUP('Données projet'!$B$9,Paramètres!$A$1:$I$89,7,0))</f>
        <v>0.30099999999999999</v>
      </c>
      <c r="X126" s="16">
        <f>IF(ISNA(VLOOKUP(A126,'Données projet'!$A$35:$I$55,6,0)),0%,VLOOKUP(A126,'Données projet'!$A$35:$I$55,6,0)*VLOOKUP('Données projet'!$B$9,Paramètres!$A$1:$I$89,7,0))</f>
        <v>4.3000000000000003E-2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40.385567504819605</v>
      </c>
      <c r="AA126" s="21">
        <f>EXP(-LN(2)/25)*AA125+(1-EXP(-LN(2)/25))/(LN(2)/25)*Calculateur!V126*Calculateur!X126*VLOOKUP('Données projet'!$B$9,Paramètres!$A$1:$I$89,3,0)*0.475*44/12</f>
        <v>19.934202299270144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60.319769804089745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397</v>
      </c>
      <c r="AG126" s="12">
        <f>VLOOKUP(A126,'Données projet'!$A$61:$I$81,9,0)</f>
        <v>6.8888888888888893</v>
      </c>
      <c r="AH126" s="12">
        <f t="array" ref="AH126">INDEX(AG:AG,MIN(IF(ISNUMBER(AG126:AG322),ROW(AG126:AG322),"")))</f>
        <v>6.8888888888888893</v>
      </c>
      <c r="AI126" s="13">
        <f>IF('Données projet'!$A$62&gt;35,AI125+AH126-AQ125,IF(A126&lt;'Données projet'!$A$62,$AF$205^A126,IF(A126='Données projet'!$A$62,'Données projet'!$B$62,AI125+AH126-AQ125)))</f>
        <v>396.99999999999966</v>
      </c>
      <c r="AJ126" s="13">
        <f>AI126*VLOOKUP('Données projet'!$B$10,Paramètres!$A$1:$I$89,3,0)*VLOOKUP('Données projet'!$B$10,Paramètres!$A$1:$I$89,5,0)</f>
        <v>402.55799999999965</v>
      </c>
      <c r="AK126" s="13">
        <f t="shared" si="89"/>
        <v>92.295067907174953</v>
      </c>
      <c r="AL126" s="20">
        <f t="shared" si="58"/>
        <v>861.86909327166234</v>
      </c>
      <c r="AM126" s="59">
        <f t="shared" si="59"/>
        <v>1144.5513730885129</v>
      </c>
      <c r="AN126" s="59">
        <f ca="1">AVERAGE(OFFSET($AM$3,0,0,'Données projet'!$E$10+1,1))-AVERAGE(OFFSET($H$3,0,0,'Données projet'!$E$10+1,1))</f>
        <v>627.83896530587367</v>
      </c>
      <c r="AO126" s="59">
        <f t="shared" si="90"/>
        <v>323.54927030899489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41</v>
      </c>
      <c r="AR126" s="16">
        <f>IF(ISNA(VLOOKUP(A126,'Données projet'!$A$61:$I$81,5,0)),0%,VLOOKUP(A126,'Données projet'!$A$61:$I$81,5,0)*VLOOKUP('Données projet'!$B$10,Paramètres!$A$1:$I$89,7,0))</f>
        <v>0.30099999999999999</v>
      </c>
      <c r="AS126" s="16">
        <f>IF(ISNA(VLOOKUP(A126,'Données projet'!$A$61:$I$81,6,0)),0%,VLOOKUP(A126,'Données projet'!$A$61:$I$81,6,0)*VLOOKUP('Données projet'!$B$10,Paramètres!$A$1:$I$89,7,0))</f>
        <v>4.3000000000000003E-2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45.259687720918535</v>
      </c>
      <c r="AV126" s="21">
        <f>EXP(-LN(2)/25)*AV125+(1-EXP(-LN(2)/25))/(LN(2)/25)*Calculateur!AQ126*Calculateur!AS126*VLOOKUP('Données projet'!$B$10,Paramètres!$A$1:$I$89,3,0)*0.475*44/12</f>
        <v>22.340054300906189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67.599742021824724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-2.8421709430404007E-13</v>
      </c>
      <c r="BE126" s="13">
        <f>BD126*VLOOKUP('Données projet'!$B$11,Paramètres!$A$1:$I$89,3,0)*VLOOKUP('Données projet'!$B$11,Paramètres!$A$1:$I$89,5,0)</f>
        <v>-2.7489477361086758E-13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508.3185483454435</v>
      </c>
      <c r="BJ126" s="59">
        <f t="shared" si="92"/>
        <v>487.08233034004945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62.725933678037521</v>
      </c>
      <c r="BQ126" s="21">
        <f>EXP(-LN(2)/25)*BQ125+(1-EXP(-LN(2)/25))/(LN(2)/25)*Calculateur!BL126*Calculateur!BN126*VLOOKUP('Données projet'!$B$11,Paramètres!$A$1:$I$89,3,0)*0.475*44/12</f>
        <v>1.510605615956917</v>
      </c>
      <c r="BR126" s="21">
        <f>EXP(-LN(2)/2)*BR125+(1-EXP(-LN(2)/2))/(LN(2)/2)*BL126*BO126*VLOOKUP('Données projet'!$B$11,Paramètres!$A$1:$I$89,3,0)*0.475*44/12</f>
        <v>2.3634520257521472E-5</v>
      </c>
      <c r="BS126" s="22">
        <f t="shared" si="63"/>
        <v>64.236562928514701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-2.8421709430404007E-13</v>
      </c>
      <c r="BZ126" s="13">
        <f>BY126*VLOOKUP('Données projet'!$B$12,Paramètres!$A$1:$I$89,3,0)*VLOOKUP('Données projet'!$B$12,Paramètres!$A$1:$I$89,5,0)</f>
        <v>-2.3055690689943731E-13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436.50252985867149</v>
      </c>
      <c r="CE126" s="59">
        <f t="shared" si="94"/>
        <v>419.00806288456329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52.608847600934723</v>
      </c>
      <c r="CL126" s="21">
        <f>EXP(-LN(2)/25)*CL125+(1-EXP(-LN(2)/25))/(LN(2)/25)*Calculateur!CG126*Calculateur!CI126*VLOOKUP('Données projet'!$B$12,Paramètres!$A$1:$I$89,3,0)*0.475*44/12</f>
        <v>1.2669595488670919</v>
      </c>
      <c r="CM126" s="21">
        <f>EXP(-LN(2)/2)*CM125+(1-EXP(-LN(2)/2))/(LN(2)/2)*CG126*CJ126*VLOOKUP('Données projet'!$B$12,Paramètres!$A$1:$I$89,3,0)*0.475*44/12</f>
        <v>1.9822500861147083E-5</v>
      </c>
      <c r="CN126" s="22">
        <f t="shared" si="66"/>
        <v>53.875826972302676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-2.8421709430404007E-13</v>
      </c>
      <c r="CU126" s="17">
        <f>CT126*VLOOKUP('Données projet'!$B$13,Paramètres!$A$1:$I$89,3,0)*VLOOKUP('Données projet'!$B$13,Paramètres!$A$1:$I$89,5,0)</f>
        <v>-2.7489477361086758E-13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508.3185483454435</v>
      </c>
      <c r="CZ126" s="59">
        <f t="shared" si="96"/>
        <v>487.08233034004945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62.725933678037521</v>
      </c>
      <c r="DG126" s="21">
        <f>EXP(-LN(2)/25)*DG125+(1-EXP(-LN(2)/25))/(LN(2)/25)*Calculateur!DB126*Calculateur!DD126*VLOOKUP('Données projet'!$B$13,Paramètres!$A$1:$I$89,3,0)*0.475*44/12</f>
        <v>1.510605615956917</v>
      </c>
      <c r="DH126" s="21">
        <f>EXP(-LN(2)/2)*DH125+(1-EXP(-LN(2)/2))/(LN(2)/2)*DB126*DE126*VLOOKUP('Données projet'!$B$13,Paramètres!$A$1:$I$89,3,0)*0.475*44/12</f>
        <v>2.3634520257521472E-5</v>
      </c>
      <c r="DI126" s="22">
        <f t="shared" si="69"/>
        <v>64.236562928514701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-2.8421709430404007E-13</v>
      </c>
      <c r="DP126" s="17">
        <f>DO126*VLOOKUP('Données projet'!$B$14,Paramètres!$A$1:$I$89,3,0)*VLOOKUP('Données projet'!$B$14,Paramètres!$A$1:$I$89,5,0)</f>
        <v>-2.7489477361086758E-13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508.3185483454435</v>
      </c>
      <c r="DU126" s="59">
        <f t="shared" si="98"/>
        <v>487.08233034004945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62.725933678037521</v>
      </c>
      <c r="EB126" s="21">
        <f>EXP(-LN(2)/25)*EB125+(1-EXP(-LN(2)/25))/(LN(2)/25)*Calculateur!DW126*Calculateur!DY126*VLOOKUP('Données projet'!$B$14,Paramètres!$A$1:$I$89,3,0)*0.475*44/12</f>
        <v>1.510605615956917</v>
      </c>
      <c r="EC126" s="21">
        <f>EXP(-LN(2)/2)*EC125+(1-EXP(-LN(2)/2))/(LN(2)/2)*DW126*DZ126*VLOOKUP('Données projet'!$B$14,Paramètres!$A$1:$I$89,3,0)*0.475*44/12</f>
        <v>2.3634520257521472E-5</v>
      </c>
      <c r="ED126" s="22">
        <f t="shared" si="72"/>
        <v>64.236562928514701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</v>
      </c>
      <c r="N127" s="13">
        <f>IF('Données projet'!$A$36&gt;35,N126+M127-V126,IF(A127&lt;'Données projet'!$A$36,$K$205^A127,IF(A127='Données projet'!$A$36,'Données projet'!$B$36,N126+M127-V126)))</f>
        <v>362.99999999999966</v>
      </c>
      <c r="O127" s="13">
        <f>N127*VLOOKUP('Données projet'!$B$9,Paramètres!$A$1:$I$89,3,0)*VLOOKUP('Données projet'!$B$9,Paramètres!$A$1:$I$89,5,0)</f>
        <v>328.44239999999968</v>
      </c>
      <c r="P127" s="13">
        <f t="shared" si="87"/>
        <v>77.107288085743335</v>
      </c>
      <c r="Q127" s="20">
        <f t="shared" si="107"/>
        <v>706.33237341600227</v>
      </c>
      <c r="R127" s="59">
        <f t="shared" si="55"/>
        <v>989.19942519917561</v>
      </c>
      <c r="S127" s="59">
        <f ca="1">AVERAGE(OFFSET($R$3,0,0,'Données projet'!$E$9+1,1))-AVERAGE(OFFSET($H$3,0,0,'Données projet'!$E$9+1,1))</f>
        <v>569.49435820174267</v>
      </c>
      <c r="T127" s="59">
        <f t="shared" si="88"/>
        <v>295.37730858134739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39.593631158813984</v>
      </c>
      <c r="AA127" s="21">
        <f>EXP(-LN(2)/25)*AA126+(1-EXP(-LN(2)/25))/(LN(2)/25)*Calculateur!V127*Calculateur!X127*VLOOKUP('Données projet'!$B$9,Paramètres!$A$1:$I$89,3,0)*0.475*44/12</f>
        <v>19.389100489102464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58.982731647916452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7</v>
      </c>
      <c r="AI127" s="13">
        <f>IF('Données projet'!$A$62&gt;35,AI126+AH127-AQ126,IF(A127&lt;'Données projet'!$A$62,$AF$205^A127,IF(A127='Données projet'!$A$62,'Données projet'!$B$62,AI126+AH127-AQ126)))</f>
        <v>362.99999999999966</v>
      </c>
      <c r="AJ127" s="13">
        <f>AI127*VLOOKUP('Données projet'!$B$10,Paramètres!$A$1:$I$89,3,0)*VLOOKUP('Données projet'!$B$10,Paramètres!$A$1:$I$89,5,0)</f>
        <v>368.08199999999971</v>
      </c>
      <c r="AK127" s="13">
        <f t="shared" si="89"/>
        <v>85.274797306599979</v>
      </c>
      <c r="AL127" s="20">
        <f t="shared" si="58"/>
        <v>789.59642197566109</v>
      </c>
      <c r="AM127" s="59">
        <f t="shared" si="59"/>
        <v>1072.4634737588344</v>
      </c>
      <c r="AN127" s="59">
        <f ca="1">AVERAGE(OFFSET($AM$3,0,0,'Données projet'!$E$10+1,1))-AVERAGE(OFFSET($H$3,0,0,'Données projet'!$E$10+1,1))</f>
        <v>627.83896530587367</v>
      </c>
      <c r="AO127" s="59">
        <f t="shared" si="90"/>
        <v>323.54927030899489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44.372172850394996</v>
      </c>
      <c r="AV127" s="21">
        <f>EXP(-LN(2)/25)*AV126+(1-EXP(-LN(2)/25))/(LN(2)/25)*Calculateur!AQ127*Calculateur!AS127*VLOOKUP('Données projet'!$B$10,Paramètres!$A$1:$I$89,3,0)*0.475*44/12</f>
        <v>21.729164341235514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66.101337191630506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-2.8421709430404007E-13</v>
      </c>
      <c r="BE127" s="13">
        <f>BD127*VLOOKUP('Données projet'!$B$11,Paramètres!$A$1:$I$89,3,0)*VLOOKUP('Données projet'!$B$11,Paramètres!$A$1:$I$89,5,0)</f>
        <v>-2.7489477361086758E-13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508.3185483454435</v>
      </c>
      <c r="BJ127" s="59">
        <f t="shared" si="92"/>
        <v>487.08233034004945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61.495916377652982</v>
      </c>
      <c r="BQ127" s="21">
        <f>EXP(-LN(2)/25)*BQ126+(1-EXP(-LN(2)/25))/(LN(2)/25)*Calculateur!BL127*Calculateur!BN127*VLOOKUP('Données projet'!$B$11,Paramètres!$A$1:$I$89,3,0)*0.475*44/12</f>
        <v>1.4692980259492783</v>
      </c>
      <c r="BR127" s="21">
        <f>EXP(-LN(2)/2)*BR126+(1-EXP(-LN(2)/2))/(LN(2)/2)*BL127*BO127*VLOOKUP('Données projet'!$B$11,Paramètres!$A$1:$I$89,3,0)*0.475*44/12</f>
        <v>1.671212954418426E-5</v>
      </c>
      <c r="BS127" s="22">
        <f t="shared" si="63"/>
        <v>62.965231115731804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-2.8421709430404007E-13</v>
      </c>
      <c r="BZ127" s="13">
        <f>BY127*VLOOKUP('Données projet'!$B$12,Paramètres!$A$1:$I$89,3,0)*VLOOKUP('Données projet'!$B$12,Paramètres!$A$1:$I$89,5,0)</f>
        <v>-2.3055690689943731E-13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436.50252985867149</v>
      </c>
      <c r="CE127" s="59">
        <f t="shared" si="94"/>
        <v>419.00806288456329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51.577220187708981</v>
      </c>
      <c r="CL127" s="21">
        <f>EXP(-LN(2)/25)*CL126+(1-EXP(-LN(2)/25))/(LN(2)/25)*Calculateur!CG127*Calculateur!CI127*VLOOKUP('Données projet'!$B$12,Paramètres!$A$1:$I$89,3,0)*0.475*44/12</f>
        <v>1.2323144733768143</v>
      </c>
      <c r="CM127" s="21">
        <f>EXP(-LN(2)/2)*CM126+(1-EXP(-LN(2)/2))/(LN(2)/2)*CG127*CJ127*VLOOKUP('Données projet'!$B$12,Paramètres!$A$1:$I$89,3,0)*0.475*44/12</f>
        <v>1.401662477899328E-5</v>
      </c>
      <c r="CN127" s="22">
        <f t="shared" si="66"/>
        <v>52.80954867771058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-2.8421709430404007E-13</v>
      </c>
      <c r="CU127" s="17">
        <f>CT127*VLOOKUP('Données projet'!$B$13,Paramètres!$A$1:$I$89,3,0)*VLOOKUP('Données projet'!$B$13,Paramètres!$A$1:$I$89,5,0)</f>
        <v>-2.7489477361086758E-13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508.3185483454435</v>
      </c>
      <c r="CZ127" s="59">
        <f t="shared" si="96"/>
        <v>487.08233034004945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61.495916377652982</v>
      </c>
      <c r="DG127" s="21">
        <f>EXP(-LN(2)/25)*DG126+(1-EXP(-LN(2)/25))/(LN(2)/25)*Calculateur!DB127*Calculateur!DD127*VLOOKUP('Données projet'!$B$13,Paramètres!$A$1:$I$89,3,0)*0.475*44/12</f>
        <v>1.4692980259492783</v>
      </c>
      <c r="DH127" s="21">
        <f>EXP(-LN(2)/2)*DH126+(1-EXP(-LN(2)/2))/(LN(2)/2)*DB127*DE127*VLOOKUP('Données projet'!$B$13,Paramètres!$A$1:$I$89,3,0)*0.475*44/12</f>
        <v>1.671212954418426E-5</v>
      </c>
      <c r="DI127" s="22">
        <f t="shared" si="69"/>
        <v>62.965231115731804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-2.8421709430404007E-13</v>
      </c>
      <c r="DP127" s="17">
        <f>DO127*VLOOKUP('Données projet'!$B$14,Paramètres!$A$1:$I$89,3,0)*VLOOKUP('Données projet'!$B$14,Paramètres!$A$1:$I$89,5,0)</f>
        <v>-2.7489477361086758E-13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508.3185483454435</v>
      </c>
      <c r="DU127" s="59">
        <f t="shared" si="98"/>
        <v>487.08233034004945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61.495916377652982</v>
      </c>
      <c r="EB127" s="21">
        <f>EXP(-LN(2)/25)*EB126+(1-EXP(-LN(2)/25))/(LN(2)/25)*Calculateur!DW127*Calculateur!DY127*VLOOKUP('Données projet'!$B$14,Paramètres!$A$1:$I$89,3,0)*0.475*44/12</f>
        <v>1.4692980259492783</v>
      </c>
      <c r="EC127" s="21">
        <f>EXP(-LN(2)/2)*EC126+(1-EXP(-LN(2)/2))/(LN(2)/2)*DW127*DZ127*VLOOKUP('Données projet'!$B$14,Paramètres!$A$1:$I$89,3,0)*0.475*44/12</f>
        <v>1.671212954418426E-5</v>
      </c>
      <c r="ED127" s="22">
        <f t="shared" si="72"/>
        <v>62.965231115731804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7</v>
      </c>
      <c r="N128" s="13">
        <f>IF('Données projet'!$A$36&gt;35,N127+M128-V127,IF(A128&lt;'Données projet'!$A$36,$K$205^A128,IF(A128='Données projet'!$A$36,'Données projet'!$B$36,N127+M128-V127)))</f>
        <v>369.99999999999966</v>
      </c>
      <c r="O128" s="13">
        <f>N128*VLOOKUP('Données projet'!$B$9,Paramètres!$A$1:$I$89,3,0)*VLOOKUP('Données projet'!$B$9,Paramètres!$A$1:$I$89,5,0)</f>
        <v>334.77599999999967</v>
      </c>
      <c r="P128" s="13">
        <f t="shared" si="87"/>
        <v>78.419664234834713</v>
      </c>
      <c r="Q128" s="20">
        <f t="shared" si="107"/>
        <v>719.6491152090033</v>
      </c>
      <c r="R128" s="59">
        <f t="shared" si="55"/>
        <v>1002.6977335779718</v>
      </c>
      <c r="S128" s="59">
        <f ca="1">AVERAGE(OFFSET($R$3,0,0,'Données projet'!$E$9+1,1))-AVERAGE(OFFSET($H$3,0,0,'Données projet'!$E$9+1,1))</f>
        <v>569.49435820174267</v>
      </c>
      <c r="T128" s="59">
        <f t="shared" si="88"/>
        <v>295.37730858134739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38.817224201520062</v>
      </c>
      <c r="AA128" s="21">
        <f>EXP(-LN(2)/25)*AA127+(1-EXP(-LN(2)/25))/(LN(2)/25)*Calculateur!V128*Calculateur!X128*VLOOKUP('Données projet'!$B$9,Paramètres!$A$1:$I$89,3,0)*0.475*44/12</f>
        <v>18.858904516599477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57.676128718119543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7</v>
      </c>
      <c r="AI128" s="13">
        <f>IF('Données projet'!$A$62&gt;35,AI127+AH128-AQ127,IF(A128&lt;'Données projet'!$A$62,$AF$205^A128,IF(A128='Données projet'!$A$62,'Données projet'!$B$62,AI127+AH128-AQ127)))</f>
        <v>369.99999999999966</v>
      </c>
      <c r="AJ128" s="13">
        <f>AI128*VLOOKUP('Données projet'!$B$10,Paramètres!$A$1:$I$89,3,0)*VLOOKUP('Données projet'!$B$10,Paramètres!$A$1:$I$89,5,0)</f>
        <v>375.17999999999967</v>
      </c>
      <c r="AK128" s="13">
        <f t="shared" si="89"/>
        <v>86.726185533084305</v>
      </c>
      <c r="AL128" s="20">
        <f t="shared" si="58"/>
        <v>804.48660647012127</v>
      </c>
      <c r="AM128" s="59">
        <f t="shared" si="59"/>
        <v>1087.5352248390898</v>
      </c>
      <c r="AN128" s="59">
        <f ca="1">AVERAGE(OFFSET($AM$3,0,0,'Données projet'!$E$10+1,1))-AVERAGE(OFFSET($H$3,0,0,'Données projet'!$E$10+1,1))</f>
        <v>627.83896530587367</v>
      </c>
      <c r="AO128" s="59">
        <f t="shared" si="90"/>
        <v>323.54927030899489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43.502061605151809</v>
      </c>
      <c r="AV128" s="21">
        <f>EXP(-LN(2)/25)*AV127+(1-EXP(-LN(2)/25))/(LN(2)/25)*Calculateur!AQ128*Calculateur!AS128*VLOOKUP('Données projet'!$B$10,Paramètres!$A$1:$I$89,3,0)*0.475*44/12</f>
        <v>21.134979199637339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64.637040804789152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-2.8421709430404007E-13</v>
      </c>
      <c r="BE128" s="13">
        <f>BD128*VLOOKUP('Données projet'!$B$11,Paramètres!$A$1:$I$89,3,0)*VLOOKUP('Données projet'!$B$11,Paramètres!$A$1:$I$89,5,0)</f>
        <v>-2.7489477361086758E-13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508.3185483454435</v>
      </c>
      <c r="BJ128" s="59">
        <f t="shared" si="92"/>
        <v>487.08233034004945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60.290018966292507</v>
      </c>
      <c r="BQ128" s="21">
        <f>EXP(-LN(2)/25)*BQ127+(1-EXP(-LN(2)/25))/(LN(2)/25)*Calculateur!BL128*Calculateur!BN128*VLOOKUP('Données projet'!$B$11,Paramètres!$A$1:$I$89,3,0)*0.475*44/12</f>
        <v>1.4291199941626702</v>
      </c>
      <c r="BR128" s="21">
        <f>EXP(-LN(2)/2)*BR127+(1-EXP(-LN(2)/2))/(LN(2)/2)*BL128*BO128*VLOOKUP('Données projet'!$B$11,Paramètres!$A$1:$I$89,3,0)*0.475*44/12</f>
        <v>1.1817260128760736E-5</v>
      </c>
      <c r="BS128" s="22">
        <f t="shared" si="63"/>
        <v>61.719150777715306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-2.8421709430404007E-13</v>
      </c>
      <c r="BZ128" s="13">
        <f>BY128*VLOOKUP('Données projet'!$B$12,Paramètres!$A$1:$I$89,3,0)*VLOOKUP('Données projet'!$B$12,Paramètres!$A$1:$I$89,5,0)</f>
        <v>-2.3055690689943731E-13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436.50252985867149</v>
      </c>
      <c r="CE128" s="59">
        <f t="shared" si="94"/>
        <v>419.00806288456329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50.565822358826004</v>
      </c>
      <c r="CL128" s="21">
        <f>EXP(-LN(2)/25)*CL127+(1-EXP(-LN(2)/25))/(LN(2)/25)*Calculateur!CG128*Calculateur!CI128*VLOOKUP('Données projet'!$B$12,Paramètres!$A$1:$I$89,3,0)*0.475*44/12</f>
        <v>1.1986167692977236</v>
      </c>
      <c r="CM128" s="21">
        <f>EXP(-LN(2)/2)*CM127+(1-EXP(-LN(2)/2))/(LN(2)/2)*CG128*CJ128*VLOOKUP('Données projet'!$B$12,Paramètres!$A$1:$I$89,3,0)*0.475*44/12</f>
        <v>9.9112504305735415E-6</v>
      </c>
      <c r="CN128" s="22">
        <f t="shared" si="66"/>
        <v>51.764449039374156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-2.8421709430404007E-13</v>
      </c>
      <c r="CU128" s="17">
        <f>CT128*VLOOKUP('Données projet'!$B$13,Paramètres!$A$1:$I$89,3,0)*VLOOKUP('Données projet'!$B$13,Paramètres!$A$1:$I$89,5,0)</f>
        <v>-2.7489477361086758E-13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508.3185483454435</v>
      </c>
      <c r="CZ128" s="59">
        <f t="shared" si="96"/>
        <v>487.08233034004945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60.290018966292507</v>
      </c>
      <c r="DG128" s="21">
        <f>EXP(-LN(2)/25)*DG127+(1-EXP(-LN(2)/25))/(LN(2)/25)*Calculateur!DB128*Calculateur!DD128*VLOOKUP('Données projet'!$B$13,Paramètres!$A$1:$I$89,3,0)*0.475*44/12</f>
        <v>1.4291199941626702</v>
      </c>
      <c r="DH128" s="21">
        <f>EXP(-LN(2)/2)*DH127+(1-EXP(-LN(2)/2))/(LN(2)/2)*DB128*DE128*VLOOKUP('Données projet'!$B$13,Paramètres!$A$1:$I$89,3,0)*0.475*44/12</f>
        <v>1.1817260128760736E-5</v>
      </c>
      <c r="DI128" s="22">
        <f t="shared" si="69"/>
        <v>61.719150777715306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-2.8421709430404007E-13</v>
      </c>
      <c r="DP128" s="17">
        <f>DO128*VLOOKUP('Données projet'!$B$14,Paramètres!$A$1:$I$89,3,0)*VLOOKUP('Données projet'!$B$14,Paramètres!$A$1:$I$89,5,0)</f>
        <v>-2.7489477361086758E-13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508.3185483454435</v>
      </c>
      <c r="DU128" s="59">
        <f t="shared" si="98"/>
        <v>487.08233034004945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60.290018966292507</v>
      </c>
      <c r="EB128" s="21">
        <f>EXP(-LN(2)/25)*EB127+(1-EXP(-LN(2)/25))/(LN(2)/25)*Calculateur!DW128*Calculateur!DY128*VLOOKUP('Données projet'!$B$14,Paramètres!$A$1:$I$89,3,0)*0.475*44/12</f>
        <v>1.4291199941626702</v>
      </c>
      <c r="EC128" s="21">
        <f>EXP(-LN(2)/2)*EC127+(1-EXP(-LN(2)/2))/(LN(2)/2)*DW128*DZ128*VLOOKUP('Données projet'!$B$14,Paramètres!$A$1:$I$89,3,0)*0.475*44/12</f>
        <v>1.1817260128760736E-5</v>
      </c>
      <c r="ED128" s="22">
        <f t="shared" si="72"/>
        <v>61.719150777715306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</v>
      </c>
      <c r="N129" s="13">
        <f>IF('Données projet'!$A$36&gt;35,N128+M129-V128,IF(A129&lt;'Données projet'!$A$36,$K$205^A129,IF(A129='Données projet'!$A$36,'Données projet'!$B$36,N128+M129-V128)))</f>
        <v>376.99999999999966</v>
      </c>
      <c r="O129" s="13">
        <f>N129*VLOOKUP('Données projet'!$B$9,Paramètres!$A$1:$I$89,3,0)*VLOOKUP('Données projet'!$B$9,Paramètres!$A$1:$I$89,5,0)</f>
        <v>341.10959999999972</v>
      </c>
      <c r="P129" s="13">
        <f t="shared" si="87"/>
        <v>79.729153316624988</v>
      </c>
      <c r="Q129" s="20">
        <f t="shared" si="107"/>
        <v>732.96082869312124</v>
      </c>
      <c r="R129" s="59">
        <f t="shared" si="55"/>
        <v>1016.1878638735434</v>
      </c>
      <c r="S129" s="59">
        <f ca="1">AVERAGE(OFFSET($R$3,0,0,'Données projet'!$E$9+1,1))-AVERAGE(OFFSET($H$3,0,0,'Données projet'!$E$9+1,1))</f>
        <v>569.49435820174267</v>
      </c>
      <c r="T129" s="59">
        <f t="shared" si="88"/>
        <v>295.37730858134739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38.056042111097192</v>
      </c>
      <c r="AA129" s="21">
        <f>EXP(-LN(2)/25)*AA128+(1-EXP(-LN(2)/25))/(LN(2)/25)*Calculateur!V129*Calculateur!X129*VLOOKUP('Données projet'!$B$9,Paramètres!$A$1:$I$89,3,0)*0.475*44/12</f>
        <v>18.34320678084638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56.399248891943571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</v>
      </c>
      <c r="AI129" s="13">
        <f>IF('Données projet'!$A$62&gt;35,AI128+AH129-AQ128,IF(A129&lt;'Données projet'!$A$62,$AF$205^A129,IF(A129='Données projet'!$A$62,'Données projet'!$B$62,AI128+AH129-AQ128)))</f>
        <v>376.99999999999966</v>
      </c>
      <c r="AJ129" s="13">
        <f>AI129*VLOOKUP('Données projet'!$B$10,Paramètres!$A$1:$I$89,3,0)*VLOOKUP('Données projet'!$B$10,Paramètres!$A$1:$I$89,5,0)</f>
        <v>382.27799999999968</v>
      </c>
      <c r="AK129" s="13">
        <f t="shared" si="89"/>
        <v>88.174380882669055</v>
      </c>
      <c r="AL129" s="20">
        <f t="shared" si="58"/>
        <v>819.3712300373146</v>
      </c>
      <c r="AM129" s="59">
        <f t="shared" si="59"/>
        <v>1102.5982652177368</v>
      </c>
      <c r="AN129" s="59">
        <f ca="1">AVERAGE(OFFSET($AM$3,0,0,'Données projet'!$E$10+1,1))-AVERAGE(OFFSET($H$3,0,0,'Données projet'!$E$10+1,1))</f>
        <v>627.83896530587367</v>
      </c>
      <c r="AO129" s="59">
        <f t="shared" si="90"/>
        <v>323.54927030899489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42.649012710712384</v>
      </c>
      <c r="AV129" s="21">
        <f>EXP(-LN(2)/25)*AV128+(1-EXP(-LN(2)/25))/(LN(2)/25)*Calculateur!AQ129*Calculateur!AS129*VLOOKUP('Données projet'!$B$10,Paramètres!$A$1:$I$89,3,0)*0.475*44/12</f>
        <v>20.557042081983006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63.20605479269539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-2.8421709430404007E-13</v>
      </c>
      <c r="BE129" s="13">
        <f>BD129*VLOOKUP('Données projet'!$B$11,Paramètres!$A$1:$I$89,3,0)*VLOOKUP('Données projet'!$B$11,Paramètres!$A$1:$I$89,5,0)</f>
        <v>-2.7489477361086758E-13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508.3185483454435</v>
      </c>
      <c r="BJ129" s="59">
        <f t="shared" si="92"/>
        <v>487.08233034004945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59.107768467644021</v>
      </c>
      <c r="BQ129" s="21">
        <f>EXP(-LN(2)/25)*BQ128+(1-EXP(-LN(2)/25))/(LN(2)/25)*Calculateur!BL129*Calculateur!BN129*VLOOKUP('Données projet'!$B$11,Paramètres!$A$1:$I$89,3,0)*0.475*44/12</f>
        <v>1.3900406327681378</v>
      </c>
      <c r="BR129" s="21">
        <f>EXP(-LN(2)/2)*BR128+(1-EXP(-LN(2)/2))/(LN(2)/2)*BL129*BO129*VLOOKUP('Données projet'!$B$11,Paramètres!$A$1:$I$89,3,0)*0.475*44/12</f>
        <v>8.3560647720921301E-6</v>
      </c>
      <c r="BS129" s="22">
        <f t="shared" si="63"/>
        <v>60.497817456476938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-2.8421709430404007E-13</v>
      </c>
      <c r="BZ129" s="13">
        <f>BY129*VLOOKUP('Données projet'!$B$12,Paramètres!$A$1:$I$89,3,0)*VLOOKUP('Données projet'!$B$12,Paramètres!$A$1:$I$89,5,0)</f>
        <v>-2.3055690689943731E-13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436.50252985867149</v>
      </c>
      <c r="CE129" s="59">
        <f t="shared" si="94"/>
        <v>419.00806288456329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49.574257424475661</v>
      </c>
      <c r="CL129" s="21">
        <f>EXP(-LN(2)/25)*CL128+(1-EXP(-LN(2)/25))/(LN(2)/25)*Calculateur!CG129*Calculateur!CI129*VLOOKUP('Données projet'!$B$12,Paramètres!$A$1:$I$89,3,0)*0.475*44/12</f>
        <v>1.1658405307087609</v>
      </c>
      <c r="CM129" s="21">
        <f>EXP(-LN(2)/2)*CM128+(1-EXP(-LN(2)/2))/(LN(2)/2)*CG129*CJ129*VLOOKUP('Données projet'!$B$12,Paramètres!$A$1:$I$89,3,0)*0.475*44/12</f>
        <v>7.0083123894966402E-6</v>
      </c>
      <c r="CN129" s="22">
        <f t="shared" si="66"/>
        <v>50.740104963496812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-2.8421709430404007E-13</v>
      </c>
      <c r="CU129" s="17">
        <f>CT129*VLOOKUP('Données projet'!$B$13,Paramètres!$A$1:$I$89,3,0)*VLOOKUP('Données projet'!$B$13,Paramètres!$A$1:$I$89,5,0)</f>
        <v>-2.7489477361086758E-13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508.3185483454435</v>
      </c>
      <c r="CZ129" s="59">
        <f t="shared" si="96"/>
        <v>487.08233034004945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59.107768467644021</v>
      </c>
      <c r="DG129" s="21">
        <f>EXP(-LN(2)/25)*DG128+(1-EXP(-LN(2)/25))/(LN(2)/25)*Calculateur!DB129*Calculateur!DD129*VLOOKUP('Données projet'!$B$13,Paramètres!$A$1:$I$89,3,0)*0.475*44/12</f>
        <v>1.3900406327681378</v>
      </c>
      <c r="DH129" s="21">
        <f>EXP(-LN(2)/2)*DH128+(1-EXP(-LN(2)/2))/(LN(2)/2)*DB129*DE129*VLOOKUP('Données projet'!$B$13,Paramètres!$A$1:$I$89,3,0)*0.475*44/12</f>
        <v>8.3560647720921301E-6</v>
      </c>
      <c r="DI129" s="22">
        <f t="shared" si="69"/>
        <v>60.497817456476938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-2.8421709430404007E-13</v>
      </c>
      <c r="DP129" s="17">
        <f>DO129*VLOOKUP('Données projet'!$B$14,Paramètres!$A$1:$I$89,3,0)*VLOOKUP('Données projet'!$B$14,Paramètres!$A$1:$I$89,5,0)</f>
        <v>-2.7489477361086758E-13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508.3185483454435</v>
      </c>
      <c r="DU129" s="59">
        <f t="shared" si="98"/>
        <v>487.08233034004945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59.107768467644021</v>
      </c>
      <c r="EB129" s="21">
        <f>EXP(-LN(2)/25)*EB128+(1-EXP(-LN(2)/25))/(LN(2)/25)*Calculateur!DW129*Calculateur!DY129*VLOOKUP('Données projet'!$B$14,Paramètres!$A$1:$I$89,3,0)*0.475*44/12</f>
        <v>1.3900406327681378</v>
      </c>
      <c r="EC129" s="21">
        <f>EXP(-LN(2)/2)*EC128+(1-EXP(-LN(2)/2))/(LN(2)/2)*DW129*DZ129*VLOOKUP('Données projet'!$B$14,Paramètres!$A$1:$I$89,3,0)*0.475*44/12</f>
        <v>8.3560647720921301E-6</v>
      </c>
      <c r="ED129" s="22">
        <f t="shared" si="72"/>
        <v>60.497817456476938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</v>
      </c>
      <c r="N130" s="13">
        <f>IF('Données projet'!$A$36&gt;35,N129+M130-V129,IF(A130&lt;'Données projet'!$A$36,$K$205^A130,IF(A130='Données projet'!$A$36,'Données projet'!$B$36,N129+M130-V129)))</f>
        <v>383.99999999999966</v>
      </c>
      <c r="O130" s="13">
        <f>N130*VLOOKUP('Données projet'!$B$9,Paramètres!$A$1:$I$89,3,0)*VLOOKUP('Données projet'!$B$9,Paramètres!$A$1:$I$89,5,0)</f>
        <v>347.44319999999971</v>
      </c>
      <c r="P130" s="13">
        <f t="shared" si="87"/>
        <v>81.035815119183155</v>
      </c>
      <c r="Q130" s="20">
        <f t="shared" si="107"/>
        <v>746.2676179992435</v>
      </c>
      <c r="R130" s="59">
        <f t="shared" si="55"/>
        <v>1029.669974858321</v>
      </c>
      <c r="S130" s="59">
        <f ca="1">AVERAGE(OFFSET($R$3,0,0,'Données projet'!$E$9+1,1))-AVERAGE(OFFSET($H$3,0,0,'Données projet'!$E$9+1,1))</f>
        <v>569.49435820174267</v>
      </c>
      <c r="T130" s="59">
        <f t="shared" si="88"/>
        <v>295.37730858134739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37.309786337192278</v>
      </c>
      <c r="AA130" s="21">
        <f>EXP(-LN(2)/25)*AA129+(1-EXP(-LN(2)/25))/(LN(2)/25)*Calculateur!V130*Calculateur!X130*VLOOKUP('Données projet'!$B$9,Paramètres!$A$1:$I$89,3,0)*0.475*44/12</f>
        <v>17.841610826796813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55.151397163989088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</v>
      </c>
      <c r="AI130" s="13">
        <f>IF('Données projet'!$A$62&gt;35,AI129+AH130-AQ129,IF(A130&lt;'Données projet'!$A$62,$AF$205^A130,IF(A130='Données projet'!$A$62,'Données projet'!$B$62,AI129+AH130-AQ129)))</f>
        <v>383.99999999999966</v>
      </c>
      <c r="AJ130" s="13">
        <f>AI130*VLOOKUP('Données projet'!$B$10,Paramètres!$A$1:$I$89,3,0)*VLOOKUP('Données projet'!$B$10,Paramètres!$A$1:$I$89,5,0)</f>
        <v>389.37599999999969</v>
      </c>
      <c r="AK130" s="13">
        <f t="shared" si="89"/>
        <v>89.619449476412342</v>
      </c>
      <c r="AL130" s="20">
        <f t="shared" si="58"/>
        <v>834.25040783808424</v>
      </c>
      <c r="AM130" s="59">
        <f t="shared" si="59"/>
        <v>1117.6527646971617</v>
      </c>
      <c r="AN130" s="59">
        <f ca="1">AVERAGE(OFFSET($AM$3,0,0,'Données projet'!$E$10+1,1))-AVERAGE(OFFSET($H$3,0,0,'Données projet'!$E$10+1,1))</f>
        <v>627.83896530587367</v>
      </c>
      <c r="AO130" s="59">
        <f t="shared" si="90"/>
        <v>323.54927030899489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41.812691584784467</v>
      </c>
      <c r="AV130" s="21">
        <f>EXP(-LN(2)/25)*AV129+(1-EXP(-LN(2)/25))/(LN(2)/25)*Calculateur!AQ130*Calculateur!AS130*VLOOKUP('Données projet'!$B$10,Paramètres!$A$1:$I$89,3,0)*0.475*44/12</f>
        <v>19.99490868520332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61.807600269987788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-2.8421709430404007E-13</v>
      </c>
      <c r="BE130" s="13">
        <f>BD130*VLOOKUP('Données projet'!$B$11,Paramètres!$A$1:$I$89,3,0)*VLOOKUP('Données projet'!$B$11,Paramètres!$A$1:$I$89,5,0)</f>
        <v>-2.7489477361086758E-13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508.3185483454435</v>
      </c>
      <c r="BJ130" s="59">
        <f t="shared" si="92"/>
        <v>487.08233034004945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57.948701180172428</v>
      </c>
      <c r="BQ130" s="21">
        <f>EXP(-LN(2)/25)*BQ129+(1-EXP(-LN(2)/25))/(LN(2)/25)*Calculateur!BL130*Calculateur!BN130*VLOOKUP('Données projet'!$B$11,Paramètres!$A$1:$I$89,3,0)*0.475*44/12</f>
        <v>1.3520298985660333</v>
      </c>
      <c r="BR130" s="21">
        <f>EXP(-LN(2)/2)*BR129+(1-EXP(-LN(2)/2))/(LN(2)/2)*BL130*BO130*VLOOKUP('Données projet'!$B$11,Paramètres!$A$1:$I$89,3,0)*0.475*44/12</f>
        <v>5.908630064380368E-6</v>
      </c>
      <c r="BS130" s="22">
        <f t="shared" si="63"/>
        <v>59.300736987368524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-2.8421709430404007E-13</v>
      </c>
      <c r="BZ130" s="13">
        <f>BY130*VLOOKUP('Données projet'!$B$12,Paramètres!$A$1:$I$89,3,0)*VLOOKUP('Données projet'!$B$12,Paramètres!$A$1:$I$89,5,0)</f>
        <v>-2.3055690689943731E-13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436.50252985867149</v>
      </c>
      <c r="CE130" s="59">
        <f t="shared" si="94"/>
        <v>419.00806288456329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48.602136473693037</v>
      </c>
      <c r="CL130" s="21">
        <f>EXP(-LN(2)/25)*CL129+(1-EXP(-LN(2)/25))/(LN(2)/25)*Calculateur!CG130*Calculateur!CI130*VLOOKUP('Données projet'!$B$12,Paramètres!$A$1:$I$89,3,0)*0.475*44/12</f>
        <v>1.133960560087641</v>
      </c>
      <c r="CM130" s="21">
        <f>EXP(-LN(2)/2)*CM129+(1-EXP(-LN(2)/2))/(LN(2)/2)*CG130*CJ130*VLOOKUP('Données projet'!$B$12,Paramètres!$A$1:$I$89,3,0)*0.475*44/12</f>
        <v>4.9556252152867708E-6</v>
      </c>
      <c r="CN130" s="22">
        <f t="shared" si="66"/>
        <v>49.736101989405896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-2.8421709430404007E-13</v>
      </c>
      <c r="CU130" s="17">
        <f>CT130*VLOOKUP('Données projet'!$B$13,Paramètres!$A$1:$I$89,3,0)*VLOOKUP('Données projet'!$B$13,Paramètres!$A$1:$I$89,5,0)</f>
        <v>-2.7489477361086758E-13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508.3185483454435</v>
      </c>
      <c r="CZ130" s="59">
        <f t="shared" si="96"/>
        <v>487.08233034004945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57.948701180172428</v>
      </c>
      <c r="DG130" s="21">
        <f>EXP(-LN(2)/25)*DG129+(1-EXP(-LN(2)/25))/(LN(2)/25)*Calculateur!DB130*Calculateur!DD130*VLOOKUP('Données projet'!$B$13,Paramètres!$A$1:$I$89,3,0)*0.475*44/12</f>
        <v>1.3520298985660333</v>
      </c>
      <c r="DH130" s="21">
        <f>EXP(-LN(2)/2)*DH129+(1-EXP(-LN(2)/2))/(LN(2)/2)*DB130*DE130*VLOOKUP('Données projet'!$B$13,Paramètres!$A$1:$I$89,3,0)*0.475*44/12</f>
        <v>5.908630064380368E-6</v>
      </c>
      <c r="DI130" s="22">
        <f t="shared" si="69"/>
        <v>59.300736987368524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-2.8421709430404007E-13</v>
      </c>
      <c r="DP130" s="17">
        <f>DO130*VLOOKUP('Données projet'!$B$14,Paramètres!$A$1:$I$89,3,0)*VLOOKUP('Données projet'!$B$14,Paramètres!$A$1:$I$89,5,0)</f>
        <v>-2.7489477361086758E-13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508.3185483454435</v>
      </c>
      <c r="DU130" s="59">
        <f t="shared" si="98"/>
        <v>487.08233034004945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57.948701180172428</v>
      </c>
      <c r="EB130" s="21">
        <f>EXP(-LN(2)/25)*EB129+(1-EXP(-LN(2)/25))/(LN(2)/25)*Calculateur!DW130*Calculateur!DY130*VLOOKUP('Données projet'!$B$14,Paramètres!$A$1:$I$89,3,0)*0.475*44/12</f>
        <v>1.3520298985660333</v>
      </c>
      <c r="EC130" s="21">
        <f>EXP(-LN(2)/2)*EC129+(1-EXP(-LN(2)/2))/(LN(2)/2)*DW130*DZ130*VLOOKUP('Données projet'!$B$14,Paramètres!$A$1:$I$89,3,0)*0.475*44/12</f>
        <v>5.908630064380368E-6</v>
      </c>
      <c r="ED130" s="22">
        <f t="shared" si="72"/>
        <v>59.300736987368524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</v>
      </c>
      <c r="N131" s="13">
        <f>IF('Données projet'!$A$36&gt;35,N130+M131-V130,IF(A131&lt;'Données projet'!$A$36,$K$205^A131,IF(A131='Données projet'!$A$36,'Données projet'!$B$36,N130+M131-V130)))</f>
        <v>390.99999999999966</v>
      </c>
      <c r="O131" s="13">
        <f>N131*VLOOKUP('Données projet'!$B$9,Paramètres!$A$1:$I$89,3,0)*VLOOKUP('Données projet'!$B$9,Paramètres!$A$1:$I$89,5,0)</f>
        <v>353.77679999999964</v>
      </c>
      <c r="P131" s="13">
        <f t="shared" si="87"/>
        <v>82.33970712600572</v>
      </c>
      <c r="Q131" s="20">
        <f t="shared" ref="Q131:Q153" si="108">(O131+P131)*0.475*44/12</f>
        <v>759.5695832444593</v>
      </c>
      <c r="R131" s="59">
        <f t="shared" ref="R131:R194" si="109">Q131+(I131+J131)*44/12</f>
        <v>1043.1442203430279</v>
      </c>
      <c r="S131" s="59">
        <f ca="1">AVERAGE(OFFSET($R$3,0,0,'Données projet'!$E$9+1,1))-AVERAGE(OFFSET($H$3,0,0,'Données projet'!$E$9+1,1))</f>
        <v>569.49435820174267</v>
      </c>
      <c r="T131" s="59">
        <f t="shared" si="88"/>
        <v>295.37730858134739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36.578164183842567</v>
      </c>
      <c r="AA131" s="21">
        <f>EXP(-LN(2)/25)*AA130+(1-EXP(-LN(2)/25))/(LN(2)/25)*Calculateur!V131*Calculateur!X131*VLOOKUP('Données projet'!$B$9,Paramètres!$A$1:$I$89,3,0)*0.475*44/12</f>
        <v>17.353731040488519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53.931895224331086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</v>
      </c>
      <c r="AI131" s="13">
        <f>IF('Données projet'!$A$62&gt;35,AI130+AH131-AQ130,IF(A131&lt;'Données projet'!$A$62,$AF$205^A131,IF(A131='Données projet'!$A$62,'Données projet'!$B$62,AI130+AH131-AQ130)))</f>
        <v>390.99999999999966</v>
      </c>
      <c r="AJ131" s="13">
        <f>AI131*VLOOKUP('Données projet'!$B$10,Paramètres!$A$1:$I$89,3,0)*VLOOKUP('Données projet'!$B$10,Paramètres!$A$1:$I$89,5,0)</f>
        <v>396.47399999999965</v>
      </c>
      <c r="AK131" s="13">
        <f t="shared" si="89"/>
        <v>91.061454886690129</v>
      </c>
      <c r="AL131" s="20">
        <f t="shared" si="58"/>
        <v>849.12425059431791</v>
      </c>
      <c r="AM131" s="59">
        <f t="shared" si="59"/>
        <v>1132.6988876928865</v>
      </c>
      <c r="AN131" s="59">
        <f ca="1">AVERAGE(OFFSET($AM$3,0,0,'Données projet'!$E$10+1,1))-AVERAGE(OFFSET($H$3,0,0,'Données projet'!$E$10+1,1))</f>
        <v>627.83896530587367</v>
      </c>
      <c r="AO131" s="59">
        <f t="shared" si="90"/>
        <v>323.54927030899489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40.992770206030478</v>
      </c>
      <c r="AV131" s="21">
        <f>EXP(-LN(2)/25)*AV130+(1-EXP(-LN(2)/25))/(LN(2)/25)*Calculateur!AQ131*Calculateur!AS131*VLOOKUP('Données projet'!$B$10,Paramètres!$A$1:$I$89,3,0)*0.475*44/12</f>
        <v>19.448146855719887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60.440917061750369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-2.8421709430404007E-13</v>
      </c>
      <c r="BE131" s="13">
        <f>BD131*VLOOKUP('Données projet'!$B$11,Paramètres!$A$1:$I$89,3,0)*VLOOKUP('Données projet'!$B$11,Paramètres!$A$1:$I$89,5,0)</f>
        <v>-2.7489477361086758E-13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508.3185483454435</v>
      </c>
      <c r="BJ131" s="59">
        <f t="shared" si="92"/>
        <v>487.08233034004945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56.812362495246916</v>
      </c>
      <c r="BQ131" s="21">
        <f>EXP(-LN(2)/25)*BQ130+(1-EXP(-LN(2)/25))/(LN(2)/25)*Calculateur!BL131*Calculateur!BN131*VLOOKUP('Données projet'!$B$11,Paramètres!$A$1:$I$89,3,0)*0.475*44/12</f>
        <v>1.3150585698895829</v>
      </c>
      <c r="BR131" s="21">
        <f>EXP(-LN(2)/2)*BR130+(1-EXP(-LN(2)/2))/(LN(2)/2)*BL131*BO131*VLOOKUP('Données projet'!$B$11,Paramètres!$A$1:$I$89,3,0)*0.475*44/12</f>
        <v>4.1780323860460651E-6</v>
      </c>
      <c r="BS131" s="22">
        <f t="shared" si="63"/>
        <v>58.127425243168879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-2.8421709430404007E-13</v>
      </c>
      <c r="BZ131" s="13">
        <f>BY131*VLOOKUP('Données projet'!$B$12,Paramètres!$A$1:$I$89,3,0)*VLOOKUP('Données projet'!$B$12,Paramètres!$A$1:$I$89,5,0)</f>
        <v>-2.3055690689943731E-13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436.50252985867149</v>
      </c>
      <c r="CE131" s="59">
        <f t="shared" si="94"/>
        <v>419.00806288456329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47.649078221820027</v>
      </c>
      <c r="CL131" s="21">
        <f>EXP(-LN(2)/25)*CL130+(1-EXP(-LN(2)/25))/(LN(2)/25)*Calculateur!CG131*Calculateur!CI131*VLOOKUP('Données projet'!$B$12,Paramètres!$A$1:$I$89,3,0)*0.475*44/12</f>
        <v>1.1029523489396502</v>
      </c>
      <c r="CM131" s="21">
        <f>EXP(-LN(2)/2)*CM130+(1-EXP(-LN(2)/2))/(LN(2)/2)*CG131*CJ131*VLOOKUP('Données projet'!$B$12,Paramètres!$A$1:$I$89,3,0)*0.475*44/12</f>
        <v>3.5041561947483201E-6</v>
      </c>
      <c r="CN131" s="22">
        <f t="shared" si="66"/>
        <v>48.752034074915876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-2.8421709430404007E-13</v>
      </c>
      <c r="CU131" s="17">
        <f>CT131*VLOOKUP('Données projet'!$B$13,Paramètres!$A$1:$I$89,3,0)*VLOOKUP('Données projet'!$B$13,Paramètres!$A$1:$I$89,5,0)</f>
        <v>-2.7489477361086758E-13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508.3185483454435</v>
      </c>
      <c r="CZ131" s="59">
        <f t="shared" si="96"/>
        <v>487.08233034004945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56.812362495246916</v>
      </c>
      <c r="DG131" s="21">
        <f>EXP(-LN(2)/25)*DG130+(1-EXP(-LN(2)/25))/(LN(2)/25)*Calculateur!DB131*Calculateur!DD131*VLOOKUP('Données projet'!$B$13,Paramètres!$A$1:$I$89,3,0)*0.475*44/12</f>
        <v>1.3150585698895829</v>
      </c>
      <c r="DH131" s="21">
        <f>EXP(-LN(2)/2)*DH130+(1-EXP(-LN(2)/2))/(LN(2)/2)*DB131*DE131*VLOOKUP('Données projet'!$B$13,Paramètres!$A$1:$I$89,3,0)*0.475*44/12</f>
        <v>4.1780323860460651E-6</v>
      </c>
      <c r="DI131" s="22">
        <f t="shared" si="69"/>
        <v>58.127425243168879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-2.8421709430404007E-13</v>
      </c>
      <c r="DP131" s="17">
        <f>DO131*VLOOKUP('Données projet'!$B$14,Paramètres!$A$1:$I$89,3,0)*VLOOKUP('Données projet'!$B$14,Paramètres!$A$1:$I$89,5,0)</f>
        <v>-2.7489477361086758E-13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508.3185483454435</v>
      </c>
      <c r="DU131" s="59">
        <f t="shared" si="98"/>
        <v>487.08233034004945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56.812362495246916</v>
      </c>
      <c r="EB131" s="21">
        <f>EXP(-LN(2)/25)*EB130+(1-EXP(-LN(2)/25))/(LN(2)/25)*Calculateur!DW131*Calculateur!DY131*VLOOKUP('Données projet'!$B$14,Paramètres!$A$1:$I$89,3,0)*0.475*44/12</f>
        <v>1.3150585698895829</v>
      </c>
      <c r="EC131" s="21">
        <f>EXP(-LN(2)/2)*EC130+(1-EXP(-LN(2)/2))/(LN(2)/2)*DW131*DZ131*VLOOKUP('Données projet'!$B$14,Paramètres!$A$1:$I$89,3,0)*0.475*44/12</f>
        <v>4.1780323860460651E-6</v>
      </c>
      <c r="ED131" s="22">
        <f t="shared" si="72"/>
        <v>58.127425243168879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</v>
      </c>
      <c r="N132" s="13">
        <f>IF('Données projet'!$A$36&gt;35,N131+M132-V131,IF(A132&lt;'Données projet'!$A$36,$K$205^A132,IF(A132='Données projet'!$A$36,'Données projet'!$B$36,N131+M132-V131)))</f>
        <v>397.99999999999966</v>
      </c>
      <c r="O132" s="13">
        <f>N132*VLOOKUP('Données projet'!$B$9,Paramètres!$A$1:$I$89,3,0)*VLOOKUP('Données projet'!$B$9,Paramètres!$A$1:$I$89,5,0)</f>
        <v>360.11039999999969</v>
      </c>
      <c r="P132" s="13">
        <f t="shared" si="87"/>
        <v>83.640884644487258</v>
      </c>
      <c r="Q132" s="20">
        <f t="shared" si="108"/>
        <v>772.86682075581473</v>
      </c>
      <c r="R132" s="59">
        <f t="shared" si="109"/>
        <v>1056.61074941688</v>
      </c>
      <c r="S132" s="59">
        <f ca="1">AVERAGE(OFFSET($R$3,0,0,'Données projet'!$E$9+1,1))-AVERAGE(OFFSET($H$3,0,0,'Données projet'!$E$9+1,1))</f>
        <v>569.49435820174267</v>
      </c>
      <c r="T132" s="59">
        <f t="shared" si="88"/>
        <v>295.37730858134739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35.860888694674593</v>
      </c>
      <c r="AA132" s="21">
        <f>EXP(-LN(2)/25)*AA131+(1-EXP(-LN(2)/25))/(LN(2)/25)*Calculateur!V132*Calculateur!X132*VLOOKUP('Données projet'!$B$9,Paramètres!$A$1:$I$89,3,0)*0.475*44/12</f>
        <v>16.879192352593307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52.7400810472679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</v>
      </c>
      <c r="AI132" s="13">
        <f>IF('Données projet'!$A$62&gt;35,AI131+AH132-AQ131,IF(A132&lt;'Données projet'!$A$62,$AF$205^A132,IF(A132='Données projet'!$A$62,'Données projet'!$B$62,AI131+AH132-AQ131)))</f>
        <v>397.99999999999966</v>
      </c>
      <c r="AJ132" s="13">
        <f>AI132*VLOOKUP('Données projet'!$B$10,Paramètres!$A$1:$I$89,3,0)*VLOOKUP('Données projet'!$B$10,Paramètres!$A$1:$I$89,5,0)</f>
        <v>403.57199999999966</v>
      </c>
      <c r="AK132" s="13">
        <f t="shared" si="89"/>
        <v>92.500458279275193</v>
      </c>
      <c r="AL132" s="20">
        <f t="shared" ref="AL132:AL153" si="112">(AJ132+AK132)*0.475*44/12</f>
        <v>863.99286483640378</v>
      </c>
      <c r="AM132" s="59">
        <f t="shared" ref="AM132:AM195" si="113">AL132+(AD132+AE132)*44/12</f>
        <v>1147.7367934974691</v>
      </c>
      <c r="AN132" s="59">
        <f ca="1">AVERAGE(OFFSET($AM$3,0,0,'Données projet'!$E$10+1,1))-AVERAGE(OFFSET($H$3,0,0,'Données projet'!$E$10+1,1))</f>
        <v>627.83896530587367</v>
      </c>
      <c r="AO132" s="59">
        <f t="shared" si="90"/>
        <v>323.54927030899489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40.188926985411193</v>
      </c>
      <c r="AV132" s="21">
        <f>EXP(-LN(2)/25)*AV131+(1-EXP(-LN(2)/25))/(LN(2)/25)*Calculateur!AQ132*Calculateur!AS132*VLOOKUP('Données projet'!$B$10,Paramètres!$A$1:$I$89,3,0)*0.475*44/12</f>
        <v>18.916336257216635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59.105263242627828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-2.8421709430404007E-13</v>
      </c>
      <c r="BE132" s="13">
        <f>BD132*VLOOKUP('Données projet'!$B$11,Paramètres!$A$1:$I$89,3,0)*VLOOKUP('Données projet'!$B$11,Paramètres!$A$1:$I$89,5,0)</f>
        <v>-2.7489477361086758E-13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508.3185483454435</v>
      </c>
      <c r="BJ132" s="59">
        <f t="shared" si="92"/>
        <v>487.08233034004945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55.69830671883463</v>
      </c>
      <c r="BQ132" s="21">
        <f>EXP(-LN(2)/25)*BQ131+(1-EXP(-LN(2)/25))/(LN(2)/25)*Calculateur!BL132*Calculateur!BN132*VLOOKUP('Données projet'!$B$11,Paramètres!$A$1:$I$89,3,0)*0.475*44/12</f>
        <v>1.2790982241400277</v>
      </c>
      <c r="BR132" s="21">
        <f>EXP(-LN(2)/2)*BR131+(1-EXP(-LN(2)/2))/(LN(2)/2)*BL132*BO132*VLOOKUP('Données projet'!$B$11,Paramètres!$A$1:$I$89,3,0)*0.475*44/12</f>
        <v>2.954315032190184E-6</v>
      </c>
      <c r="BS132" s="22">
        <f t="shared" ref="BS132:BS153" si="117">SUM(BP132:BR132)</f>
        <v>56.977407897289687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-2.8421709430404007E-13</v>
      </c>
      <c r="BZ132" s="13">
        <f>BY132*VLOOKUP('Données projet'!$B$12,Paramètres!$A$1:$I$89,3,0)*VLOOKUP('Données projet'!$B$12,Paramètres!$A$1:$I$89,5,0)</f>
        <v>-2.3055690689943731E-13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436.50252985867149</v>
      </c>
      <c r="CE132" s="59">
        <f t="shared" si="94"/>
        <v>419.00806288456329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46.714708860958112</v>
      </c>
      <c r="CL132" s="21">
        <f>EXP(-LN(2)/25)*CL131+(1-EXP(-LN(2)/25))/(LN(2)/25)*Calculateur!CG132*Calculateur!CI132*VLOOKUP('Données projet'!$B$12,Paramètres!$A$1:$I$89,3,0)*0.475*44/12</f>
        <v>1.0727920589561524</v>
      </c>
      <c r="CM132" s="21">
        <f>EXP(-LN(2)/2)*CM131+(1-EXP(-LN(2)/2))/(LN(2)/2)*CG132*CJ132*VLOOKUP('Données projet'!$B$12,Paramètres!$A$1:$I$89,3,0)*0.475*44/12</f>
        <v>2.4778126076433854E-6</v>
      </c>
      <c r="CN132" s="22">
        <f t="shared" ref="CN132:CN153" si="120">SUM(CK132:CM132)</f>
        <v>47.787503397726873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-2.8421709430404007E-13</v>
      </c>
      <c r="CU132" s="17">
        <f>CT132*VLOOKUP('Données projet'!$B$13,Paramètres!$A$1:$I$89,3,0)*VLOOKUP('Données projet'!$B$13,Paramètres!$A$1:$I$89,5,0)</f>
        <v>-2.7489477361086758E-13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508.3185483454435</v>
      </c>
      <c r="CZ132" s="59">
        <f t="shared" si="96"/>
        <v>487.08233034004945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55.69830671883463</v>
      </c>
      <c r="DG132" s="21">
        <f>EXP(-LN(2)/25)*DG131+(1-EXP(-LN(2)/25))/(LN(2)/25)*Calculateur!DB132*Calculateur!DD132*VLOOKUP('Données projet'!$B$13,Paramètres!$A$1:$I$89,3,0)*0.475*44/12</f>
        <v>1.2790982241400277</v>
      </c>
      <c r="DH132" s="21">
        <f>EXP(-LN(2)/2)*DH131+(1-EXP(-LN(2)/2))/(LN(2)/2)*DB132*DE132*VLOOKUP('Données projet'!$B$13,Paramètres!$A$1:$I$89,3,0)*0.475*44/12</f>
        <v>2.954315032190184E-6</v>
      </c>
      <c r="DI132" s="22">
        <f t="shared" ref="DI132:DI153" si="123">SUM(DF132:DH132)</f>
        <v>56.977407897289687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-2.8421709430404007E-13</v>
      </c>
      <c r="DP132" s="17">
        <f>DO132*VLOOKUP('Données projet'!$B$14,Paramètres!$A$1:$I$89,3,0)*VLOOKUP('Données projet'!$B$14,Paramètres!$A$1:$I$89,5,0)</f>
        <v>-2.7489477361086758E-13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508.3185483454435</v>
      </c>
      <c r="DU132" s="59">
        <f t="shared" si="98"/>
        <v>487.08233034004945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55.69830671883463</v>
      </c>
      <c r="EB132" s="21">
        <f>EXP(-LN(2)/25)*EB131+(1-EXP(-LN(2)/25))/(LN(2)/25)*Calculateur!DW132*Calculateur!DY132*VLOOKUP('Données projet'!$B$14,Paramètres!$A$1:$I$89,3,0)*0.475*44/12</f>
        <v>1.2790982241400277</v>
      </c>
      <c r="EC132" s="21">
        <f>EXP(-LN(2)/2)*EC131+(1-EXP(-LN(2)/2))/(LN(2)/2)*DW132*DZ132*VLOOKUP('Données projet'!$B$14,Paramètres!$A$1:$I$89,3,0)*0.475*44/12</f>
        <v>2.954315032190184E-6</v>
      </c>
      <c r="ED132" s="22">
        <f t="shared" ref="ED132:ED153" si="126">SUM(EA132:EC132)</f>
        <v>56.977407897289687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7</v>
      </c>
      <c r="N133" s="13">
        <f>IF('Données projet'!$A$36&gt;35,N132+M133-V132,IF(A133&lt;'Données projet'!$A$36,$K$205^A133,IF(A133='Données projet'!$A$36,'Données projet'!$B$36,N132+M133-V132)))</f>
        <v>404.99999999999966</v>
      </c>
      <c r="O133" s="13">
        <f>N133*VLOOKUP('Données projet'!$B$9,Paramètres!$A$1:$I$89,3,0)*VLOOKUP('Données projet'!$B$9,Paramètres!$A$1:$I$89,5,0)</f>
        <v>366.44399999999968</v>
      </c>
      <c r="P133" s="13">
        <f t="shared" ref="P133:P196" si="141">EXP(-1.0587+0.8836*LN(O133)+0.284)</f>
        <v>84.939400925097203</v>
      </c>
      <c r="Q133" s="20">
        <f t="shared" si="108"/>
        <v>786.15942327787707</v>
      </c>
      <c r="R133" s="59">
        <f t="shared" si="109"/>
        <v>1070.0697066713092</v>
      </c>
      <c r="S133" s="59">
        <f ca="1">AVERAGE(OFFSET($R$3,0,0,'Données projet'!$E$9+1,1))-AVERAGE(OFFSET($H$3,0,0,'Données projet'!$E$9+1,1))</f>
        <v>569.49435820174267</v>
      </c>
      <c r="T133" s="59">
        <f t="shared" ref="T133:T196" si="142">$T$3</f>
        <v>295.37730858134739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35.157678540354347</v>
      </c>
      <c r="AA133" s="21">
        <f>EXP(-LN(2)/25)*AA132+(1-EXP(-LN(2)/25))/(LN(2)/25)*Calculateur!V133*Calculateur!X133*VLOOKUP('Données projet'!$B$9,Paramètres!$A$1:$I$89,3,0)*0.475*44/12</f>
        <v>16.417629950073497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51.575308490427844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7</v>
      </c>
      <c r="AI133" s="13">
        <f>IF('Données projet'!$A$62&gt;35,AI132+AH133-AQ132,IF(A133&lt;'Données projet'!$A$62,$AF$205^A133,IF(A133='Données projet'!$A$62,'Données projet'!$B$62,AI132+AH133-AQ132)))</f>
        <v>404.99999999999966</v>
      </c>
      <c r="AJ133" s="13">
        <f>AI133*VLOOKUP('Données projet'!$B$10,Paramètres!$A$1:$I$89,3,0)*VLOOKUP('Données projet'!$B$10,Paramètres!$A$1:$I$89,5,0)</f>
        <v>410.66999999999967</v>
      </c>
      <c r="AK133" s="13">
        <f t="shared" ref="AK133:AK153" si="143">EXP(-1.0587+0.8836*LN(AJ133)+0.284)</f>
        <v>93.936518545137474</v>
      </c>
      <c r="AL133" s="20">
        <f t="shared" si="112"/>
        <v>878.85635313278044</v>
      </c>
      <c r="AM133" s="59">
        <f t="shared" si="113"/>
        <v>1162.7666365262126</v>
      </c>
      <c r="AN133" s="59">
        <f ca="1">AVERAGE(OFFSET($AM$3,0,0,'Données projet'!$E$10+1,1))-AVERAGE(OFFSET($H$3,0,0,'Données projet'!$E$10+1,1))</f>
        <v>627.83896530587367</v>
      </c>
      <c r="AO133" s="59">
        <f t="shared" ref="AO133:AO196" si="144">$AO$3</f>
        <v>323.54927030899489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39.400846640052301</v>
      </c>
      <c r="AV133" s="21">
        <f>EXP(-LN(2)/25)*AV132+(1-EXP(-LN(2)/25))/(LN(2)/25)*Calculateur!AQ133*Calculateur!AS133*VLOOKUP('Données projet'!$B$10,Paramètres!$A$1:$I$89,3,0)*0.475*44/12</f>
        <v>18.399068047496158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57.799914687548458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-2.8421709430404007E-13</v>
      </c>
      <c r="BE133" s="13">
        <f>BD133*VLOOKUP('Données projet'!$B$11,Paramètres!$A$1:$I$89,3,0)*VLOOKUP('Données projet'!$B$11,Paramètres!$A$1:$I$89,5,0)</f>
        <v>-2.7489477361086758E-13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508.3185483454435</v>
      </c>
      <c r="BJ133" s="59">
        <f t="shared" ref="BJ133:BJ196" si="146">$BJ$3</f>
        <v>487.08233034004945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54.606096896690865</v>
      </c>
      <c r="BQ133" s="21">
        <f>EXP(-LN(2)/25)*BQ132+(1-EXP(-LN(2)/25))/(LN(2)/25)*Calculateur!BL133*Calculateur!BN133*VLOOKUP('Données projet'!$B$11,Paramètres!$A$1:$I$89,3,0)*0.475*44/12</f>
        <v>1.2441212159360664</v>
      </c>
      <c r="BR133" s="21">
        <f>EXP(-LN(2)/2)*BR132+(1-EXP(-LN(2)/2))/(LN(2)/2)*BL133*BO133*VLOOKUP('Données projet'!$B$11,Paramètres!$A$1:$I$89,3,0)*0.475*44/12</f>
        <v>2.0890161930230325E-6</v>
      </c>
      <c r="BS133" s="22">
        <f t="shared" si="117"/>
        <v>55.850220201643126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-2.8421709430404007E-13</v>
      </c>
      <c r="BZ133" s="13">
        <f>BY133*VLOOKUP('Données projet'!$B$12,Paramètres!$A$1:$I$89,3,0)*VLOOKUP('Données projet'!$B$12,Paramètres!$A$1:$I$89,5,0)</f>
        <v>-2.3055690689943731E-13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436.50252985867149</v>
      </c>
      <c r="CE133" s="59">
        <f t="shared" ref="CE133:CE196" si="148">$CE$3</f>
        <v>419.00806288456329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45.798661913353662</v>
      </c>
      <c r="CL133" s="21">
        <f>EXP(-LN(2)/25)*CL132+(1-EXP(-LN(2)/25))/(LN(2)/25)*Calculateur!CG133*Calculateur!CI133*VLOOKUP('Données projet'!$B$12,Paramètres!$A$1:$I$89,3,0)*0.475*44/12</f>
        <v>1.0434565036883139</v>
      </c>
      <c r="CM133" s="21">
        <f>EXP(-LN(2)/2)*CM132+(1-EXP(-LN(2)/2))/(LN(2)/2)*CG133*CJ133*VLOOKUP('Données projet'!$B$12,Paramètres!$A$1:$I$89,3,0)*0.475*44/12</f>
        <v>1.7520780973741601E-6</v>
      </c>
      <c r="CN133" s="22">
        <f t="shared" si="120"/>
        <v>46.842120169120072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-2.8421709430404007E-13</v>
      </c>
      <c r="CU133" s="17">
        <f>CT133*VLOOKUP('Données projet'!$B$13,Paramètres!$A$1:$I$89,3,0)*VLOOKUP('Données projet'!$B$13,Paramètres!$A$1:$I$89,5,0)</f>
        <v>-2.7489477361086758E-13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508.3185483454435</v>
      </c>
      <c r="CZ133" s="59">
        <f t="shared" ref="CZ133:CZ196" si="150">$CZ$3</f>
        <v>487.08233034004945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54.606096896690865</v>
      </c>
      <c r="DG133" s="21">
        <f>EXP(-LN(2)/25)*DG132+(1-EXP(-LN(2)/25))/(LN(2)/25)*Calculateur!DB133*Calculateur!DD133*VLOOKUP('Données projet'!$B$13,Paramètres!$A$1:$I$89,3,0)*0.475*44/12</f>
        <v>1.2441212159360664</v>
      </c>
      <c r="DH133" s="21">
        <f>EXP(-LN(2)/2)*DH132+(1-EXP(-LN(2)/2))/(LN(2)/2)*DB133*DE133*VLOOKUP('Données projet'!$B$13,Paramètres!$A$1:$I$89,3,0)*0.475*44/12</f>
        <v>2.0890161930230325E-6</v>
      </c>
      <c r="DI133" s="22">
        <f t="shared" si="123"/>
        <v>55.850220201643126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-2.8421709430404007E-13</v>
      </c>
      <c r="DP133" s="17">
        <f>DO133*VLOOKUP('Données projet'!$B$14,Paramètres!$A$1:$I$89,3,0)*VLOOKUP('Données projet'!$B$14,Paramètres!$A$1:$I$89,5,0)</f>
        <v>-2.7489477361086758E-13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508.3185483454435</v>
      </c>
      <c r="DU133" s="59">
        <f t="shared" ref="DU133:DU196" si="152">$DU$3</f>
        <v>487.08233034004945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54.606096896690865</v>
      </c>
      <c r="EB133" s="21">
        <f>EXP(-LN(2)/25)*EB132+(1-EXP(-LN(2)/25))/(LN(2)/25)*Calculateur!DW133*Calculateur!DY133*VLOOKUP('Données projet'!$B$14,Paramètres!$A$1:$I$89,3,0)*0.475*44/12</f>
        <v>1.2441212159360664</v>
      </c>
      <c r="EC133" s="21">
        <f>EXP(-LN(2)/2)*EC132+(1-EXP(-LN(2)/2))/(LN(2)/2)*DW133*DZ133*VLOOKUP('Données projet'!$B$14,Paramètres!$A$1:$I$89,3,0)*0.475*44/12</f>
        <v>2.0890161930230325E-6</v>
      </c>
      <c r="ED133" s="22">
        <f t="shared" si="126"/>
        <v>55.850220201643126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</v>
      </c>
      <c r="N134" s="13">
        <f>IF('Données projet'!$A$36&gt;35,N133+M134-V133,IF(A134&lt;'Données projet'!$A$36,$K$205^A134,IF(A134='Données projet'!$A$36,'Données projet'!$B$36,N133+M134-V133)))</f>
        <v>411.99999999999966</v>
      </c>
      <c r="O134" s="13">
        <f>N134*VLOOKUP('Données projet'!$B$9,Paramètres!$A$1:$I$89,3,0)*VLOOKUP('Données projet'!$B$9,Paramètres!$A$1:$I$89,5,0)</f>
        <v>372.77759999999967</v>
      </c>
      <c r="P134" s="13">
        <f t="shared" si="141"/>
        <v>86.23530727208437</v>
      </c>
      <c r="Q134" s="20">
        <f t="shared" si="108"/>
        <v>799.44748016554638</v>
      </c>
      <c r="R134" s="59">
        <f t="shared" si="109"/>
        <v>1083.5212324086522</v>
      </c>
      <c r="S134" s="59">
        <f ca="1">AVERAGE(OFFSET($R$3,0,0,'Données projet'!$E$9+1,1))-AVERAGE(OFFSET($H$3,0,0,'Données projet'!$E$9+1,1))</f>
        <v>569.49435820174267</v>
      </c>
      <c r="T134" s="59">
        <f t="shared" si="142"/>
        <v>295.37730858134739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34.468257908244482</v>
      </c>
      <c r="AA134" s="21">
        <f>EXP(-LN(2)/25)*AA133+(1-EXP(-LN(2)/25))/(LN(2)/25)*Calculateur!V134*Calculateur!X134*VLOOKUP('Données projet'!$B$9,Paramètres!$A$1:$I$89,3,0)*0.475*44/12</f>
        <v>15.968688995723101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50.436946903967581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</v>
      </c>
      <c r="AI134" s="13">
        <f>IF('Données projet'!$A$62&gt;35,AI133+AH134-AQ133,IF(A134&lt;'Données projet'!$A$62,$AF$205^A134,IF(A134='Données projet'!$A$62,'Données projet'!$B$62,AI133+AH134-AQ133)))</f>
        <v>411.99999999999966</v>
      </c>
      <c r="AJ134" s="13">
        <f>AI134*VLOOKUP('Données projet'!$B$10,Paramètres!$A$1:$I$89,3,0)*VLOOKUP('Données projet'!$B$10,Paramètres!$A$1:$I$89,5,0)</f>
        <v>417.76799999999969</v>
      </c>
      <c r="AK134" s="13">
        <f t="shared" si="143"/>
        <v>95.369692422874991</v>
      </c>
      <c r="AL134" s="20">
        <f t="shared" si="112"/>
        <v>893.71481430317328</v>
      </c>
      <c r="AM134" s="59">
        <f t="shared" si="113"/>
        <v>1177.7885665462791</v>
      </c>
      <c r="AN134" s="59">
        <f ca="1">AVERAGE(OFFSET($AM$3,0,0,'Données projet'!$E$10+1,1))-AVERAGE(OFFSET($H$3,0,0,'Données projet'!$E$10+1,1))</f>
        <v>627.83896530587367</v>
      </c>
      <c r="AO134" s="59">
        <f t="shared" si="144"/>
        <v>323.54927030899489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38.628220069584351</v>
      </c>
      <c r="AV134" s="21">
        <f>EXP(-LN(2)/25)*AV133+(1-EXP(-LN(2)/25))/(LN(2)/25)*Calculateur!AQ134*Calculateur!AS134*VLOOKUP('Données projet'!$B$10,Paramètres!$A$1:$I$89,3,0)*0.475*44/12</f>
        <v>17.895944564172439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56.52416463375679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-2.8421709430404007E-13</v>
      </c>
      <c r="BE134" s="13">
        <f>BD134*VLOOKUP('Données projet'!$B$11,Paramètres!$A$1:$I$89,3,0)*VLOOKUP('Données projet'!$B$11,Paramètres!$A$1:$I$89,5,0)</f>
        <v>-2.7489477361086758E-13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508.3185483454435</v>
      </c>
      <c r="BJ134" s="59">
        <f t="shared" si="146"/>
        <v>487.08233034004945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53.535304642977124</v>
      </c>
      <c r="BQ134" s="21">
        <f>EXP(-LN(2)/25)*BQ133+(1-EXP(-LN(2)/25))/(LN(2)/25)*Calculateur!BL134*Calculateur!BN134*VLOOKUP('Données projet'!$B$11,Paramètres!$A$1:$I$89,3,0)*0.475*44/12</f>
        <v>1.2101006558608034</v>
      </c>
      <c r="BR134" s="21">
        <f>EXP(-LN(2)/2)*BR133+(1-EXP(-LN(2)/2))/(LN(2)/2)*BL134*BO134*VLOOKUP('Données projet'!$B$11,Paramètres!$A$1:$I$89,3,0)*0.475*44/12</f>
        <v>1.477157516095092E-6</v>
      </c>
      <c r="BS134" s="22">
        <f t="shared" si="117"/>
        <v>54.745406775995448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-2.8421709430404007E-13</v>
      </c>
      <c r="BZ134" s="13">
        <f>BY134*VLOOKUP('Données projet'!$B$12,Paramètres!$A$1:$I$89,3,0)*VLOOKUP('Données projet'!$B$12,Paramètres!$A$1:$I$89,5,0)</f>
        <v>-2.3055690689943731E-13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436.50252985867149</v>
      </c>
      <c r="CE134" s="59">
        <f t="shared" si="148"/>
        <v>419.00806288456329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44.900578087658268</v>
      </c>
      <c r="CL134" s="21">
        <f>EXP(-LN(2)/25)*CL133+(1-EXP(-LN(2)/25))/(LN(2)/25)*Calculateur!CG134*Calculateur!CI134*VLOOKUP('Données projet'!$B$12,Paramètres!$A$1:$I$89,3,0)*0.475*44/12</f>
        <v>1.0149231307219642</v>
      </c>
      <c r="CM134" s="21">
        <f>EXP(-LN(2)/2)*CM133+(1-EXP(-LN(2)/2))/(LN(2)/2)*CG134*CJ134*VLOOKUP('Données projet'!$B$12,Paramètres!$A$1:$I$89,3,0)*0.475*44/12</f>
        <v>1.2389063038216927E-6</v>
      </c>
      <c r="CN134" s="22">
        <f t="shared" si="120"/>
        <v>45.915502457286536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-2.8421709430404007E-13</v>
      </c>
      <c r="CU134" s="17">
        <f>CT134*VLOOKUP('Données projet'!$B$13,Paramètres!$A$1:$I$89,3,0)*VLOOKUP('Données projet'!$B$13,Paramètres!$A$1:$I$89,5,0)</f>
        <v>-2.7489477361086758E-13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508.3185483454435</v>
      </c>
      <c r="CZ134" s="59">
        <f t="shared" si="150"/>
        <v>487.08233034004945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53.535304642977124</v>
      </c>
      <c r="DG134" s="21">
        <f>EXP(-LN(2)/25)*DG133+(1-EXP(-LN(2)/25))/(LN(2)/25)*Calculateur!DB134*Calculateur!DD134*VLOOKUP('Données projet'!$B$13,Paramètres!$A$1:$I$89,3,0)*0.475*44/12</f>
        <v>1.2101006558608034</v>
      </c>
      <c r="DH134" s="21">
        <f>EXP(-LN(2)/2)*DH133+(1-EXP(-LN(2)/2))/(LN(2)/2)*DB134*DE134*VLOOKUP('Données projet'!$B$13,Paramètres!$A$1:$I$89,3,0)*0.475*44/12</f>
        <v>1.477157516095092E-6</v>
      </c>
      <c r="DI134" s="22">
        <f t="shared" si="123"/>
        <v>54.745406775995448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-2.8421709430404007E-13</v>
      </c>
      <c r="DP134" s="17">
        <f>DO134*VLOOKUP('Données projet'!$B$14,Paramètres!$A$1:$I$89,3,0)*VLOOKUP('Données projet'!$B$14,Paramètres!$A$1:$I$89,5,0)</f>
        <v>-2.7489477361086758E-13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508.3185483454435</v>
      </c>
      <c r="DU134" s="59">
        <f t="shared" si="152"/>
        <v>487.08233034004945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53.535304642977124</v>
      </c>
      <c r="EB134" s="21">
        <f>EXP(-LN(2)/25)*EB133+(1-EXP(-LN(2)/25))/(LN(2)/25)*Calculateur!DW134*Calculateur!DY134*VLOOKUP('Données projet'!$B$14,Paramètres!$A$1:$I$89,3,0)*0.475*44/12</f>
        <v>1.2101006558608034</v>
      </c>
      <c r="EC134" s="21">
        <f>EXP(-LN(2)/2)*EC133+(1-EXP(-LN(2)/2))/(LN(2)/2)*DW134*DZ134*VLOOKUP('Données projet'!$B$14,Paramètres!$A$1:$I$89,3,0)*0.475*44/12</f>
        <v>1.477157516095092E-6</v>
      </c>
      <c r="ED134" s="22">
        <f t="shared" si="126"/>
        <v>54.745406775995448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>
        <f>VLOOKUP(A135,'Données projet'!$A$35:$I$55,2,0)</f>
        <v>419</v>
      </c>
      <c r="L135" s="12">
        <f>VLOOKUP(A135,'Données projet'!$A$35:$I$55,9,0)</f>
        <v>7</v>
      </c>
      <c r="M135" s="12">
        <f t="array" ref="M135">INDEX(L:L,MIN(IF(ISNUMBER(L135:L331),ROW(L135:L331),"")))</f>
        <v>7</v>
      </c>
      <c r="N135" s="13">
        <f>IF('Données projet'!$A$36&gt;35,N134+M135-V134,IF(A135&lt;'Données projet'!$A$36,$K$205^A135,IF(A135='Données projet'!$A$36,'Données projet'!$B$36,N134+M135-V134)))</f>
        <v>418.99999999999966</v>
      </c>
      <c r="O135" s="13">
        <f>N135*VLOOKUP('Données projet'!$B$9,Paramètres!$A$1:$I$89,3,0)*VLOOKUP('Données projet'!$B$9,Paramètres!$A$1:$I$89,5,0)</f>
        <v>379.11119999999966</v>
      </c>
      <c r="P135" s="13">
        <f t="shared" si="141"/>
        <v>87.528653146444213</v>
      </c>
      <c r="Q135" s="20">
        <f t="shared" si="108"/>
        <v>812.7310775633897</v>
      </c>
      <c r="R135" s="59">
        <f t="shared" si="109"/>
        <v>1096.9654628370888</v>
      </c>
      <c r="S135" s="59">
        <f ca="1">AVERAGE(OFFSET($R$3,0,0,'Données projet'!$E$9+1,1))-AVERAGE(OFFSET($H$3,0,0,'Données projet'!$E$9+1,1))</f>
        <v>569.49435820174267</v>
      </c>
      <c r="T135" s="59">
        <f t="shared" si="142"/>
        <v>295.37730858134739</v>
      </c>
      <c r="U135" s="15">
        <f>IF(ISNA(VLOOKUP(A135,'Données projet'!$A$35:$I$55,3,0)),0,VLOOKUP(A135,'Données projet'!$A$35:$I$55,3,0))</f>
        <v>12</v>
      </c>
      <c r="V135" s="15">
        <f>IF(ISNA(VLOOKUP(A135,'Données projet'!$A$35:$I$55,4,0)),0,VLOOKUP(A135,'Données projet'!$A$35:$I$55,4,0))</f>
        <v>42</v>
      </c>
      <c r="W135" s="16">
        <f>IF(ISNA(VLOOKUP(A135,'Données projet'!$A$35:$I$55,5,0)),0%,VLOOKUP(A135,'Données projet'!$A$35:$I$55,5,0)*VLOOKUP('Données projet'!$B$9,Paramètres!$A$1:$I$89,7,0))</f>
        <v>0.30099999999999999</v>
      </c>
      <c r="X135" s="16">
        <f>IF(ISNA(VLOOKUP(A135,'Données projet'!$A$35:$I$55,6,0)),0%,VLOOKUP(A135,'Données projet'!$A$35:$I$55,6,0)*VLOOKUP('Données projet'!$B$9,Paramètres!$A$1:$I$89,7,0))</f>
        <v>4.3000000000000003E-2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46.437258989857895</v>
      </c>
      <c r="AA135" s="21">
        <f>EXP(-LN(2)/25)*AA134+(1-EXP(-LN(2)/25))/(LN(2)/25)*Calculateur!V135*Calculateur!X135*VLOOKUP('Données projet'!$B$9,Paramètres!$A$1:$I$89,3,0)*0.475*44/12</f>
        <v>17.331326469096485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63.768585458954377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>
        <f>VLOOKUP(A135,'Données projet'!$A$61:$I$81,2,0)</f>
        <v>419</v>
      </c>
      <c r="AG135" s="12">
        <f>VLOOKUP(A135,'Données projet'!$A$61:$I$81,9,0)</f>
        <v>7</v>
      </c>
      <c r="AH135" s="12">
        <f t="array" ref="AH135">INDEX(AG:AG,MIN(IF(ISNUMBER(AG135:AG331),ROW(AG135:AG331),"")))</f>
        <v>7</v>
      </c>
      <c r="AI135" s="13">
        <f>IF('Données projet'!$A$62&gt;35,AI134+AH135-AQ134,IF(A135&lt;'Données projet'!$A$62,$AF$205^A135,IF(A135='Données projet'!$A$62,'Données projet'!$B$62,AI134+AH135-AQ134)))</f>
        <v>418.99999999999966</v>
      </c>
      <c r="AJ135" s="13">
        <f>AI135*VLOOKUP('Données projet'!$B$10,Paramètres!$A$1:$I$89,3,0)*VLOOKUP('Données projet'!$B$10,Paramètres!$A$1:$I$89,5,0)</f>
        <v>424.8659999999997</v>
      </c>
      <c r="AK135" s="13">
        <f t="shared" si="143"/>
        <v>96.800034612587595</v>
      </c>
      <c r="AL135" s="20">
        <f t="shared" si="112"/>
        <v>908.56834361692279</v>
      </c>
      <c r="AM135" s="59">
        <f t="shared" si="113"/>
        <v>1192.8027288906219</v>
      </c>
      <c r="AN135" s="59">
        <f ca="1">AVERAGE(OFFSET($AM$3,0,0,'Données projet'!$E$10+1,1))-AVERAGE(OFFSET($H$3,0,0,'Données projet'!$E$10+1,1))</f>
        <v>627.83896530587367</v>
      </c>
      <c r="AO135" s="59">
        <f t="shared" si="144"/>
        <v>323.54927030899489</v>
      </c>
      <c r="AP135" s="15">
        <f>IF(ISNA(VLOOKUP(A135,'Données projet'!$A$61:$I$81,3,0)),0,VLOOKUP(A135,'Données projet'!$A$61:$I$81,3,0))</f>
        <v>12</v>
      </c>
      <c r="AQ135" s="15">
        <f>IF(ISNA(VLOOKUP(A135,'Données projet'!$A$61:$I$81,4,0)),0,VLOOKUP(A135,'Données projet'!$A$61:$I$81,4,0))</f>
        <v>42</v>
      </c>
      <c r="AR135" s="16">
        <f>IF(ISNA(VLOOKUP(A135,'Données projet'!$A$61:$I$81,5,0)),0%,VLOOKUP(A135,'Données projet'!$A$61:$I$81,5,0)*VLOOKUP('Données projet'!$B$10,Paramètres!$A$1:$I$89,7,0))</f>
        <v>0.30099999999999999</v>
      </c>
      <c r="AS135" s="16">
        <f>IF(ISNA(VLOOKUP(A135,'Données projet'!$A$61:$I$81,6,0)),0%,VLOOKUP(A135,'Données projet'!$A$61:$I$81,6,0)*VLOOKUP('Données projet'!$B$10,Paramètres!$A$1:$I$89,7,0))</f>
        <v>4.3000000000000003E-2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52.041755764495932</v>
      </c>
      <c r="AV135" s="21">
        <f>EXP(-LN(2)/25)*AV134+(1-EXP(-LN(2)/25))/(LN(2)/25)*Calculateur!AQ135*Calculateur!AS135*VLOOKUP('Données projet'!$B$10,Paramètres!$A$1:$I$89,3,0)*0.475*44/12</f>
        <v>19.423038284332268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71.464794048828196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-2.8421709430404007E-13</v>
      </c>
      <c r="BE135" s="13">
        <f>BD135*VLOOKUP('Données projet'!$B$11,Paramètres!$A$1:$I$89,3,0)*VLOOKUP('Données projet'!$B$11,Paramètres!$A$1:$I$89,5,0)</f>
        <v>-2.7489477361086758E-13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508.3185483454435</v>
      </c>
      <c r="BJ135" s="59">
        <f t="shared" si="146"/>
        <v>487.08233034004945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52.485509972239925</v>
      </c>
      <c r="BQ135" s="21">
        <f>EXP(-LN(2)/25)*BQ134+(1-EXP(-LN(2)/25))/(LN(2)/25)*Calculateur!BL135*Calculateur!BN135*VLOOKUP('Données projet'!$B$11,Paramètres!$A$1:$I$89,3,0)*0.475*44/12</f>
        <v>1.1770103897898621</v>
      </c>
      <c r="BR135" s="21">
        <f>EXP(-LN(2)/2)*BR134+(1-EXP(-LN(2)/2))/(LN(2)/2)*BL135*BO135*VLOOKUP('Données projet'!$B$11,Paramètres!$A$1:$I$89,3,0)*0.475*44/12</f>
        <v>1.0445080965115163E-6</v>
      </c>
      <c r="BS135" s="22">
        <f t="shared" si="117"/>
        <v>53.662521406537884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-2.8421709430404007E-13</v>
      </c>
      <c r="BZ135" s="13">
        <f>BY135*VLOOKUP('Données projet'!$B$12,Paramètres!$A$1:$I$89,3,0)*VLOOKUP('Données projet'!$B$12,Paramètres!$A$1:$I$89,5,0)</f>
        <v>-2.3055690689943731E-13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436.50252985867149</v>
      </c>
      <c r="CE135" s="59">
        <f t="shared" si="148"/>
        <v>419.00806288456329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44.020105138007715</v>
      </c>
      <c r="CL135" s="21">
        <f>EXP(-LN(2)/25)*CL134+(1-EXP(-LN(2)/25))/(LN(2)/25)*Calculateur!CG135*Calculateur!CI135*VLOOKUP('Données projet'!$B$12,Paramètres!$A$1:$I$89,3,0)*0.475*44/12</f>
        <v>0.98717000433988422</v>
      </c>
      <c r="CM135" s="21">
        <f>EXP(-LN(2)/2)*CM134+(1-EXP(-LN(2)/2))/(LN(2)/2)*CG135*CJ135*VLOOKUP('Données projet'!$B$12,Paramètres!$A$1:$I$89,3,0)*0.475*44/12</f>
        <v>8.7603904868708003E-7</v>
      </c>
      <c r="CN135" s="22">
        <f t="shared" si="120"/>
        <v>45.007276018386648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-2.8421709430404007E-13</v>
      </c>
      <c r="CU135" s="17">
        <f>CT135*VLOOKUP('Données projet'!$B$13,Paramètres!$A$1:$I$89,3,0)*VLOOKUP('Données projet'!$B$13,Paramètres!$A$1:$I$89,5,0)</f>
        <v>-2.7489477361086758E-13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508.3185483454435</v>
      </c>
      <c r="CZ135" s="59">
        <f t="shared" si="150"/>
        <v>487.08233034004945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52.485509972239925</v>
      </c>
      <c r="DG135" s="21">
        <f>EXP(-LN(2)/25)*DG134+(1-EXP(-LN(2)/25))/(LN(2)/25)*Calculateur!DB135*Calculateur!DD135*VLOOKUP('Données projet'!$B$13,Paramètres!$A$1:$I$89,3,0)*0.475*44/12</f>
        <v>1.1770103897898621</v>
      </c>
      <c r="DH135" s="21">
        <f>EXP(-LN(2)/2)*DH134+(1-EXP(-LN(2)/2))/(LN(2)/2)*DB135*DE135*VLOOKUP('Données projet'!$B$13,Paramètres!$A$1:$I$89,3,0)*0.475*44/12</f>
        <v>1.0445080965115163E-6</v>
      </c>
      <c r="DI135" s="22">
        <f t="shared" si="123"/>
        <v>53.662521406537884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-2.8421709430404007E-13</v>
      </c>
      <c r="DP135" s="17">
        <f>DO135*VLOOKUP('Données projet'!$B$14,Paramètres!$A$1:$I$89,3,0)*VLOOKUP('Données projet'!$B$14,Paramètres!$A$1:$I$89,5,0)</f>
        <v>-2.7489477361086758E-13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508.3185483454435</v>
      </c>
      <c r="DU135" s="59">
        <f t="shared" si="152"/>
        <v>487.08233034004945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52.485509972239925</v>
      </c>
      <c r="EB135" s="21">
        <f>EXP(-LN(2)/25)*EB134+(1-EXP(-LN(2)/25))/(LN(2)/25)*Calculateur!DW135*Calculateur!DY135*VLOOKUP('Données projet'!$B$14,Paramètres!$A$1:$I$89,3,0)*0.475*44/12</f>
        <v>1.1770103897898621</v>
      </c>
      <c r="EC135" s="21">
        <f>EXP(-LN(2)/2)*EC134+(1-EXP(-LN(2)/2))/(LN(2)/2)*DW135*DZ135*VLOOKUP('Données projet'!$B$14,Paramètres!$A$1:$I$89,3,0)*0.475*44/12</f>
        <v>1.0445080965115163E-6</v>
      </c>
      <c r="ED135" s="22">
        <f t="shared" si="126"/>
        <v>53.662521406537884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7.1111111111111107</v>
      </c>
      <c r="N136" s="13">
        <f>IF('Données projet'!$A$36&gt;35,N135+M136-V135,IF(A136&lt;'Données projet'!$A$36,$K$205^A136,IF(A136='Données projet'!$A$36,'Données projet'!$B$36,N135+M136-V135)))</f>
        <v>384.11111111111074</v>
      </c>
      <c r="O136" s="13">
        <f>N136*VLOOKUP('Données projet'!$B$9,Paramètres!$A$1:$I$89,3,0)*VLOOKUP('Données projet'!$B$9,Paramètres!$A$1:$I$89,5,0)</f>
        <v>347.54373333333297</v>
      </c>
      <c r="P136" s="13">
        <f t="shared" si="141"/>
        <v>81.05653330221287</v>
      </c>
      <c r="Q136" s="20">
        <f t="shared" si="108"/>
        <v>746.47879772357555</v>
      </c>
      <c r="R136" s="59">
        <f t="shared" si="109"/>
        <v>1030.871029403909</v>
      </c>
      <c r="S136" s="59">
        <f ca="1">AVERAGE(OFFSET($R$3,0,0,'Données projet'!$E$9+1,1))-AVERAGE(OFFSET($H$3,0,0,'Données projet'!$E$9+1,1))</f>
        <v>569.49435820174267</v>
      </c>
      <c r="T136" s="59">
        <f t="shared" si="142"/>
        <v>295.37730858134739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45.526652664998011</v>
      </c>
      <c r="AA136" s="21">
        <f>EXP(-LN(2)/25)*AA135+(1-EXP(-LN(2)/25))/(LN(2)/25)*Calculateur!V136*Calculateur!X136*VLOOKUP('Données projet'!$B$9,Paramètres!$A$1:$I$89,3,0)*0.475*44/12</f>
        <v>16.857400435384193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62.384053100382204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7.1111111111111107</v>
      </c>
      <c r="AI136" s="13">
        <f>IF('Données projet'!$A$62&gt;35,AI135+AH136-AQ135,IF(A136&lt;'Données projet'!$A$62,$AF$205^A136,IF(A136='Données projet'!$A$62,'Données projet'!$B$62,AI135+AH136-AQ135)))</f>
        <v>384.11111111111074</v>
      </c>
      <c r="AJ136" s="13">
        <f>AI136*VLOOKUP('Données projet'!$B$10,Paramètres!$A$1:$I$89,3,0)*VLOOKUP('Données projet'!$B$10,Paramètres!$A$1:$I$89,5,0)</f>
        <v>389.48866666666629</v>
      </c>
      <c r="AK136" s="13">
        <f t="shared" si="143"/>
        <v>89.642362211411609</v>
      </c>
      <c r="AL136" s="20">
        <f t="shared" si="112"/>
        <v>834.4865419626525</v>
      </c>
      <c r="AM136" s="59">
        <f t="shared" si="113"/>
        <v>1118.8787736429858</v>
      </c>
      <c r="AN136" s="59">
        <f ca="1">AVERAGE(OFFSET($AM$3,0,0,'Données projet'!$E$10+1,1))-AVERAGE(OFFSET($H$3,0,0,'Données projet'!$E$10+1,1))</f>
        <v>627.83896530587367</v>
      </c>
      <c r="AO136" s="59">
        <f t="shared" si="144"/>
        <v>323.54927030899489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51.021248676290888</v>
      </c>
      <c r="AV136" s="21">
        <f>EXP(-LN(2)/25)*AV135+(1-EXP(-LN(2)/25))/(LN(2)/25)*Calculateur!AQ136*Calculateur!AS136*VLOOKUP('Données projet'!$B$10,Paramètres!$A$1:$I$89,3,0)*0.475*44/12</f>
        <v>18.891914281034012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69.9131629573249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-2.8421709430404007E-13</v>
      </c>
      <c r="BE136" s="13">
        <f>BD136*VLOOKUP('Données projet'!$B$11,Paramètres!$A$1:$I$89,3,0)*VLOOKUP('Données projet'!$B$11,Paramètres!$A$1:$I$89,5,0)</f>
        <v>-2.7489477361086758E-13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508.3185483454435</v>
      </c>
      <c r="BJ136" s="59">
        <f t="shared" si="146"/>
        <v>487.08233034004945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51.45630113468436</v>
      </c>
      <c r="BQ136" s="21">
        <f>EXP(-LN(2)/25)*BQ135+(1-EXP(-LN(2)/25))/(LN(2)/25)*Calculateur!BL136*Calculateur!BN136*VLOOKUP('Données projet'!$B$11,Paramètres!$A$1:$I$89,3,0)*0.475*44/12</f>
        <v>1.144824978784772</v>
      </c>
      <c r="BR136" s="21">
        <f>EXP(-LN(2)/2)*BR135+(1-EXP(-LN(2)/2))/(LN(2)/2)*BL136*BO136*VLOOKUP('Données projet'!$B$11,Paramètres!$A$1:$I$89,3,0)*0.475*44/12</f>
        <v>7.3857875804754601E-7</v>
      </c>
      <c r="BS136" s="22">
        <f t="shared" si="117"/>
        <v>52.601126852047884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-2.8421709430404007E-13</v>
      </c>
      <c r="BZ136" s="13">
        <f>BY136*VLOOKUP('Données projet'!$B$12,Paramètres!$A$1:$I$89,3,0)*VLOOKUP('Données projet'!$B$12,Paramètres!$A$1:$I$89,5,0)</f>
        <v>-2.3055690689943731E-13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436.50252985867149</v>
      </c>
      <c r="CE136" s="59">
        <f t="shared" si="148"/>
        <v>419.00806288456329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43.15689772586434</v>
      </c>
      <c r="CL136" s="21">
        <f>EXP(-LN(2)/25)*CL135+(1-EXP(-LN(2)/25))/(LN(2)/25)*Calculateur!CG136*Calculateur!CI136*VLOOKUP('Données projet'!$B$12,Paramètres!$A$1:$I$89,3,0)*0.475*44/12</f>
        <v>0.96017578865819575</v>
      </c>
      <c r="CM136" s="21">
        <f>EXP(-LN(2)/2)*CM135+(1-EXP(-LN(2)/2))/(LN(2)/2)*CG136*CJ136*VLOOKUP('Données projet'!$B$12,Paramètres!$A$1:$I$89,3,0)*0.475*44/12</f>
        <v>6.1945315191084634E-7</v>
      </c>
      <c r="CN136" s="22">
        <f t="shared" si="120"/>
        <v>44.117074133975692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-2.8421709430404007E-13</v>
      </c>
      <c r="CU136" s="17">
        <f>CT136*VLOOKUP('Données projet'!$B$13,Paramètres!$A$1:$I$89,3,0)*VLOOKUP('Données projet'!$B$13,Paramètres!$A$1:$I$89,5,0)</f>
        <v>-2.7489477361086758E-13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508.3185483454435</v>
      </c>
      <c r="CZ136" s="59">
        <f t="shared" si="150"/>
        <v>487.08233034004945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51.45630113468436</v>
      </c>
      <c r="DG136" s="21">
        <f>EXP(-LN(2)/25)*DG135+(1-EXP(-LN(2)/25))/(LN(2)/25)*Calculateur!DB136*Calculateur!DD136*VLOOKUP('Données projet'!$B$13,Paramètres!$A$1:$I$89,3,0)*0.475*44/12</f>
        <v>1.144824978784772</v>
      </c>
      <c r="DH136" s="21">
        <f>EXP(-LN(2)/2)*DH135+(1-EXP(-LN(2)/2))/(LN(2)/2)*DB136*DE136*VLOOKUP('Données projet'!$B$13,Paramètres!$A$1:$I$89,3,0)*0.475*44/12</f>
        <v>7.3857875804754601E-7</v>
      </c>
      <c r="DI136" s="22">
        <f t="shared" si="123"/>
        <v>52.601126852047884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-2.8421709430404007E-13</v>
      </c>
      <c r="DP136" s="17">
        <f>DO136*VLOOKUP('Données projet'!$B$14,Paramètres!$A$1:$I$89,3,0)*VLOOKUP('Données projet'!$B$14,Paramètres!$A$1:$I$89,5,0)</f>
        <v>-2.7489477361086758E-13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508.3185483454435</v>
      </c>
      <c r="DU136" s="59">
        <f t="shared" si="152"/>
        <v>487.08233034004945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51.45630113468436</v>
      </c>
      <c r="EB136" s="21">
        <f>EXP(-LN(2)/25)*EB135+(1-EXP(-LN(2)/25))/(LN(2)/25)*Calculateur!DW136*Calculateur!DY136*VLOOKUP('Données projet'!$B$14,Paramètres!$A$1:$I$89,3,0)*0.475*44/12</f>
        <v>1.144824978784772</v>
      </c>
      <c r="EC136" s="21">
        <f>EXP(-LN(2)/2)*EC135+(1-EXP(-LN(2)/2))/(LN(2)/2)*DW136*DZ136*VLOOKUP('Données projet'!$B$14,Paramètres!$A$1:$I$89,3,0)*0.475*44/12</f>
        <v>7.3857875804754601E-7</v>
      </c>
      <c r="ED136" s="22">
        <f t="shared" si="126"/>
        <v>52.601126852047884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7.1111111111111107</v>
      </c>
      <c r="N137" s="13">
        <f>IF('Données projet'!$A$36&gt;35,N136+M137-V136,IF(A137&lt;'Données projet'!$A$36,$K$205^A137,IF(A137='Données projet'!$A$36,'Données projet'!$B$36,N136+M137-V136)))</f>
        <v>391.22222222222183</v>
      </c>
      <c r="O137" s="13">
        <f>N137*VLOOKUP('Données projet'!$B$9,Paramètres!$A$1:$I$89,3,0)*VLOOKUP('Données projet'!$B$9,Paramètres!$A$1:$I$89,5,0)</f>
        <v>353.97786666666627</v>
      </c>
      <c r="P137" s="13">
        <f t="shared" si="141"/>
        <v>82.381055781393044</v>
      </c>
      <c r="Q137" s="20">
        <f t="shared" si="108"/>
        <v>759.99178993037003</v>
      </c>
      <c r="R137" s="59">
        <f t="shared" si="109"/>
        <v>1044.5391297350743</v>
      </c>
      <c r="S137" s="59">
        <f ca="1">AVERAGE(OFFSET($R$3,0,0,'Données projet'!$E$9+1,1))-AVERAGE(OFFSET($H$3,0,0,'Données projet'!$E$9+1,1))</f>
        <v>569.49435820174267</v>
      </c>
      <c r="T137" s="59">
        <f t="shared" si="142"/>
        <v>295.37730858134739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44.633902774753615</v>
      </c>
      <c r="AA137" s="21">
        <f>EXP(-LN(2)/25)*AA136+(1-EXP(-LN(2)/25))/(LN(2)/25)*Calculateur!V137*Calculateur!X137*VLOOKUP('Données projet'!$B$9,Paramètres!$A$1:$I$89,3,0)*0.475*44/12</f>
        <v>16.396433933986451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61.030336708740066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7.1111111111111107</v>
      </c>
      <c r="AI137" s="13">
        <f>IF('Données projet'!$A$62&gt;35,AI136+AH137-AQ136,IF(A137&lt;'Données projet'!$A$62,$AF$205^A137,IF(A137='Données projet'!$A$62,'Données projet'!$B$62,AI136+AH137-AQ136)))</f>
        <v>391.22222222222183</v>
      </c>
      <c r="AJ137" s="13">
        <f>AI137*VLOOKUP('Données projet'!$B$10,Paramètres!$A$1:$I$89,3,0)*VLOOKUP('Données projet'!$B$10,Paramètres!$A$1:$I$89,5,0)</f>
        <v>396.69933333333296</v>
      </c>
      <c r="AK137" s="13">
        <f t="shared" si="143"/>
        <v>91.107183355354991</v>
      </c>
      <c r="AL137" s="20">
        <f t="shared" si="112"/>
        <v>849.59634989946483</v>
      </c>
      <c r="AM137" s="59">
        <f t="shared" si="113"/>
        <v>1134.143689704169</v>
      </c>
      <c r="AN137" s="59">
        <f ca="1">AVERAGE(OFFSET($AM$3,0,0,'Données projet'!$E$10+1,1))-AVERAGE(OFFSET($H$3,0,0,'Données projet'!$E$10+1,1))</f>
        <v>627.83896530587367</v>
      </c>
      <c r="AO137" s="59">
        <f t="shared" si="144"/>
        <v>323.54927030899489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50.020753109637681</v>
      </c>
      <c r="AV137" s="21">
        <f>EXP(-LN(2)/25)*AV136+(1-EXP(-LN(2)/25))/(LN(2)/25)*Calculateur!AQ137*Calculateur!AS137*VLOOKUP('Données projet'!$B$10,Paramètres!$A$1:$I$89,3,0)*0.475*44/12</f>
        <v>18.375313891536543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68.396067001174231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-2.8421709430404007E-13</v>
      </c>
      <c r="BE137" s="13">
        <f>BD137*VLOOKUP('Données projet'!$B$11,Paramètres!$A$1:$I$89,3,0)*VLOOKUP('Données projet'!$B$11,Paramètres!$A$1:$I$89,5,0)</f>
        <v>-2.7489477361086758E-13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508.3185483454435</v>
      </c>
      <c r="BJ137" s="59">
        <f t="shared" si="146"/>
        <v>487.08233034004945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50.447274454677853</v>
      </c>
      <c r="BQ137" s="21">
        <f>EXP(-LN(2)/25)*BQ136+(1-EXP(-LN(2)/25))/(LN(2)/25)*Calculateur!BL137*Calculateur!BN137*VLOOKUP('Données projet'!$B$11,Paramètres!$A$1:$I$89,3,0)*0.475*44/12</f>
        <v>1.1135196795361733</v>
      </c>
      <c r="BR137" s="21">
        <f>EXP(-LN(2)/2)*BR136+(1-EXP(-LN(2)/2))/(LN(2)/2)*BL137*BO137*VLOOKUP('Données projet'!$B$11,Paramètres!$A$1:$I$89,3,0)*0.475*44/12</f>
        <v>5.2225404825575813E-7</v>
      </c>
      <c r="BS137" s="22">
        <f t="shared" si="117"/>
        <v>51.560794656468076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-2.8421709430404007E-13</v>
      </c>
      <c r="BZ137" s="13">
        <f>BY137*VLOOKUP('Données projet'!$B$12,Paramètres!$A$1:$I$89,3,0)*VLOOKUP('Données projet'!$B$12,Paramètres!$A$1:$I$89,5,0)</f>
        <v>-2.3055690689943731E-13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436.50252985867149</v>
      </c>
      <c r="CE137" s="59">
        <f t="shared" si="148"/>
        <v>419.00806288456329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42.310617284568565</v>
      </c>
      <c r="CL137" s="21">
        <f>EXP(-LN(2)/25)*CL136+(1-EXP(-LN(2)/25))/(LN(2)/25)*Calculateur!CG137*Calculateur!CI137*VLOOKUP('Données projet'!$B$12,Paramètres!$A$1:$I$89,3,0)*0.475*44/12</f>
        <v>0.93391973122388716</v>
      </c>
      <c r="CM137" s="21">
        <f>EXP(-LN(2)/2)*CM136+(1-EXP(-LN(2)/2))/(LN(2)/2)*CG137*CJ137*VLOOKUP('Données projet'!$B$12,Paramètres!$A$1:$I$89,3,0)*0.475*44/12</f>
        <v>4.3801952434354001E-7</v>
      </c>
      <c r="CN137" s="22">
        <f t="shared" si="120"/>
        <v>43.244537453811979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-2.8421709430404007E-13</v>
      </c>
      <c r="CU137" s="17">
        <f>CT137*VLOOKUP('Données projet'!$B$13,Paramètres!$A$1:$I$89,3,0)*VLOOKUP('Données projet'!$B$13,Paramètres!$A$1:$I$89,5,0)</f>
        <v>-2.7489477361086758E-13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508.3185483454435</v>
      </c>
      <c r="CZ137" s="59">
        <f t="shared" si="150"/>
        <v>487.08233034004945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50.447274454677853</v>
      </c>
      <c r="DG137" s="21">
        <f>EXP(-LN(2)/25)*DG136+(1-EXP(-LN(2)/25))/(LN(2)/25)*Calculateur!DB137*Calculateur!DD137*VLOOKUP('Données projet'!$B$13,Paramètres!$A$1:$I$89,3,0)*0.475*44/12</f>
        <v>1.1135196795361733</v>
      </c>
      <c r="DH137" s="21">
        <f>EXP(-LN(2)/2)*DH136+(1-EXP(-LN(2)/2))/(LN(2)/2)*DB137*DE137*VLOOKUP('Données projet'!$B$13,Paramètres!$A$1:$I$89,3,0)*0.475*44/12</f>
        <v>5.2225404825575813E-7</v>
      </c>
      <c r="DI137" s="22">
        <f t="shared" si="123"/>
        <v>51.560794656468076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-2.8421709430404007E-13</v>
      </c>
      <c r="DP137" s="17">
        <f>DO137*VLOOKUP('Données projet'!$B$14,Paramètres!$A$1:$I$89,3,0)*VLOOKUP('Données projet'!$B$14,Paramètres!$A$1:$I$89,5,0)</f>
        <v>-2.7489477361086758E-13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508.3185483454435</v>
      </c>
      <c r="DU137" s="59">
        <f t="shared" si="152"/>
        <v>487.08233034004945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50.447274454677853</v>
      </c>
      <c r="EB137" s="21">
        <f>EXP(-LN(2)/25)*EB136+(1-EXP(-LN(2)/25))/(LN(2)/25)*Calculateur!DW137*Calculateur!DY137*VLOOKUP('Données projet'!$B$14,Paramètres!$A$1:$I$89,3,0)*0.475*44/12</f>
        <v>1.1135196795361733</v>
      </c>
      <c r="EC137" s="21">
        <f>EXP(-LN(2)/2)*EC136+(1-EXP(-LN(2)/2))/(LN(2)/2)*DW137*DZ137*VLOOKUP('Données projet'!$B$14,Paramètres!$A$1:$I$89,3,0)*0.475*44/12</f>
        <v>5.2225404825575813E-7</v>
      </c>
      <c r="ED137" s="22">
        <f t="shared" si="126"/>
        <v>51.560794656468076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7.1111111111111107</v>
      </c>
      <c r="N138" s="13">
        <f>IF('Données projet'!$A$36&gt;35,N137+M138-V137,IF(A138&lt;'Données projet'!$A$36,$K$205^A138,IF(A138='Données projet'!$A$36,'Données projet'!$B$36,N137+M138-V137)))</f>
        <v>398.33333333333292</v>
      </c>
      <c r="O138" s="13">
        <f>N138*VLOOKUP('Données projet'!$B$9,Paramètres!$A$1:$I$89,3,0)*VLOOKUP('Données projet'!$B$9,Paramètres!$A$1:$I$89,5,0)</f>
        <v>360.41199999999964</v>
      </c>
      <c r="P138" s="13">
        <f t="shared" si="141"/>
        <v>83.70277868501104</v>
      </c>
      <c r="Q138" s="20">
        <f t="shared" si="108"/>
        <v>773.49990620972676</v>
      </c>
      <c r="R138" s="59">
        <f t="shared" si="109"/>
        <v>1058.1996633596139</v>
      </c>
      <c r="S138" s="59">
        <f ca="1">AVERAGE(OFFSET($R$3,0,0,'Données projet'!$E$9+1,1))-AVERAGE(OFFSET($H$3,0,0,'Données projet'!$E$9+1,1))</f>
        <v>569.49435820174267</v>
      </c>
      <c r="T138" s="59">
        <f t="shared" si="142"/>
        <v>295.37730858134739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43.758659165333242</v>
      </c>
      <c r="AA138" s="21">
        <f>EXP(-LN(2)/25)*AA137+(1-EXP(-LN(2)/25))/(LN(2)/25)*Calculateur!V138*Calculateur!X138*VLOOKUP('Données projet'!$B$9,Paramètres!$A$1:$I$89,3,0)*0.475*44/12</f>
        <v>15.948072585810605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59.706731751143849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7.1111111111111107</v>
      </c>
      <c r="AI138" s="13">
        <f>IF('Données projet'!$A$62&gt;35,AI137+AH138-AQ137,IF(A138&lt;'Données projet'!$A$62,$AF$205^A138,IF(A138='Données projet'!$A$62,'Données projet'!$B$62,AI137+AH138-AQ137)))</f>
        <v>398.33333333333292</v>
      </c>
      <c r="AJ138" s="13">
        <f>AI138*VLOOKUP('Données projet'!$B$10,Paramètres!$A$1:$I$89,3,0)*VLOOKUP('Données projet'!$B$10,Paramètres!$A$1:$I$89,5,0)</f>
        <v>403.90999999999963</v>
      </c>
      <c r="AK138" s="13">
        <f t="shared" si="143"/>
        <v>92.568908381609006</v>
      </c>
      <c r="AL138" s="20">
        <f t="shared" si="112"/>
        <v>864.70076543130153</v>
      </c>
      <c r="AM138" s="59">
        <f t="shared" si="113"/>
        <v>1149.4005225811886</v>
      </c>
      <c r="AN138" s="59">
        <f ca="1">AVERAGE(OFFSET($AM$3,0,0,'Données projet'!$E$10+1,1))-AVERAGE(OFFSET($H$3,0,0,'Données projet'!$E$10+1,1))</f>
        <v>627.83896530587367</v>
      </c>
      <c r="AO138" s="59">
        <f t="shared" si="144"/>
        <v>323.54927030899489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49.039876650804509</v>
      </c>
      <c r="AV138" s="21">
        <f>EXP(-LN(2)/25)*AV137+(1-EXP(-LN(2)/25))/(LN(2)/25)*Calculateur!AQ138*Calculateur!AS138*VLOOKUP('Données projet'!$B$10,Paramètres!$A$1:$I$89,3,0)*0.475*44/12</f>
        <v>17.872839966856716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66.912716617661232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-2.8421709430404007E-13</v>
      </c>
      <c r="BE138" s="13">
        <f>BD138*VLOOKUP('Données projet'!$B$11,Paramètres!$A$1:$I$89,3,0)*VLOOKUP('Données projet'!$B$11,Paramètres!$A$1:$I$89,5,0)</f>
        <v>-2.7489477361086758E-13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508.3185483454435</v>
      </c>
      <c r="BJ138" s="59">
        <f t="shared" si="146"/>
        <v>487.08233034004945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49.458034172420774</v>
      </c>
      <c r="BQ138" s="21">
        <f>EXP(-LN(2)/25)*BQ137+(1-EXP(-LN(2)/25))/(LN(2)/25)*Calculateur!BL138*Calculateur!BN138*VLOOKUP('Données projet'!$B$11,Paramètres!$A$1:$I$89,3,0)*0.475*44/12</f>
        <v>1.0830704253418015</v>
      </c>
      <c r="BR138" s="21">
        <f>EXP(-LN(2)/2)*BR137+(1-EXP(-LN(2)/2))/(LN(2)/2)*BL138*BO138*VLOOKUP('Données projet'!$B$11,Paramètres!$A$1:$I$89,3,0)*0.475*44/12</f>
        <v>3.69289379023773E-7</v>
      </c>
      <c r="BS138" s="22">
        <f t="shared" si="117"/>
        <v>50.541104967051957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-2.8421709430404007E-13</v>
      </c>
      <c r="BZ138" s="13">
        <f>BY138*VLOOKUP('Données projet'!$B$12,Paramètres!$A$1:$I$89,3,0)*VLOOKUP('Données projet'!$B$12,Paramètres!$A$1:$I$89,5,0)</f>
        <v>-2.3055690689943731E-13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436.50252985867149</v>
      </c>
      <c r="CE138" s="59">
        <f t="shared" si="148"/>
        <v>419.00806288456329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41.480931886546493</v>
      </c>
      <c r="CL138" s="21">
        <f>EXP(-LN(2)/25)*CL137+(1-EXP(-LN(2)/25))/(LN(2)/25)*Calculateur!CG138*Calculateur!CI138*VLOOKUP('Données projet'!$B$12,Paramètres!$A$1:$I$89,3,0)*0.475*44/12</f>
        <v>0.90838164706086577</v>
      </c>
      <c r="CM138" s="21">
        <f>EXP(-LN(2)/2)*CM137+(1-EXP(-LN(2)/2))/(LN(2)/2)*CG138*CJ138*VLOOKUP('Données projet'!$B$12,Paramètres!$A$1:$I$89,3,0)*0.475*44/12</f>
        <v>3.0972657595542317E-7</v>
      </c>
      <c r="CN138" s="22">
        <f t="shared" si="120"/>
        <v>42.38931384333393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-2.8421709430404007E-13</v>
      </c>
      <c r="CU138" s="17">
        <f>CT138*VLOOKUP('Données projet'!$B$13,Paramètres!$A$1:$I$89,3,0)*VLOOKUP('Données projet'!$B$13,Paramètres!$A$1:$I$89,5,0)</f>
        <v>-2.7489477361086758E-13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508.3185483454435</v>
      </c>
      <c r="CZ138" s="59">
        <f t="shared" si="150"/>
        <v>487.08233034004945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49.458034172420774</v>
      </c>
      <c r="DG138" s="21">
        <f>EXP(-LN(2)/25)*DG137+(1-EXP(-LN(2)/25))/(LN(2)/25)*Calculateur!DB138*Calculateur!DD138*VLOOKUP('Données projet'!$B$13,Paramètres!$A$1:$I$89,3,0)*0.475*44/12</f>
        <v>1.0830704253418015</v>
      </c>
      <c r="DH138" s="21">
        <f>EXP(-LN(2)/2)*DH137+(1-EXP(-LN(2)/2))/(LN(2)/2)*DB138*DE138*VLOOKUP('Données projet'!$B$13,Paramètres!$A$1:$I$89,3,0)*0.475*44/12</f>
        <v>3.69289379023773E-7</v>
      </c>
      <c r="DI138" s="22">
        <f t="shared" si="123"/>
        <v>50.541104967051957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-2.8421709430404007E-13</v>
      </c>
      <c r="DP138" s="17">
        <f>DO138*VLOOKUP('Données projet'!$B$14,Paramètres!$A$1:$I$89,3,0)*VLOOKUP('Données projet'!$B$14,Paramètres!$A$1:$I$89,5,0)</f>
        <v>-2.7489477361086758E-13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508.3185483454435</v>
      </c>
      <c r="DU138" s="59">
        <f t="shared" si="152"/>
        <v>487.08233034004945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49.458034172420774</v>
      </c>
      <c r="EB138" s="21">
        <f>EXP(-LN(2)/25)*EB137+(1-EXP(-LN(2)/25))/(LN(2)/25)*Calculateur!DW138*Calculateur!DY138*VLOOKUP('Données projet'!$B$14,Paramètres!$A$1:$I$89,3,0)*0.475*44/12</f>
        <v>1.0830704253418015</v>
      </c>
      <c r="EC138" s="21">
        <f>EXP(-LN(2)/2)*EC137+(1-EXP(-LN(2)/2))/(LN(2)/2)*DW138*DZ138*VLOOKUP('Données projet'!$B$14,Paramètres!$A$1:$I$89,3,0)*0.475*44/12</f>
        <v>3.69289379023773E-7</v>
      </c>
      <c r="ED138" s="22">
        <f t="shared" si="126"/>
        <v>50.541104967051957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7.1111111111111107</v>
      </c>
      <c r="N139" s="13">
        <f>IF('Données projet'!$A$36&gt;35,N138+M139-V138,IF(A139&lt;'Données projet'!$A$36,$K$205^A139,IF(A139='Données projet'!$A$36,'Données projet'!$B$36,N138+M139-V138)))</f>
        <v>405.444444444444</v>
      </c>
      <c r="O139" s="13">
        <f>N139*VLOOKUP('Données projet'!$B$9,Paramètres!$A$1:$I$89,3,0)*VLOOKUP('Données projet'!$B$9,Paramètres!$A$1:$I$89,5,0)</f>
        <v>366.84613333333294</v>
      </c>
      <c r="P139" s="13">
        <f t="shared" si="141"/>
        <v>85.021757757075406</v>
      </c>
      <c r="Q139" s="20">
        <f t="shared" si="108"/>
        <v>787.00324364912785</v>
      </c>
      <c r="R139" s="59">
        <f t="shared" si="109"/>
        <v>1071.8527740440131</v>
      </c>
      <c r="S139" s="59">
        <f ca="1">AVERAGE(OFFSET($R$3,0,0,'Données projet'!$E$9+1,1))-AVERAGE(OFFSET($H$3,0,0,'Données projet'!$E$9+1,1))</f>
        <v>569.49435820174267</v>
      </c>
      <c r="T139" s="59">
        <f t="shared" si="142"/>
        <v>295.37730858134739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42.900578549247712</v>
      </c>
      <c r="AA139" s="21">
        <f>EXP(-LN(2)/25)*AA138+(1-EXP(-LN(2)/25))/(LN(2)/25)*Calculateur!V139*Calculateur!X139*VLOOKUP('Données projet'!$B$9,Paramètres!$A$1:$I$89,3,0)*0.475*44/12</f>
        <v>15.511971702278927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58.412550251526639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7.1111111111111107</v>
      </c>
      <c r="AI139" s="13">
        <f>IF('Données projet'!$A$62&gt;35,AI138+AH139-AQ138,IF(A139&lt;'Données projet'!$A$62,$AF$205^A139,IF(A139='Données projet'!$A$62,'Données projet'!$B$62,AI138+AH139-AQ138)))</f>
        <v>405.444444444444</v>
      </c>
      <c r="AJ139" s="13">
        <f>AI139*VLOOKUP('Données projet'!$B$10,Paramètres!$A$1:$I$89,3,0)*VLOOKUP('Données projet'!$B$10,Paramètres!$A$1:$I$89,5,0)</f>
        <v>411.12066666666624</v>
      </c>
      <c r="AK139" s="13">
        <f t="shared" si="143"/>
        <v>94.027598938808595</v>
      </c>
      <c r="AL139" s="20">
        <f t="shared" si="112"/>
        <v>879.79989592953541</v>
      </c>
      <c r="AM139" s="59">
        <f t="shared" si="113"/>
        <v>1164.6494263244206</v>
      </c>
      <c r="AN139" s="59">
        <f ca="1">AVERAGE(OFFSET($AM$3,0,0,'Données projet'!$E$10+1,1))-AVERAGE(OFFSET($H$3,0,0,'Données projet'!$E$10+1,1))</f>
        <v>627.83896530587367</v>
      </c>
      <c r="AO139" s="59">
        <f t="shared" si="144"/>
        <v>323.54927030899489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48.078234581053486</v>
      </c>
      <c r="AV139" s="21">
        <f>EXP(-LN(2)/25)*AV138+(1-EXP(-LN(2)/25))/(LN(2)/25)*Calculateur!AQ139*Calculateur!AS139*VLOOKUP('Données projet'!$B$10,Paramètres!$A$1:$I$89,3,0)*0.475*44/12</f>
        <v>17.384106218071214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65.462340799124703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-2.8421709430404007E-13</v>
      </c>
      <c r="BE139" s="13">
        <f>BD139*VLOOKUP('Données projet'!$B$11,Paramètres!$A$1:$I$89,3,0)*VLOOKUP('Données projet'!$B$11,Paramètres!$A$1:$I$89,5,0)</f>
        <v>-2.7489477361086758E-13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508.3185483454435</v>
      </c>
      <c r="BJ139" s="59">
        <f t="shared" si="146"/>
        <v>487.08233034004945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48.488192288721763</v>
      </c>
      <c r="BQ139" s="21">
        <f>EXP(-LN(2)/25)*BQ138+(1-EXP(-LN(2)/25))/(LN(2)/25)*Calculateur!BL139*Calculateur!BN139*VLOOKUP('Données projet'!$B$11,Paramètres!$A$1:$I$89,3,0)*0.475*44/12</f>
        <v>1.0534538076046316</v>
      </c>
      <c r="BR139" s="21">
        <f>EXP(-LN(2)/2)*BR138+(1-EXP(-LN(2)/2))/(LN(2)/2)*BL139*BO139*VLOOKUP('Données projet'!$B$11,Paramètres!$A$1:$I$89,3,0)*0.475*44/12</f>
        <v>2.6112702412787907E-7</v>
      </c>
      <c r="BS139" s="22">
        <f t="shared" si="117"/>
        <v>49.541646357453423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-2.8421709430404007E-13</v>
      </c>
      <c r="BZ139" s="13">
        <f>BY139*VLOOKUP('Données projet'!$B$12,Paramètres!$A$1:$I$89,3,0)*VLOOKUP('Données projet'!$B$12,Paramètres!$A$1:$I$89,5,0)</f>
        <v>-2.3055690689943731E-13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436.50252985867149</v>
      </c>
      <c r="CE139" s="59">
        <f t="shared" si="148"/>
        <v>419.00806288456329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40.667516113121515</v>
      </c>
      <c r="CL139" s="21">
        <f>EXP(-LN(2)/25)*CL138+(1-EXP(-LN(2)/25))/(LN(2)/25)*Calculateur!CG139*Calculateur!CI139*VLOOKUP('Données projet'!$B$12,Paramètres!$A$1:$I$89,3,0)*0.475*44/12</f>
        <v>0.88354190315227166</v>
      </c>
      <c r="CM139" s="21">
        <f>EXP(-LN(2)/2)*CM138+(1-EXP(-LN(2)/2))/(LN(2)/2)*CG139*CJ139*VLOOKUP('Données projet'!$B$12,Paramètres!$A$1:$I$89,3,0)*0.475*44/12</f>
        <v>2.1900976217177001E-7</v>
      </c>
      <c r="CN139" s="22">
        <f t="shared" si="120"/>
        <v>41.551058235283548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-2.8421709430404007E-13</v>
      </c>
      <c r="CU139" s="17">
        <f>CT139*VLOOKUP('Données projet'!$B$13,Paramètres!$A$1:$I$89,3,0)*VLOOKUP('Données projet'!$B$13,Paramètres!$A$1:$I$89,5,0)</f>
        <v>-2.7489477361086758E-13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508.3185483454435</v>
      </c>
      <c r="CZ139" s="59">
        <f t="shared" si="150"/>
        <v>487.08233034004945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48.488192288721763</v>
      </c>
      <c r="DG139" s="21">
        <f>EXP(-LN(2)/25)*DG138+(1-EXP(-LN(2)/25))/(LN(2)/25)*Calculateur!DB139*Calculateur!DD139*VLOOKUP('Données projet'!$B$13,Paramètres!$A$1:$I$89,3,0)*0.475*44/12</f>
        <v>1.0534538076046316</v>
      </c>
      <c r="DH139" s="21">
        <f>EXP(-LN(2)/2)*DH138+(1-EXP(-LN(2)/2))/(LN(2)/2)*DB139*DE139*VLOOKUP('Données projet'!$B$13,Paramètres!$A$1:$I$89,3,0)*0.475*44/12</f>
        <v>2.6112702412787907E-7</v>
      </c>
      <c r="DI139" s="22">
        <f t="shared" si="123"/>
        <v>49.541646357453423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-2.8421709430404007E-13</v>
      </c>
      <c r="DP139" s="17">
        <f>DO139*VLOOKUP('Données projet'!$B$14,Paramètres!$A$1:$I$89,3,0)*VLOOKUP('Données projet'!$B$14,Paramètres!$A$1:$I$89,5,0)</f>
        <v>-2.7489477361086758E-13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508.3185483454435</v>
      </c>
      <c r="DU139" s="59">
        <f t="shared" si="152"/>
        <v>487.08233034004945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48.488192288721763</v>
      </c>
      <c r="EB139" s="21">
        <f>EXP(-LN(2)/25)*EB138+(1-EXP(-LN(2)/25))/(LN(2)/25)*Calculateur!DW139*Calculateur!DY139*VLOOKUP('Données projet'!$B$14,Paramètres!$A$1:$I$89,3,0)*0.475*44/12</f>
        <v>1.0534538076046316</v>
      </c>
      <c r="EC139" s="21">
        <f>EXP(-LN(2)/2)*EC138+(1-EXP(-LN(2)/2))/(LN(2)/2)*DW139*DZ139*VLOOKUP('Données projet'!$B$14,Paramètres!$A$1:$I$89,3,0)*0.475*44/12</f>
        <v>2.6112702412787907E-7</v>
      </c>
      <c r="ED139" s="22">
        <f t="shared" si="126"/>
        <v>49.541646357453423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7.1111111111111107</v>
      </c>
      <c r="N140" s="13">
        <f>IF('Données projet'!$A$36&gt;35,N139+M140-V139,IF(A140&lt;'Données projet'!$A$36,$K$205^A140,IF(A140='Données projet'!$A$36,'Données projet'!$B$36,N139+M140-V139)))</f>
        <v>412.55555555555509</v>
      </c>
      <c r="O140" s="13">
        <f>N140*VLOOKUP('Données projet'!$B$9,Paramètres!$A$1:$I$89,3,0)*VLOOKUP('Données projet'!$B$9,Paramètres!$A$1:$I$89,5,0)</f>
        <v>373.28026666666625</v>
      </c>
      <c r="P140" s="13">
        <f t="shared" si="141"/>
        <v>86.338046674190522</v>
      </c>
      <c r="Q140" s="20">
        <f t="shared" si="108"/>
        <v>800.50189573532555</v>
      </c>
      <c r="R140" s="59">
        <f t="shared" si="109"/>
        <v>1085.4986011442509</v>
      </c>
      <c r="S140" s="59">
        <f ca="1">AVERAGE(OFFSET($R$3,0,0,'Données projet'!$E$9+1,1))-AVERAGE(OFFSET($H$3,0,0,'Données projet'!$E$9+1,1))</f>
        <v>569.49435820174267</v>
      </c>
      <c r="T140" s="59">
        <f t="shared" si="142"/>
        <v>295.37730858134739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42.059324370666126</v>
      </c>
      <c r="AA140" s="21">
        <f>EXP(-LN(2)/25)*AA139+(1-EXP(-LN(2)/25))/(LN(2)/25)*Calculateur!V140*Calculateur!X140*VLOOKUP('Données projet'!$B$9,Paramètres!$A$1:$I$89,3,0)*0.475*44/12</f>
        <v>15.087796020340971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57.147120391007093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7.1111111111111107</v>
      </c>
      <c r="AI140" s="13">
        <f>IF('Données projet'!$A$62&gt;35,AI139+AH140-AQ139,IF(A140&lt;'Données projet'!$A$62,$AF$205^A140,IF(A140='Données projet'!$A$62,'Données projet'!$B$62,AI139+AH140-AQ139)))</f>
        <v>412.55555555555509</v>
      </c>
      <c r="AJ140" s="13">
        <f>AI140*VLOOKUP('Données projet'!$B$10,Paramètres!$A$1:$I$89,3,0)*VLOOKUP('Données projet'!$B$10,Paramètres!$A$1:$I$89,5,0)</f>
        <v>418.33133333333291</v>
      </c>
      <c r="AK140" s="13">
        <f t="shared" si="143"/>
        <v>95.483314389196252</v>
      </c>
      <c r="AL140" s="20">
        <f t="shared" si="112"/>
        <v>894.89384478340492</v>
      </c>
      <c r="AM140" s="59">
        <f t="shared" si="113"/>
        <v>1179.8905501923302</v>
      </c>
      <c r="AN140" s="59">
        <f ca="1">AVERAGE(OFFSET($AM$3,0,0,'Données projet'!$E$10+1,1))-AVERAGE(OFFSET($H$3,0,0,'Données projet'!$E$10+1,1))</f>
        <v>627.83896530587367</v>
      </c>
      <c r="AO140" s="59">
        <f t="shared" si="144"/>
        <v>323.54927030899489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47.135449725746533</v>
      </c>
      <c r="AV140" s="21">
        <f>EXP(-LN(2)/25)*AV139+(1-EXP(-LN(2)/25))/(LN(2)/25)*Calculateur!AQ140*Calculateur!AS140*VLOOKUP('Données projet'!$B$10,Paramètres!$A$1:$I$89,3,0)*0.475*44/12</f>
        <v>16.908736919347643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64.044186645094172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-2.8421709430404007E-13</v>
      </c>
      <c r="BE140" s="13">
        <f>BD140*VLOOKUP('Données projet'!$B$11,Paramètres!$A$1:$I$89,3,0)*VLOOKUP('Données projet'!$B$11,Paramètres!$A$1:$I$89,5,0)</f>
        <v>-2.7489477361086758E-13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508.3185483454435</v>
      </c>
      <c r="BJ140" s="59">
        <f t="shared" si="146"/>
        <v>487.08233034004945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47.537368412816946</v>
      </c>
      <c r="BQ140" s="21">
        <f>EXP(-LN(2)/25)*BQ139+(1-EXP(-LN(2)/25))/(LN(2)/25)*Calculateur!BL140*Calculateur!BN140*VLOOKUP('Données projet'!$B$11,Paramètres!$A$1:$I$89,3,0)*0.475*44/12</f>
        <v>1.0246470578369549</v>
      </c>
      <c r="BR140" s="21">
        <f>EXP(-LN(2)/2)*BR139+(1-EXP(-LN(2)/2))/(LN(2)/2)*BL140*BO140*VLOOKUP('Données projet'!$B$11,Paramètres!$A$1:$I$89,3,0)*0.475*44/12</f>
        <v>1.846446895118865E-7</v>
      </c>
      <c r="BS140" s="22">
        <f t="shared" si="117"/>
        <v>48.562015655298595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-2.8421709430404007E-13</v>
      </c>
      <c r="BZ140" s="13">
        <f>BY140*VLOOKUP('Données projet'!$B$12,Paramètres!$A$1:$I$89,3,0)*VLOOKUP('Données projet'!$B$12,Paramètres!$A$1:$I$89,5,0)</f>
        <v>-2.3055690689943731E-13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436.50252985867149</v>
      </c>
      <c r="CE140" s="59">
        <f t="shared" si="148"/>
        <v>419.00806288456329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39.870050926878768</v>
      </c>
      <c r="CL140" s="21">
        <f>EXP(-LN(2)/25)*CL139+(1-EXP(-LN(2)/25))/(LN(2)/25)*Calculateur!CG140*Calculateur!CI140*VLOOKUP('Données projet'!$B$12,Paramètres!$A$1:$I$89,3,0)*0.475*44/12</f>
        <v>0.85938140334712343</v>
      </c>
      <c r="CM140" s="21">
        <f>EXP(-LN(2)/2)*CM139+(1-EXP(-LN(2)/2))/(LN(2)/2)*CG140*CJ140*VLOOKUP('Données projet'!$B$12,Paramètres!$A$1:$I$89,3,0)*0.475*44/12</f>
        <v>1.5486328797771159E-7</v>
      </c>
      <c r="CN140" s="22">
        <f t="shared" si="120"/>
        <v>40.729432485089177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-2.8421709430404007E-13</v>
      </c>
      <c r="CU140" s="17">
        <f>CT140*VLOOKUP('Données projet'!$B$13,Paramètres!$A$1:$I$89,3,0)*VLOOKUP('Données projet'!$B$13,Paramètres!$A$1:$I$89,5,0)</f>
        <v>-2.7489477361086758E-13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508.3185483454435</v>
      </c>
      <c r="CZ140" s="59">
        <f t="shared" si="150"/>
        <v>487.08233034004945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47.537368412816946</v>
      </c>
      <c r="DG140" s="21">
        <f>EXP(-LN(2)/25)*DG139+(1-EXP(-LN(2)/25))/(LN(2)/25)*Calculateur!DB140*Calculateur!DD140*VLOOKUP('Données projet'!$B$13,Paramètres!$A$1:$I$89,3,0)*0.475*44/12</f>
        <v>1.0246470578369549</v>
      </c>
      <c r="DH140" s="21">
        <f>EXP(-LN(2)/2)*DH139+(1-EXP(-LN(2)/2))/(LN(2)/2)*DB140*DE140*VLOOKUP('Données projet'!$B$13,Paramètres!$A$1:$I$89,3,0)*0.475*44/12</f>
        <v>1.846446895118865E-7</v>
      </c>
      <c r="DI140" s="22">
        <f t="shared" si="123"/>
        <v>48.562015655298595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-2.8421709430404007E-13</v>
      </c>
      <c r="DP140" s="17">
        <f>DO140*VLOOKUP('Données projet'!$B$14,Paramètres!$A$1:$I$89,3,0)*VLOOKUP('Données projet'!$B$14,Paramètres!$A$1:$I$89,5,0)</f>
        <v>-2.7489477361086758E-13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508.3185483454435</v>
      </c>
      <c r="DU140" s="59">
        <f t="shared" si="152"/>
        <v>487.08233034004945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47.537368412816946</v>
      </c>
      <c r="EB140" s="21">
        <f>EXP(-LN(2)/25)*EB139+(1-EXP(-LN(2)/25))/(LN(2)/25)*Calculateur!DW140*Calculateur!DY140*VLOOKUP('Données projet'!$B$14,Paramètres!$A$1:$I$89,3,0)*0.475*44/12</f>
        <v>1.0246470578369549</v>
      </c>
      <c r="EC140" s="21">
        <f>EXP(-LN(2)/2)*EC139+(1-EXP(-LN(2)/2))/(LN(2)/2)*DW140*DZ140*VLOOKUP('Données projet'!$B$14,Paramètres!$A$1:$I$89,3,0)*0.475*44/12</f>
        <v>1.846446895118865E-7</v>
      </c>
      <c r="ED140" s="22">
        <f t="shared" si="126"/>
        <v>48.562015655298595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7.1111111111111107</v>
      </c>
      <c r="N141" s="13">
        <f>IF('Données projet'!$A$36&gt;35,N140+M141-V140,IF(A141&lt;'Données projet'!$A$36,$K$205^A141,IF(A141='Données projet'!$A$36,'Données projet'!$B$36,N140+M141-V140)))</f>
        <v>419.66666666666617</v>
      </c>
      <c r="O141" s="13">
        <f>N141*VLOOKUP('Données projet'!$B$9,Paramètres!$A$1:$I$89,3,0)*VLOOKUP('Données projet'!$B$9,Paramètres!$A$1:$I$89,5,0)</f>
        <v>379.7143999999995</v>
      </c>
      <c r="P141" s="13">
        <f t="shared" si="141"/>
        <v>87.65169715652047</v>
      </c>
      <c r="Q141" s="20">
        <f t="shared" si="108"/>
        <v>813.9959525476055</v>
      </c>
      <c r="R141" s="59">
        <f t="shared" si="109"/>
        <v>1099.1372798131115</v>
      </c>
      <c r="S141" s="59">
        <f ca="1">AVERAGE(OFFSET($R$3,0,0,'Données projet'!$E$9+1,1))-AVERAGE(OFFSET($H$3,0,0,'Données projet'!$E$9+1,1))</f>
        <v>569.49435820174267</v>
      </c>
      <c r="T141" s="59">
        <f t="shared" si="142"/>
        <v>295.37730858134739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41.234566673412139</v>
      </c>
      <c r="AA141" s="21">
        <f>EXP(-LN(2)/25)*AA140+(1-EXP(-LN(2)/25))/(LN(2)/25)*Calculateur!V141*Calculateur!X141*VLOOKUP('Données projet'!$B$9,Paramètres!$A$1:$I$89,3,0)*0.475*44/12</f>
        <v>14.675219444732038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55.909786118144176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7.1111111111111107</v>
      </c>
      <c r="AI141" s="13">
        <f>IF('Données projet'!$A$62&gt;35,AI140+AH141-AQ140,IF(A141&lt;'Données projet'!$A$62,$AF$205^A141,IF(A141='Données projet'!$A$62,'Données projet'!$B$62,AI140+AH141-AQ140)))</f>
        <v>419.66666666666617</v>
      </c>
      <c r="AJ141" s="13">
        <f>AI141*VLOOKUP('Données projet'!$B$10,Paramètres!$A$1:$I$89,3,0)*VLOOKUP('Données projet'!$B$10,Paramètres!$A$1:$I$89,5,0)</f>
        <v>425.54199999999952</v>
      </c>
      <c r="AK141" s="13">
        <f t="shared" si="143"/>
        <v>96.936111931340861</v>
      </c>
      <c r="AL141" s="20">
        <f t="shared" si="112"/>
        <v>909.98271161375123</v>
      </c>
      <c r="AM141" s="59">
        <f t="shared" si="113"/>
        <v>1195.1240388792571</v>
      </c>
      <c r="AN141" s="59">
        <f ca="1">AVERAGE(OFFSET($AM$3,0,0,'Données projet'!$E$10+1,1))-AVERAGE(OFFSET($H$3,0,0,'Données projet'!$E$10+1,1))</f>
        <v>627.83896530587367</v>
      </c>
      <c r="AO141" s="59">
        <f t="shared" si="144"/>
        <v>323.54927030899489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46.21115230641017</v>
      </c>
      <c r="AV141" s="21">
        <f>EXP(-LN(2)/25)*AV140+(1-EXP(-LN(2)/25))/(LN(2)/25)*Calculateur!AQ141*Calculateur!AS141*VLOOKUP('Données projet'!$B$10,Paramètres!$A$1:$I$89,3,0)*0.475*44/12</f>
        <v>16.446366619096253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62.657518925506423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-2.8421709430404007E-13</v>
      </c>
      <c r="BE141" s="13">
        <f>BD141*VLOOKUP('Données projet'!$B$11,Paramètres!$A$1:$I$89,3,0)*VLOOKUP('Données projet'!$B$11,Paramètres!$A$1:$I$89,5,0)</f>
        <v>-2.7489477361086758E-13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508.3185483454435</v>
      </c>
      <c r="BJ141" s="59">
        <f t="shared" si="146"/>
        <v>487.08233034004945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46.605189613173323</v>
      </c>
      <c r="BQ141" s="21">
        <f>EXP(-LN(2)/25)*BQ140+(1-EXP(-LN(2)/25))/(LN(2)/25)*Calculateur!BL141*Calculateur!BN141*VLOOKUP('Données projet'!$B$11,Paramètres!$A$1:$I$89,3,0)*0.475*44/12</f>
        <v>0.99662803015655643</v>
      </c>
      <c r="BR141" s="21">
        <f>EXP(-LN(2)/2)*BR140+(1-EXP(-LN(2)/2))/(LN(2)/2)*BL141*BO141*VLOOKUP('Données projet'!$B$11,Paramètres!$A$1:$I$89,3,0)*0.475*44/12</f>
        <v>1.3056351206393953E-7</v>
      </c>
      <c r="BS141" s="22">
        <f t="shared" si="117"/>
        <v>47.601817773893394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-2.8421709430404007E-13</v>
      </c>
      <c r="BZ141" s="13">
        <f>BY141*VLOOKUP('Données projet'!$B$12,Paramètres!$A$1:$I$89,3,0)*VLOOKUP('Données projet'!$B$12,Paramètres!$A$1:$I$89,5,0)</f>
        <v>-2.3055690689943731E-13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436.50252985867149</v>
      </c>
      <c r="CE141" s="59">
        <f t="shared" si="148"/>
        <v>419.00806288456329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39.088223546532504</v>
      </c>
      <c r="CL141" s="21">
        <f>EXP(-LN(2)/25)*CL140+(1-EXP(-LN(2)/25))/(LN(2)/25)*Calculateur!CG141*Calculateur!CI141*VLOOKUP('Données projet'!$B$12,Paramètres!$A$1:$I$89,3,0)*0.475*44/12</f>
        <v>0.83588157367969251</v>
      </c>
      <c r="CM141" s="21">
        <f>EXP(-LN(2)/2)*CM140+(1-EXP(-LN(2)/2))/(LN(2)/2)*CG141*CJ141*VLOOKUP('Données projet'!$B$12,Paramètres!$A$1:$I$89,3,0)*0.475*44/12</f>
        <v>1.09504881085885E-7</v>
      </c>
      <c r="CN141" s="22">
        <f t="shared" si="120"/>
        <v>39.924105229717078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-2.8421709430404007E-13</v>
      </c>
      <c r="CU141" s="17">
        <f>CT141*VLOOKUP('Données projet'!$B$13,Paramètres!$A$1:$I$89,3,0)*VLOOKUP('Données projet'!$B$13,Paramètres!$A$1:$I$89,5,0)</f>
        <v>-2.7489477361086758E-13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508.3185483454435</v>
      </c>
      <c r="CZ141" s="59">
        <f t="shared" si="150"/>
        <v>487.08233034004945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46.605189613173323</v>
      </c>
      <c r="DG141" s="21">
        <f>EXP(-LN(2)/25)*DG140+(1-EXP(-LN(2)/25))/(LN(2)/25)*Calculateur!DB141*Calculateur!DD141*VLOOKUP('Données projet'!$B$13,Paramètres!$A$1:$I$89,3,0)*0.475*44/12</f>
        <v>0.99662803015655643</v>
      </c>
      <c r="DH141" s="21">
        <f>EXP(-LN(2)/2)*DH140+(1-EXP(-LN(2)/2))/(LN(2)/2)*DB141*DE141*VLOOKUP('Données projet'!$B$13,Paramètres!$A$1:$I$89,3,0)*0.475*44/12</f>
        <v>1.3056351206393953E-7</v>
      </c>
      <c r="DI141" s="22">
        <f t="shared" si="123"/>
        <v>47.601817773893394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-2.8421709430404007E-13</v>
      </c>
      <c r="DP141" s="17">
        <f>DO141*VLOOKUP('Données projet'!$B$14,Paramètres!$A$1:$I$89,3,0)*VLOOKUP('Données projet'!$B$14,Paramètres!$A$1:$I$89,5,0)</f>
        <v>-2.7489477361086758E-13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508.3185483454435</v>
      </c>
      <c r="DU141" s="59">
        <f t="shared" si="152"/>
        <v>487.08233034004945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46.605189613173323</v>
      </c>
      <c r="EB141" s="21">
        <f>EXP(-LN(2)/25)*EB140+(1-EXP(-LN(2)/25))/(LN(2)/25)*Calculateur!DW141*Calculateur!DY141*VLOOKUP('Données projet'!$B$14,Paramètres!$A$1:$I$89,3,0)*0.475*44/12</f>
        <v>0.99662803015655643</v>
      </c>
      <c r="EC141" s="21">
        <f>EXP(-LN(2)/2)*EC140+(1-EXP(-LN(2)/2))/(LN(2)/2)*DW141*DZ141*VLOOKUP('Données projet'!$B$14,Paramètres!$A$1:$I$89,3,0)*0.475*44/12</f>
        <v>1.3056351206393953E-7</v>
      </c>
      <c r="ED141" s="22">
        <f t="shared" si="126"/>
        <v>47.601817773893394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7.1111111111111107</v>
      </c>
      <c r="N142" s="13">
        <f>IF('Données projet'!$A$36&gt;35,N141+M142-V141,IF(A142&lt;'Données projet'!$A$36,$K$205^A142,IF(A142='Données projet'!$A$36,'Données projet'!$B$36,N141+M142-V141)))</f>
        <v>426.77777777777726</v>
      </c>
      <c r="O142" s="13">
        <f>N142*VLOOKUP('Données projet'!$B$9,Paramètres!$A$1:$I$89,3,0)*VLOOKUP('Données projet'!$B$9,Paramètres!$A$1:$I$89,5,0)</f>
        <v>386.14853333333286</v>
      </c>
      <c r="P142" s="13">
        <f t="shared" si="141"/>
        <v>88.962759071019875</v>
      </c>
      <c r="Q142" s="20">
        <f t="shared" si="108"/>
        <v>827.48550093758092</v>
      </c>
      <c r="R142" s="59">
        <f t="shared" si="109"/>
        <v>1112.7689411937818</v>
      </c>
      <c r="S142" s="59">
        <f ca="1">AVERAGE(OFFSET($R$3,0,0,'Données projet'!$E$9+1,1))-AVERAGE(OFFSET($H$3,0,0,'Données projet'!$E$9+1,1))</f>
        <v>569.49435820174267</v>
      </c>
      <c r="T142" s="59">
        <f t="shared" si="142"/>
        <v>295.37730858134739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40.425981971548779</v>
      </c>
      <c r="AA142" s="21">
        <f>EXP(-LN(2)/25)*AA141+(1-EXP(-LN(2)/25))/(LN(2)/25)*Calculateur!V142*Calculateur!X142*VLOOKUP('Données projet'!$B$9,Paramètres!$A$1:$I$89,3,0)*0.475*44/12</f>
        <v>14.273924797279591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54.69990676882837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7.1111111111111107</v>
      </c>
      <c r="AI142" s="13">
        <f>IF('Données projet'!$A$62&gt;35,AI141+AH142-AQ141,IF(A142&lt;'Données projet'!$A$62,$AF$205^A142,IF(A142='Données projet'!$A$62,'Données projet'!$B$62,AI141+AH142-AQ141)))</f>
        <v>426.77777777777726</v>
      </c>
      <c r="AJ142" s="13">
        <f>AI142*VLOOKUP('Données projet'!$B$10,Paramètres!$A$1:$I$89,3,0)*VLOOKUP('Données projet'!$B$10,Paramètres!$A$1:$I$89,5,0)</f>
        <v>432.75266666666619</v>
      </c>
      <c r="AK142" s="13">
        <f t="shared" si="143"/>
        <v>98.386046714302196</v>
      </c>
      <c r="AL142" s="20">
        <f t="shared" si="112"/>
        <v>925.06659247185326</v>
      </c>
      <c r="AM142" s="59">
        <f t="shared" si="113"/>
        <v>1210.3500327280542</v>
      </c>
      <c r="AN142" s="59">
        <f ca="1">AVERAGE(OFFSET($AM$3,0,0,'Données projet'!$E$10+1,1))-AVERAGE(OFFSET($H$3,0,0,'Données projet'!$E$10+1,1))</f>
        <v>627.83896530587367</v>
      </c>
      <c r="AO142" s="59">
        <f t="shared" si="144"/>
        <v>323.54927030899489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45.304979795701236</v>
      </c>
      <c r="AV142" s="21">
        <f>EXP(-LN(2)/25)*AV141+(1-EXP(-LN(2)/25))/(LN(2)/25)*Calculateur!AQ142*Calculateur!AS142*VLOOKUP('Données projet'!$B$10,Paramètres!$A$1:$I$89,3,0)*0.475*44/12</f>
        <v>15.996639859020235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61.30161965472147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-2.8421709430404007E-13</v>
      </c>
      <c r="BE142" s="13">
        <f>BD142*VLOOKUP('Données projet'!$B$11,Paramètres!$A$1:$I$89,3,0)*VLOOKUP('Données projet'!$B$11,Paramètres!$A$1:$I$89,5,0)</f>
        <v>-2.7489477361086758E-13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508.3185483454435</v>
      </c>
      <c r="BJ142" s="59">
        <f t="shared" si="146"/>
        <v>487.08233034004945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45.691290271217788</v>
      </c>
      <c r="BQ142" s="21">
        <f>EXP(-LN(2)/25)*BQ141+(1-EXP(-LN(2)/25))/(LN(2)/25)*Calculateur!BL142*Calculateur!BN142*VLOOKUP('Données projet'!$B$11,Paramètres!$A$1:$I$89,3,0)*0.475*44/12</f>
        <v>0.96937518426153513</v>
      </c>
      <c r="BR142" s="21">
        <f>EXP(-LN(2)/2)*BR141+(1-EXP(-LN(2)/2))/(LN(2)/2)*BL142*BO142*VLOOKUP('Données projet'!$B$11,Paramètres!$A$1:$I$89,3,0)*0.475*44/12</f>
        <v>9.2322344755943251E-8</v>
      </c>
      <c r="BS142" s="22">
        <f t="shared" si="117"/>
        <v>46.660665547801671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-2.8421709430404007E-13</v>
      </c>
      <c r="BZ142" s="13">
        <f>BY142*VLOOKUP('Données projet'!$B$12,Paramètres!$A$1:$I$89,3,0)*VLOOKUP('Données projet'!$B$12,Paramètres!$A$1:$I$89,5,0)</f>
        <v>-2.3055690689943731E-13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436.50252985867149</v>
      </c>
      <c r="CE142" s="59">
        <f t="shared" si="148"/>
        <v>419.00806288456329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38.321727324247213</v>
      </c>
      <c r="CL142" s="21">
        <f>EXP(-LN(2)/25)*CL141+(1-EXP(-LN(2)/25))/(LN(2)/25)*Calculateur!CG142*Calculateur!CI142*VLOOKUP('Données projet'!$B$12,Paramètres!$A$1:$I$89,3,0)*0.475*44/12</f>
        <v>0.81302434809031976</v>
      </c>
      <c r="CM142" s="21">
        <f>EXP(-LN(2)/2)*CM141+(1-EXP(-LN(2)/2))/(LN(2)/2)*CG142*CJ142*VLOOKUP('Données projet'!$B$12,Paramètres!$A$1:$I$89,3,0)*0.475*44/12</f>
        <v>7.7431643988855793E-8</v>
      </c>
      <c r="CN142" s="22">
        <f t="shared" si="120"/>
        <v>39.13475174976918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-2.8421709430404007E-13</v>
      </c>
      <c r="CU142" s="17">
        <f>CT142*VLOOKUP('Données projet'!$B$13,Paramètres!$A$1:$I$89,3,0)*VLOOKUP('Données projet'!$B$13,Paramètres!$A$1:$I$89,5,0)</f>
        <v>-2.7489477361086758E-13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508.3185483454435</v>
      </c>
      <c r="CZ142" s="59">
        <f t="shared" si="150"/>
        <v>487.08233034004945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45.691290271217788</v>
      </c>
      <c r="DG142" s="21">
        <f>EXP(-LN(2)/25)*DG141+(1-EXP(-LN(2)/25))/(LN(2)/25)*Calculateur!DB142*Calculateur!DD142*VLOOKUP('Données projet'!$B$13,Paramètres!$A$1:$I$89,3,0)*0.475*44/12</f>
        <v>0.96937518426153513</v>
      </c>
      <c r="DH142" s="21">
        <f>EXP(-LN(2)/2)*DH141+(1-EXP(-LN(2)/2))/(LN(2)/2)*DB142*DE142*VLOOKUP('Données projet'!$B$13,Paramètres!$A$1:$I$89,3,0)*0.475*44/12</f>
        <v>9.2322344755943251E-8</v>
      </c>
      <c r="DI142" s="22">
        <f t="shared" si="123"/>
        <v>46.660665547801671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-2.8421709430404007E-13</v>
      </c>
      <c r="DP142" s="17">
        <f>DO142*VLOOKUP('Données projet'!$B$14,Paramètres!$A$1:$I$89,3,0)*VLOOKUP('Données projet'!$B$14,Paramètres!$A$1:$I$89,5,0)</f>
        <v>-2.7489477361086758E-13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508.3185483454435</v>
      </c>
      <c r="DU142" s="59">
        <f t="shared" si="152"/>
        <v>487.08233034004945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45.691290271217788</v>
      </c>
      <c r="EB142" s="21">
        <f>EXP(-LN(2)/25)*EB141+(1-EXP(-LN(2)/25))/(LN(2)/25)*Calculateur!DW142*Calculateur!DY142*VLOOKUP('Données projet'!$B$14,Paramètres!$A$1:$I$89,3,0)*0.475*44/12</f>
        <v>0.96937518426153513</v>
      </c>
      <c r="EC142" s="21">
        <f>EXP(-LN(2)/2)*EC141+(1-EXP(-LN(2)/2))/(LN(2)/2)*DW142*DZ142*VLOOKUP('Données projet'!$B$14,Paramètres!$A$1:$I$89,3,0)*0.475*44/12</f>
        <v>9.2322344755943251E-8</v>
      </c>
      <c r="ED142" s="22">
        <f t="shared" si="126"/>
        <v>46.660665547801671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7.1111111111111107</v>
      </c>
      <c r="N143" s="13">
        <f>IF('Données projet'!$A$36&gt;35,N142+M143-V142,IF(A143&lt;'Données projet'!$A$36,$K$205^A143,IF(A143='Données projet'!$A$36,'Données projet'!$B$36,N142+M143-V142)))</f>
        <v>433.88888888888835</v>
      </c>
      <c r="O143" s="13">
        <f>N143*VLOOKUP('Données projet'!$B$9,Paramètres!$A$1:$I$89,3,0)*VLOOKUP('Données projet'!$B$9,Paramètres!$A$1:$I$89,5,0)</f>
        <v>392.58266666666617</v>
      </c>
      <c r="P143" s="13">
        <f t="shared" si="141"/>
        <v>90.271280527588644</v>
      </c>
      <c r="Q143" s="20">
        <f t="shared" si="108"/>
        <v>840.97062469666037</v>
      </c>
      <c r="R143" s="59">
        <f t="shared" si="109"/>
        <v>1126.3937126008848</v>
      </c>
      <c r="S143" s="59">
        <f ca="1">AVERAGE(OFFSET($R$3,0,0,'Données projet'!$E$9+1,1))-AVERAGE(OFFSET($H$3,0,0,'Données projet'!$E$9+1,1))</f>
        <v>569.49435820174267</v>
      </c>
      <c r="T143" s="59">
        <f t="shared" si="142"/>
        <v>295.37730858134739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39.633253122500996</v>
      </c>
      <c r="AA143" s="21">
        <f>EXP(-LN(2)/25)*AA142+(1-EXP(-LN(2)/25))/(LN(2)/25)*Calculateur!V143*Calculateur!X143*VLOOKUP('Données projet'!$B$9,Paramètres!$A$1:$I$89,3,0)*0.475*44/12</f>
        <v>13.883603573064899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53.516856695565892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7.1111111111111107</v>
      </c>
      <c r="AI143" s="13">
        <f>IF('Données projet'!$A$62&gt;35,AI142+AH143-AQ142,IF(A143&lt;'Données projet'!$A$62,$AF$205^A143,IF(A143='Données projet'!$A$62,'Données projet'!$B$62,AI142+AH143-AQ142)))</f>
        <v>433.88888888888835</v>
      </c>
      <c r="AJ143" s="13">
        <f>AI143*VLOOKUP('Données projet'!$B$10,Paramètres!$A$1:$I$89,3,0)*VLOOKUP('Données projet'!$B$10,Paramètres!$A$1:$I$89,5,0)</f>
        <v>439.9633333333328</v>
      </c>
      <c r="AK143" s="13">
        <f t="shared" si="143"/>
        <v>99.833171943971251</v>
      </c>
      <c r="AL143" s="20">
        <f t="shared" si="112"/>
        <v>940.14558002463798</v>
      </c>
      <c r="AM143" s="59">
        <f t="shared" si="113"/>
        <v>1225.5686679288624</v>
      </c>
      <c r="AN143" s="59">
        <f ca="1">AVERAGE(OFFSET($AM$3,0,0,'Données projet'!$E$10+1,1))-AVERAGE(OFFSET($H$3,0,0,'Données projet'!$E$10+1,1))</f>
        <v>627.83896530587367</v>
      </c>
      <c r="AO143" s="59">
        <f t="shared" si="144"/>
        <v>323.54927030899489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44.416576775216647</v>
      </c>
      <c r="AV143" s="21">
        <f>EXP(-LN(2)/25)*AV142+(1-EXP(-LN(2)/25))/(LN(2)/25)*Calculateur!AQ143*Calculateur!AS143*VLOOKUP('Données projet'!$B$10,Paramètres!$A$1:$I$89,3,0)*0.475*44/12</f>
        <v>15.559210900848598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59.975787676065245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-2.8421709430404007E-13</v>
      </c>
      <c r="BE143" s="13">
        <f>BD143*VLOOKUP('Données projet'!$B$11,Paramètres!$A$1:$I$89,3,0)*VLOOKUP('Données projet'!$B$11,Paramètres!$A$1:$I$89,5,0)</f>
        <v>-2.7489477361086758E-13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508.3185483454435</v>
      </c>
      <c r="BJ143" s="59">
        <f t="shared" si="146"/>
        <v>487.08233034004945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44.795311937934443</v>
      </c>
      <c r="BQ143" s="21">
        <f>EXP(-LN(2)/25)*BQ142+(1-EXP(-LN(2)/25))/(LN(2)/25)*Calculateur!BL143*Calculateur!BN143*VLOOKUP('Données projet'!$B$11,Paramètres!$A$1:$I$89,3,0)*0.475*44/12</f>
        <v>0.94286756887067802</v>
      </c>
      <c r="BR143" s="21">
        <f>EXP(-LN(2)/2)*BR142+(1-EXP(-LN(2)/2))/(LN(2)/2)*BL143*BO143*VLOOKUP('Données projet'!$B$11,Paramètres!$A$1:$I$89,3,0)*0.475*44/12</f>
        <v>6.5281756031969767E-8</v>
      </c>
      <c r="BS143" s="22">
        <f t="shared" si="117"/>
        <v>45.738179572086871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-2.8421709430404007E-13</v>
      </c>
      <c r="BZ143" s="13">
        <f>BY143*VLOOKUP('Données projet'!$B$12,Paramètres!$A$1:$I$89,3,0)*VLOOKUP('Données projet'!$B$12,Paramètres!$A$1:$I$89,5,0)</f>
        <v>-2.3055690689943731E-13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436.50252985867149</v>
      </c>
      <c r="CE143" s="59">
        <f t="shared" si="148"/>
        <v>419.00806288456329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37.570261625364409</v>
      </c>
      <c r="CL143" s="21">
        <f>EXP(-LN(2)/25)*CL142+(1-EXP(-LN(2)/25))/(LN(2)/25)*Calculateur!CG143*Calculateur!CI143*VLOOKUP('Données projet'!$B$12,Paramètres!$A$1:$I$89,3,0)*0.475*44/12</f>
        <v>0.79079215453669771</v>
      </c>
      <c r="CM143" s="21">
        <f>EXP(-LN(2)/2)*CM142+(1-EXP(-LN(2)/2))/(LN(2)/2)*CG143*CJ143*VLOOKUP('Données projet'!$B$12,Paramètres!$A$1:$I$89,3,0)*0.475*44/12</f>
        <v>5.4752440542942502E-8</v>
      </c>
      <c r="CN143" s="22">
        <f t="shared" si="120"/>
        <v>38.361053834653546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-2.8421709430404007E-13</v>
      </c>
      <c r="CU143" s="17">
        <f>CT143*VLOOKUP('Données projet'!$B$13,Paramètres!$A$1:$I$89,3,0)*VLOOKUP('Données projet'!$B$13,Paramètres!$A$1:$I$89,5,0)</f>
        <v>-2.7489477361086758E-13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508.3185483454435</v>
      </c>
      <c r="CZ143" s="59">
        <f t="shared" si="150"/>
        <v>487.08233034004945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44.795311937934443</v>
      </c>
      <c r="DG143" s="21">
        <f>EXP(-LN(2)/25)*DG142+(1-EXP(-LN(2)/25))/(LN(2)/25)*Calculateur!DB143*Calculateur!DD143*VLOOKUP('Données projet'!$B$13,Paramètres!$A$1:$I$89,3,0)*0.475*44/12</f>
        <v>0.94286756887067802</v>
      </c>
      <c r="DH143" s="21">
        <f>EXP(-LN(2)/2)*DH142+(1-EXP(-LN(2)/2))/(LN(2)/2)*DB143*DE143*VLOOKUP('Données projet'!$B$13,Paramètres!$A$1:$I$89,3,0)*0.475*44/12</f>
        <v>6.5281756031969767E-8</v>
      </c>
      <c r="DI143" s="22">
        <f t="shared" si="123"/>
        <v>45.738179572086871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-2.8421709430404007E-13</v>
      </c>
      <c r="DP143" s="17">
        <f>DO143*VLOOKUP('Données projet'!$B$14,Paramètres!$A$1:$I$89,3,0)*VLOOKUP('Données projet'!$B$14,Paramètres!$A$1:$I$89,5,0)</f>
        <v>-2.7489477361086758E-13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508.3185483454435</v>
      </c>
      <c r="DU143" s="59">
        <f t="shared" si="152"/>
        <v>487.08233034004945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44.795311937934443</v>
      </c>
      <c r="EB143" s="21">
        <f>EXP(-LN(2)/25)*EB142+(1-EXP(-LN(2)/25))/(LN(2)/25)*Calculateur!DW143*Calculateur!DY143*VLOOKUP('Données projet'!$B$14,Paramètres!$A$1:$I$89,3,0)*0.475*44/12</f>
        <v>0.94286756887067802</v>
      </c>
      <c r="EC143" s="21">
        <f>EXP(-LN(2)/2)*EC142+(1-EXP(-LN(2)/2))/(LN(2)/2)*DW143*DZ143*VLOOKUP('Données projet'!$B$14,Paramètres!$A$1:$I$89,3,0)*0.475*44/12</f>
        <v>6.5281756031969767E-8</v>
      </c>
      <c r="ED143" s="22">
        <f t="shared" si="126"/>
        <v>45.738179572086871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>
        <f>VLOOKUP(A144,'Données projet'!$A$35:$I$55,2,0)</f>
        <v>441</v>
      </c>
      <c r="L144" s="12">
        <f>VLOOKUP(A144,'Données projet'!$A$35:$I$55,9,0)</f>
        <v>7.1111111111111107</v>
      </c>
      <c r="M144" s="12">
        <f t="array" ref="M144">INDEX(L:L,MIN(IF(ISNUMBER(L144:L340),ROW(L144:L340),"")))</f>
        <v>7.1111111111111107</v>
      </c>
      <c r="N144" s="13">
        <f>IF('Données projet'!$A$36&gt;35,N143+M144-V143,IF(A144&lt;'Données projet'!$A$36,$K$205^A144,IF(A144='Données projet'!$A$36,'Données projet'!$B$36,N143+M144-V143)))</f>
        <v>440.99999999999943</v>
      </c>
      <c r="O144" s="13">
        <f>N144*VLOOKUP('Données projet'!$B$9,Paramètres!$A$1:$I$89,3,0)*VLOOKUP('Données projet'!$B$9,Paramètres!$A$1:$I$89,5,0)</f>
        <v>399.01679999999948</v>
      </c>
      <c r="P144" s="13">
        <f t="shared" si="141"/>
        <v>91.577307968744961</v>
      </c>
      <c r="Q144" s="20">
        <f t="shared" si="108"/>
        <v>854.45140471222987</v>
      </c>
      <c r="R144" s="59">
        <f t="shared" si="109"/>
        <v>1140.0117176899898</v>
      </c>
      <c r="S144" s="59">
        <f ca="1">AVERAGE(OFFSET($R$3,0,0,'Données projet'!$E$9+1,1))-AVERAGE(OFFSET($H$3,0,0,'Données projet'!$E$9+1,1))</f>
        <v>569.49435820174267</v>
      </c>
      <c r="T144" s="59">
        <f t="shared" si="142"/>
        <v>295.37730858134739</v>
      </c>
      <c r="U144" s="15">
        <f>IF(ISNA(VLOOKUP(A144,'Données projet'!$A$35:$I$55,3,0)),0,VLOOKUP(A144,'Données projet'!$A$35:$I$55,3,0))</f>
        <v>13</v>
      </c>
      <c r="V144" s="15">
        <f>IF(ISNA(VLOOKUP(A144,'Données projet'!$A$35:$I$55,4,0)),0,VLOOKUP(A144,'Données projet'!$A$35:$I$55,4,0))</f>
        <v>45</v>
      </c>
      <c r="W144" s="16">
        <f>IF(ISNA(VLOOKUP(A144,'Données projet'!$A$35:$I$55,5,0)),0%,VLOOKUP(A144,'Données projet'!$A$35:$I$55,5,0)*VLOOKUP('Données projet'!$B$9,Paramètres!$A$1:$I$89,7,0))</f>
        <v>0.30099999999999999</v>
      </c>
      <c r="X144" s="16">
        <f>IF(ISNA(VLOOKUP(A144,'Données projet'!$A$35:$I$55,6,0)),0%,VLOOKUP(A144,'Données projet'!$A$35:$I$55,6,0)*VLOOKUP('Données projet'!$B$9,Paramètres!$A$1:$I$89,7,0))</f>
        <v>4.3000000000000003E-2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52.404179126558326</v>
      </c>
      <c r="AA144" s="21">
        <f>EXP(-LN(2)/25)*AA143+(1-EXP(-LN(2)/25))/(LN(2)/25)*Calculateur!V144*Calculateur!X144*VLOOKUP('Données projet'!$B$9,Paramètres!$A$1:$I$89,3,0)*0.475*44/12</f>
        <v>15.431779396522057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67.835958523080379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>
        <f>VLOOKUP(A144,'Données projet'!$A$61:$I$81,2,0)</f>
        <v>441</v>
      </c>
      <c r="AG144" s="12">
        <f>VLOOKUP(A144,'Données projet'!$A$61:$I$81,9,0)</f>
        <v>7.1111111111111107</v>
      </c>
      <c r="AH144" s="12">
        <f t="array" ref="AH144">INDEX(AG:AG,MIN(IF(ISNUMBER(AG144:AG340),ROW(AG144:AG340),"")))</f>
        <v>7.1111111111111107</v>
      </c>
      <c r="AI144" s="13">
        <f>IF('Données projet'!$A$62&gt;35,AI143+AH144-AQ143,IF(A144&lt;'Données projet'!$A$62,$AF$205^A144,IF(A144='Données projet'!$A$62,'Données projet'!$B$62,AI143+AH144-AQ143)))</f>
        <v>440.99999999999943</v>
      </c>
      <c r="AJ144" s="13">
        <f>AI144*VLOOKUP('Données projet'!$B$10,Paramètres!$A$1:$I$89,3,0)*VLOOKUP('Données projet'!$B$10,Paramètres!$A$1:$I$89,5,0)</f>
        <v>447.17399999999947</v>
      </c>
      <c r="AK144" s="13">
        <f t="shared" si="143"/>
        <v>101.27753898224157</v>
      </c>
      <c r="AL144" s="20">
        <f t="shared" si="112"/>
        <v>955.21976372740301</v>
      </c>
      <c r="AM144" s="59">
        <f t="shared" si="113"/>
        <v>1240.7800767051631</v>
      </c>
      <c r="AN144" s="59">
        <f ca="1">AVERAGE(OFFSET($AM$3,0,0,'Données projet'!$E$10+1,1))-AVERAGE(OFFSET($H$3,0,0,'Données projet'!$E$10+1,1))</f>
        <v>627.83896530587367</v>
      </c>
      <c r="AO144" s="59">
        <f t="shared" si="144"/>
        <v>323.54927030899489</v>
      </c>
      <c r="AP144" s="15">
        <f>IF(ISNA(VLOOKUP(A144,'Données projet'!$A$61:$I$81,3,0)),0,VLOOKUP(A144,'Données projet'!$A$61:$I$81,3,0))</f>
        <v>13</v>
      </c>
      <c r="AQ144" s="15">
        <f>IF(ISNA(VLOOKUP(A144,'Données projet'!$A$61:$I$81,4,0)),0,VLOOKUP(A144,'Données projet'!$A$61:$I$81,4,0))</f>
        <v>45</v>
      </c>
      <c r="AR144" s="16">
        <f>IF(ISNA(VLOOKUP(A144,'Données projet'!$A$61:$I$81,5,0)),0%,VLOOKUP(A144,'Données projet'!$A$61:$I$81,5,0)*VLOOKUP('Données projet'!$B$10,Paramètres!$A$1:$I$89,7,0))</f>
        <v>0.30099999999999999</v>
      </c>
      <c r="AS144" s="16">
        <f>IF(ISNA(VLOOKUP(A144,'Données projet'!$A$61:$I$81,6,0)),0%,VLOOKUP(A144,'Données projet'!$A$61:$I$81,6,0)*VLOOKUP('Données projet'!$B$10,Paramètres!$A$1:$I$89,7,0))</f>
        <v>4.3000000000000003E-2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58.728821434936066</v>
      </c>
      <c r="AV144" s="21">
        <f>EXP(-LN(2)/25)*AV143+(1-EXP(-LN(2)/25))/(LN(2)/25)*Calculateur!AQ144*Calculateur!AS144*VLOOKUP('Données projet'!$B$10,Paramètres!$A$1:$I$89,3,0)*0.475*44/12</f>
        <v>17.29423553058507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76.023056965521135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-2.8421709430404007E-13</v>
      </c>
      <c r="BE144" s="13">
        <f>BD144*VLOOKUP('Données projet'!$B$11,Paramètres!$A$1:$I$89,3,0)*VLOOKUP('Données projet'!$B$11,Paramètres!$A$1:$I$89,5,0)</f>
        <v>-2.7489477361086758E-13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508.3185483454435</v>
      </c>
      <c r="BJ144" s="59">
        <f t="shared" si="146"/>
        <v>487.08233034004945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43.91690319327396</v>
      </c>
      <c r="BQ144" s="21">
        <f>EXP(-LN(2)/25)*BQ143+(1-EXP(-LN(2)/25))/(LN(2)/25)*Calculateur!BL144*Calculateur!BN144*VLOOKUP('Données projet'!$B$11,Paramètres!$A$1:$I$89,3,0)*0.475*44/12</f>
        <v>0.91708480561665884</v>
      </c>
      <c r="BR144" s="21">
        <f>EXP(-LN(2)/2)*BR143+(1-EXP(-LN(2)/2))/(LN(2)/2)*BL144*BO144*VLOOKUP('Données projet'!$B$11,Paramètres!$A$1:$I$89,3,0)*0.475*44/12</f>
        <v>4.6161172377971625E-8</v>
      </c>
      <c r="BS144" s="22">
        <f t="shared" si="117"/>
        <v>44.83398804505179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-2.8421709430404007E-13</v>
      </c>
      <c r="BZ144" s="13">
        <f>BY144*VLOOKUP('Données projet'!$B$12,Paramètres!$A$1:$I$89,3,0)*VLOOKUP('Données projet'!$B$12,Paramètres!$A$1:$I$89,5,0)</f>
        <v>-2.3055690689943731E-13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436.50252985867149</v>
      </c>
      <c r="CE144" s="59">
        <f t="shared" si="148"/>
        <v>419.00806288456329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36.833531710487875</v>
      </c>
      <c r="CL144" s="21">
        <f>EXP(-LN(2)/25)*CL143+(1-EXP(-LN(2)/25))/(LN(2)/25)*Calculateur!CG144*Calculateur!CI144*VLOOKUP('Données projet'!$B$12,Paramètres!$A$1:$I$89,3,0)*0.475*44/12</f>
        <v>0.76916790148493963</v>
      </c>
      <c r="CM144" s="21">
        <f>EXP(-LN(2)/2)*CM143+(1-EXP(-LN(2)/2))/(LN(2)/2)*CG144*CJ144*VLOOKUP('Données projet'!$B$12,Paramètres!$A$1:$I$89,3,0)*0.475*44/12</f>
        <v>3.8715821994427897E-8</v>
      </c>
      <c r="CN144" s="22">
        <f t="shared" si="120"/>
        <v>37.602699650688642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-2.8421709430404007E-13</v>
      </c>
      <c r="CU144" s="17">
        <f>CT144*VLOOKUP('Données projet'!$B$13,Paramètres!$A$1:$I$89,3,0)*VLOOKUP('Données projet'!$B$13,Paramètres!$A$1:$I$89,5,0)</f>
        <v>-2.7489477361086758E-13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508.3185483454435</v>
      </c>
      <c r="CZ144" s="59">
        <f t="shared" si="150"/>
        <v>487.08233034004945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43.91690319327396</v>
      </c>
      <c r="DG144" s="21">
        <f>EXP(-LN(2)/25)*DG143+(1-EXP(-LN(2)/25))/(LN(2)/25)*Calculateur!DB144*Calculateur!DD144*VLOOKUP('Données projet'!$B$13,Paramètres!$A$1:$I$89,3,0)*0.475*44/12</f>
        <v>0.91708480561665884</v>
      </c>
      <c r="DH144" s="21">
        <f>EXP(-LN(2)/2)*DH143+(1-EXP(-LN(2)/2))/(LN(2)/2)*DB144*DE144*VLOOKUP('Données projet'!$B$13,Paramètres!$A$1:$I$89,3,0)*0.475*44/12</f>
        <v>4.6161172377971625E-8</v>
      </c>
      <c r="DI144" s="22">
        <f t="shared" si="123"/>
        <v>44.83398804505179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-2.8421709430404007E-13</v>
      </c>
      <c r="DP144" s="17">
        <f>DO144*VLOOKUP('Données projet'!$B$14,Paramètres!$A$1:$I$89,3,0)*VLOOKUP('Données projet'!$B$14,Paramètres!$A$1:$I$89,5,0)</f>
        <v>-2.7489477361086758E-13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508.3185483454435</v>
      </c>
      <c r="DU144" s="59">
        <f t="shared" si="152"/>
        <v>487.08233034004945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43.91690319327396</v>
      </c>
      <c r="EB144" s="21">
        <f>EXP(-LN(2)/25)*EB143+(1-EXP(-LN(2)/25))/(LN(2)/25)*Calculateur!DW144*Calculateur!DY144*VLOOKUP('Données projet'!$B$14,Paramètres!$A$1:$I$89,3,0)*0.475*44/12</f>
        <v>0.91708480561665884</v>
      </c>
      <c r="EC144" s="21">
        <f>EXP(-LN(2)/2)*EC143+(1-EXP(-LN(2)/2))/(LN(2)/2)*DW144*DZ144*VLOOKUP('Données projet'!$B$14,Paramètres!$A$1:$I$89,3,0)*0.475*44/12</f>
        <v>4.6161172377971625E-8</v>
      </c>
      <c r="ED144" s="22">
        <f t="shared" si="126"/>
        <v>44.83398804505179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7.083333333333333</v>
      </c>
      <c r="N145" s="13">
        <f>IF('Données projet'!$A$36&gt;35,N144+M145-V144,IF(A145&lt;'Données projet'!$A$36,$K$205^A145,IF(A145='Données projet'!$A$36,'Données projet'!$B$36,N144+M145-V144)))</f>
        <v>403.08333333333275</v>
      </c>
      <c r="O145" s="13">
        <f>N145*VLOOKUP('Données projet'!$B$9,Paramètres!$A$1:$I$89,3,0)*VLOOKUP('Données projet'!$B$9,Paramètres!$A$1:$I$89,5,0)</f>
        <v>364.70979999999946</v>
      </c>
      <c r="P145" s="13">
        <f t="shared" si="141"/>
        <v>84.584116408796319</v>
      </c>
      <c r="Q145" s="20">
        <f t="shared" si="108"/>
        <v>782.52023774531926</v>
      </c>
      <c r="R145" s="59">
        <f t="shared" si="109"/>
        <v>1068.2153952483784</v>
      </c>
      <c r="S145" s="59">
        <f ca="1">AVERAGE(OFFSET($R$3,0,0,'Données projet'!$E$9+1,1))-AVERAGE(OFFSET($H$3,0,0,'Données projet'!$E$9+1,1))</f>
        <v>569.49435820174267</v>
      </c>
      <c r="T145" s="59">
        <f t="shared" si="142"/>
        <v>295.37730858134739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51.376565137279663</v>
      </c>
      <c r="AA145" s="21">
        <f>EXP(-LN(2)/25)*AA144+(1-EXP(-LN(2)/25))/(LN(2)/25)*Calculateur!V145*Calculateur!X145*VLOOKUP('Données projet'!$B$9,Paramètres!$A$1:$I$89,3,0)*0.475*44/12</f>
        <v>15.009796577402152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66.386361714681811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7.083333333333333</v>
      </c>
      <c r="AI145" s="13">
        <f>IF('Données projet'!$A$62&gt;35,AI144+AH145-AQ144,IF(A145&lt;'Données projet'!$A$62,$AF$205^A145,IF(A145='Données projet'!$A$62,'Données projet'!$B$62,AI144+AH145-AQ144)))</f>
        <v>403.08333333333275</v>
      </c>
      <c r="AJ145" s="13">
        <f>AI145*VLOOKUP('Données projet'!$B$10,Paramètres!$A$1:$I$89,3,0)*VLOOKUP('Données projet'!$B$10,Paramètres!$A$1:$I$89,5,0)</f>
        <v>408.72649999999948</v>
      </c>
      <c r="AK145" s="13">
        <f t="shared" si="143"/>
        <v>93.54360088630294</v>
      </c>
      <c r="AL145" s="20">
        <f t="shared" si="112"/>
        <v>874.7870923769766</v>
      </c>
      <c r="AM145" s="59">
        <f t="shared" si="113"/>
        <v>1160.4822498800356</v>
      </c>
      <c r="AN145" s="59">
        <f ca="1">AVERAGE(OFFSET($AM$3,0,0,'Données projet'!$E$10+1,1))-AVERAGE(OFFSET($H$3,0,0,'Données projet'!$E$10+1,1))</f>
        <v>627.83896530587367</v>
      </c>
      <c r="AO145" s="59">
        <f t="shared" si="144"/>
        <v>323.54927030899489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57.577185067641011</v>
      </c>
      <c r="AV145" s="21">
        <f>EXP(-LN(2)/25)*AV144+(1-EXP(-LN(2)/25))/(LN(2)/25)*Calculateur!AQ145*Calculateur!AS145*VLOOKUP('Données projet'!$B$10,Paramètres!$A$1:$I$89,3,0)*0.475*44/12</f>
        <v>16.821323750536902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74.398508818177916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-2.8421709430404007E-13</v>
      </c>
      <c r="BE145" s="13">
        <f>BD145*VLOOKUP('Données projet'!$B$11,Paramètres!$A$1:$I$89,3,0)*VLOOKUP('Données projet'!$B$11,Paramètres!$A$1:$I$89,5,0)</f>
        <v>-2.7489477361086758E-13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508.3185483454435</v>
      </c>
      <c r="BJ145" s="59">
        <f t="shared" si="146"/>
        <v>487.08233034004945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43.055719508319839</v>
      </c>
      <c r="BQ145" s="21">
        <f>EXP(-LN(2)/25)*BQ144+(1-EXP(-LN(2)/25))/(LN(2)/25)*Calculateur!BL145*Calculateur!BN145*VLOOKUP('Données projet'!$B$11,Paramètres!$A$1:$I$89,3,0)*0.475*44/12</f>
        <v>0.89200707337967744</v>
      </c>
      <c r="BR145" s="21">
        <f>EXP(-LN(2)/2)*BR144+(1-EXP(-LN(2)/2))/(LN(2)/2)*BL145*BO145*VLOOKUP('Données projet'!$B$11,Paramètres!$A$1:$I$89,3,0)*0.475*44/12</f>
        <v>3.2640878015984883E-8</v>
      </c>
      <c r="BS145" s="22">
        <f t="shared" si="117"/>
        <v>43.947726614340397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-2.8421709430404007E-13</v>
      </c>
      <c r="BZ145" s="13">
        <f>BY145*VLOOKUP('Données projet'!$B$12,Paramètres!$A$1:$I$89,3,0)*VLOOKUP('Données projet'!$B$12,Paramètres!$A$1:$I$89,5,0)</f>
        <v>-2.3055690689943731E-13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436.50252985867149</v>
      </c>
      <c r="CE145" s="59">
        <f t="shared" si="148"/>
        <v>419.00806288456329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36.111248619881195</v>
      </c>
      <c r="CL145" s="21">
        <f>EXP(-LN(2)/25)*CL144+(1-EXP(-LN(2)/25))/(LN(2)/25)*Calculateur!CG145*Calculateur!CI145*VLOOKUP('Données projet'!$B$12,Paramètres!$A$1:$I$89,3,0)*0.475*44/12</f>
        <v>0.74813496477005192</v>
      </c>
      <c r="CM145" s="21">
        <f>EXP(-LN(2)/2)*CM144+(1-EXP(-LN(2)/2))/(LN(2)/2)*CG145*CJ145*VLOOKUP('Données projet'!$B$12,Paramètres!$A$1:$I$89,3,0)*0.475*44/12</f>
        <v>2.7376220271471251E-8</v>
      </c>
      <c r="CN145" s="22">
        <f t="shared" si="120"/>
        <v>36.859383612027464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-2.8421709430404007E-13</v>
      </c>
      <c r="CU145" s="17">
        <f>CT145*VLOOKUP('Données projet'!$B$13,Paramètres!$A$1:$I$89,3,0)*VLOOKUP('Données projet'!$B$13,Paramètres!$A$1:$I$89,5,0)</f>
        <v>-2.7489477361086758E-13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508.3185483454435</v>
      </c>
      <c r="CZ145" s="59">
        <f t="shared" si="150"/>
        <v>487.08233034004945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43.055719508319839</v>
      </c>
      <c r="DG145" s="21">
        <f>EXP(-LN(2)/25)*DG144+(1-EXP(-LN(2)/25))/(LN(2)/25)*Calculateur!DB145*Calculateur!DD145*VLOOKUP('Données projet'!$B$13,Paramètres!$A$1:$I$89,3,0)*0.475*44/12</f>
        <v>0.89200707337967744</v>
      </c>
      <c r="DH145" s="21">
        <f>EXP(-LN(2)/2)*DH144+(1-EXP(-LN(2)/2))/(LN(2)/2)*DB145*DE145*VLOOKUP('Données projet'!$B$13,Paramètres!$A$1:$I$89,3,0)*0.475*44/12</f>
        <v>3.2640878015984883E-8</v>
      </c>
      <c r="DI145" s="22">
        <f t="shared" si="123"/>
        <v>43.947726614340397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-2.8421709430404007E-13</v>
      </c>
      <c r="DP145" s="17">
        <f>DO145*VLOOKUP('Données projet'!$B$14,Paramètres!$A$1:$I$89,3,0)*VLOOKUP('Données projet'!$B$14,Paramètres!$A$1:$I$89,5,0)</f>
        <v>-2.7489477361086758E-13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508.3185483454435</v>
      </c>
      <c r="DU145" s="59">
        <f t="shared" si="152"/>
        <v>487.08233034004945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43.055719508319839</v>
      </c>
      <c r="EB145" s="21">
        <f>EXP(-LN(2)/25)*EB144+(1-EXP(-LN(2)/25))/(LN(2)/25)*Calculateur!DW145*Calculateur!DY145*VLOOKUP('Données projet'!$B$14,Paramètres!$A$1:$I$89,3,0)*0.475*44/12</f>
        <v>0.89200707337967744</v>
      </c>
      <c r="EC145" s="21">
        <f>EXP(-LN(2)/2)*EC144+(1-EXP(-LN(2)/2))/(LN(2)/2)*DW145*DZ145*VLOOKUP('Données projet'!$B$14,Paramètres!$A$1:$I$89,3,0)*0.475*44/12</f>
        <v>3.2640878015984883E-8</v>
      </c>
      <c r="ED145" s="22">
        <f t="shared" si="126"/>
        <v>43.947726614340397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7.083333333333333</v>
      </c>
      <c r="N146" s="13">
        <f>IF('Données projet'!$A$36&gt;35,N145+M146-V145,IF(A146&lt;'Données projet'!$A$36,$K$205^A146,IF(A146='Données projet'!$A$36,'Données projet'!$B$36,N145+M146-V145)))</f>
        <v>410.16666666666606</v>
      </c>
      <c r="O146" s="13">
        <f>N146*VLOOKUP('Données projet'!$B$9,Paramètres!$A$1:$I$89,3,0)*VLOOKUP('Données projet'!$B$9,Paramètres!$A$1:$I$89,5,0)</f>
        <v>371.11879999999945</v>
      </c>
      <c r="P146" s="13">
        <f t="shared" si="141"/>
        <v>85.896152691454517</v>
      </c>
      <c r="Q146" s="20">
        <f t="shared" si="108"/>
        <v>795.96770927094894</v>
      </c>
      <c r="R146" s="59">
        <f t="shared" si="109"/>
        <v>1081.7953720482603</v>
      </c>
      <c r="S146" s="59">
        <f ca="1">AVERAGE(OFFSET($R$3,0,0,'Données projet'!$E$9+1,1))-AVERAGE(OFFSET($H$3,0,0,'Données projet'!$E$9+1,1))</f>
        <v>569.49435820174267</v>
      </c>
      <c r="T146" s="59">
        <f t="shared" si="142"/>
        <v>295.37730858134739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50.36910203154811</v>
      </c>
      <c r="AA146" s="21">
        <f>EXP(-LN(2)/25)*AA145+(1-EXP(-LN(2)/25))/(LN(2)/25)*Calculateur!V146*Calculateur!X146*VLOOKUP('Données projet'!$B$9,Paramètres!$A$1:$I$89,3,0)*0.475*44/12</f>
        <v>14.599352900662193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64.968454932210307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7.083333333333333</v>
      </c>
      <c r="AI146" s="13">
        <f>IF('Données projet'!$A$62&gt;35,AI145+AH146-AQ145,IF(A146&lt;'Données projet'!$A$62,$AF$205^A146,IF(A146='Données projet'!$A$62,'Données projet'!$B$62,AI145+AH146-AQ145)))</f>
        <v>410.16666666666606</v>
      </c>
      <c r="AJ146" s="13">
        <f>AI146*VLOOKUP('Données projet'!$B$10,Paramètres!$A$1:$I$89,3,0)*VLOOKUP('Données projet'!$B$10,Paramètres!$A$1:$I$89,5,0)</f>
        <v>415.90899999999942</v>
      </c>
      <c r="AK146" s="13">
        <f t="shared" si="143"/>
        <v>94.994613246356053</v>
      </c>
      <c r="AL146" s="20">
        <f t="shared" si="112"/>
        <v>889.82379307073563</v>
      </c>
      <c r="AM146" s="59">
        <f t="shared" si="113"/>
        <v>1175.6514558480471</v>
      </c>
      <c r="AN146" s="59">
        <f ca="1">AVERAGE(OFFSET($AM$3,0,0,'Données projet'!$E$10+1,1))-AVERAGE(OFFSET($H$3,0,0,'Données projet'!$E$10+1,1))</f>
        <v>627.83896530587367</v>
      </c>
      <c r="AO146" s="59">
        <f t="shared" si="144"/>
        <v>323.54927030899489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56.448131587079786</v>
      </c>
      <c r="AV146" s="21">
        <f>EXP(-LN(2)/25)*AV145+(1-EXP(-LN(2)/25))/(LN(2)/25)*Calculateur!AQ146*Calculateur!AS146*VLOOKUP('Données projet'!$B$10,Paramètres!$A$1:$I$89,3,0)*0.475*44/12</f>
        <v>16.361343767983499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72.809475355063284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-2.8421709430404007E-13</v>
      </c>
      <c r="BE146" s="13">
        <f>BD146*VLOOKUP('Données projet'!$B$11,Paramètres!$A$1:$I$89,3,0)*VLOOKUP('Données projet'!$B$11,Paramètres!$A$1:$I$89,5,0)</f>
        <v>-2.7489477361086758E-13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508.3185483454435</v>
      </c>
      <c r="BJ146" s="59">
        <f t="shared" si="146"/>
        <v>487.08233034004945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42.21142311015749</v>
      </c>
      <c r="BQ146" s="21">
        <f>EXP(-LN(2)/25)*BQ145+(1-EXP(-LN(2)/25))/(LN(2)/25)*Calculateur!BL146*Calculateur!BN146*VLOOKUP('Données projet'!$B$11,Paramètres!$A$1:$I$89,3,0)*0.475*44/12</f>
        <v>0.86761509304949691</v>
      </c>
      <c r="BR146" s="21">
        <f>EXP(-LN(2)/2)*BR145+(1-EXP(-LN(2)/2))/(LN(2)/2)*BL146*BO146*VLOOKUP('Données projet'!$B$11,Paramètres!$A$1:$I$89,3,0)*0.475*44/12</f>
        <v>2.3080586188985813E-8</v>
      </c>
      <c r="BS146" s="22">
        <f t="shared" si="117"/>
        <v>43.079038226287572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-2.8421709430404007E-13</v>
      </c>
      <c r="BZ146" s="13">
        <f>BY146*VLOOKUP('Données projet'!$B$12,Paramètres!$A$1:$I$89,3,0)*VLOOKUP('Données projet'!$B$12,Paramètres!$A$1:$I$89,5,0)</f>
        <v>-2.3055690689943731E-13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436.50252985867149</v>
      </c>
      <c r="CE146" s="59">
        <f t="shared" si="148"/>
        <v>419.00806288456329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35.40312906013213</v>
      </c>
      <c r="CL146" s="21">
        <f>EXP(-LN(2)/25)*CL145+(1-EXP(-LN(2)/25))/(LN(2)/25)*Calculateur!CG146*Calculateur!CI146*VLOOKUP('Données projet'!$B$12,Paramètres!$A$1:$I$89,3,0)*0.475*44/12</f>
        <v>0.72767717481570693</v>
      </c>
      <c r="CM146" s="21">
        <f>EXP(-LN(2)/2)*CM145+(1-EXP(-LN(2)/2))/(LN(2)/2)*CG146*CJ146*VLOOKUP('Données projet'!$B$12,Paramètres!$A$1:$I$89,3,0)*0.475*44/12</f>
        <v>1.9357910997213948E-8</v>
      </c>
      <c r="CN146" s="22">
        <f t="shared" si="120"/>
        <v>36.130806254305753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-2.8421709430404007E-13</v>
      </c>
      <c r="CU146" s="17">
        <f>CT146*VLOOKUP('Données projet'!$B$13,Paramètres!$A$1:$I$89,3,0)*VLOOKUP('Données projet'!$B$13,Paramètres!$A$1:$I$89,5,0)</f>
        <v>-2.7489477361086758E-13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508.3185483454435</v>
      </c>
      <c r="CZ146" s="59">
        <f t="shared" si="150"/>
        <v>487.08233034004945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42.21142311015749</v>
      </c>
      <c r="DG146" s="21">
        <f>EXP(-LN(2)/25)*DG145+(1-EXP(-LN(2)/25))/(LN(2)/25)*Calculateur!DB146*Calculateur!DD146*VLOOKUP('Données projet'!$B$13,Paramètres!$A$1:$I$89,3,0)*0.475*44/12</f>
        <v>0.86761509304949691</v>
      </c>
      <c r="DH146" s="21">
        <f>EXP(-LN(2)/2)*DH145+(1-EXP(-LN(2)/2))/(LN(2)/2)*DB146*DE146*VLOOKUP('Données projet'!$B$13,Paramètres!$A$1:$I$89,3,0)*0.475*44/12</f>
        <v>2.3080586188985813E-8</v>
      </c>
      <c r="DI146" s="22">
        <f t="shared" si="123"/>
        <v>43.079038226287572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-2.8421709430404007E-13</v>
      </c>
      <c r="DP146" s="17">
        <f>DO146*VLOOKUP('Données projet'!$B$14,Paramètres!$A$1:$I$89,3,0)*VLOOKUP('Données projet'!$B$14,Paramètres!$A$1:$I$89,5,0)</f>
        <v>-2.7489477361086758E-13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508.3185483454435</v>
      </c>
      <c r="DU146" s="59">
        <f t="shared" si="152"/>
        <v>487.08233034004945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42.21142311015749</v>
      </c>
      <c r="EB146" s="21">
        <f>EXP(-LN(2)/25)*EB145+(1-EXP(-LN(2)/25))/(LN(2)/25)*Calculateur!DW146*Calculateur!DY146*VLOOKUP('Données projet'!$B$14,Paramètres!$A$1:$I$89,3,0)*0.475*44/12</f>
        <v>0.86761509304949691</v>
      </c>
      <c r="EC146" s="21">
        <f>EXP(-LN(2)/2)*EC145+(1-EXP(-LN(2)/2))/(LN(2)/2)*DW146*DZ146*VLOOKUP('Données projet'!$B$14,Paramètres!$A$1:$I$89,3,0)*0.475*44/12</f>
        <v>2.3080586188985813E-8</v>
      </c>
      <c r="ED146" s="22">
        <f t="shared" si="126"/>
        <v>43.079038226287572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7.083333333333333</v>
      </c>
      <c r="N147" s="13">
        <f>IF('Données projet'!$A$36&gt;35,N146+M147-V146,IF(A147&lt;'Données projet'!$A$36,$K$205^A147,IF(A147='Données projet'!$A$36,'Données projet'!$B$36,N146+M147-V146)))</f>
        <v>417.24999999999937</v>
      </c>
      <c r="O147" s="13">
        <f>N147*VLOOKUP('Données projet'!$B$9,Paramètres!$A$1:$I$89,3,0)*VLOOKUP('Données projet'!$B$9,Paramètres!$A$1:$I$89,5,0)</f>
        <v>377.52779999999944</v>
      </c>
      <c r="P147" s="13">
        <f t="shared" si="141"/>
        <v>87.205554083823728</v>
      </c>
      <c r="Q147" s="20">
        <f t="shared" si="108"/>
        <v>809.41059169599203</v>
      </c>
      <c r="R147" s="59">
        <f t="shared" si="109"/>
        <v>1095.3684610772848</v>
      </c>
      <c r="S147" s="59">
        <f ca="1">AVERAGE(OFFSET($R$3,0,0,'Données projet'!$E$9+1,1))-AVERAGE(OFFSET($H$3,0,0,'Données projet'!$E$9+1,1))</f>
        <v>569.49435820174267</v>
      </c>
      <c r="T147" s="59">
        <f t="shared" si="142"/>
        <v>295.37730858134739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49.381394662828136</v>
      </c>
      <c r="AA147" s="21">
        <f>EXP(-LN(2)/25)*AA146+(1-EXP(-LN(2)/25))/(LN(2)/25)*Calculateur!V147*Calculateur!X147*VLOOKUP('Données projet'!$B$9,Paramètres!$A$1:$I$89,3,0)*0.475*44/12</f>
        <v>14.200132827846984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63.581527490675121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7.083333333333333</v>
      </c>
      <c r="AI147" s="13">
        <f>IF('Données projet'!$A$62&gt;35,AI146+AH147-AQ146,IF(A147&lt;'Données projet'!$A$62,$AF$205^A147,IF(A147='Données projet'!$A$62,'Données projet'!$B$62,AI146+AH147-AQ146)))</f>
        <v>417.24999999999937</v>
      </c>
      <c r="AJ147" s="13">
        <f>AI147*VLOOKUP('Données projet'!$B$10,Paramètres!$A$1:$I$89,3,0)*VLOOKUP('Données projet'!$B$10,Paramètres!$A$1:$I$89,5,0)</f>
        <v>423.09149999999937</v>
      </c>
      <c r="AK147" s="13">
        <f t="shared" si="143"/>
        <v>96.442711618109087</v>
      </c>
      <c r="AL147" s="20">
        <f t="shared" si="112"/>
        <v>904.85541856820555</v>
      </c>
      <c r="AM147" s="59">
        <f t="shared" si="113"/>
        <v>1190.8132879494983</v>
      </c>
      <c r="AN147" s="59">
        <f ca="1">AVERAGE(OFFSET($AM$3,0,0,'Données projet'!$E$10+1,1))-AVERAGE(OFFSET($H$3,0,0,'Données projet'!$E$10+1,1))</f>
        <v>627.83896530587367</v>
      </c>
      <c r="AO147" s="59">
        <f t="shared" si="144"/>
        <v>323.54927030899489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55.341218156617742</v>
      </c>
      <c r="AV147" s="21">
        <f>EXP(-LN(2)/25)*AV146+(1-EXP(-LN(2)/25))/(LN(2)/25)*Calculateur!AQ147*Calculateur!AS147*VLOOKUP('Données projet'!$B$10,Paramètres!$A$1:$I$89,3,0)*0.475*44/12</f>
        <v>15.913941962242315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71.255160118860061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-2.8421709430404007E-13</v>
      </c>
      <c r="BE147" s="13">
        <f>BD147*VLOOKUP('Données projet'!$B$11,Paramètres!$A$1:$I$89,3,0)*VLOOKUP('Données projet'!$B$11,Paramètres!$A$1:$I$89,5,0)</f>
        <v>-2.7489477361086758E-13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508.3185483454435</v>
      </c>
      <c r="BJ147" s="59">
        <f t="shared" si="146"/>
        <v>487.08233034004945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41.383682849393153</v>
      </c>
      <c r="BQ147" s="21">
        <f>EXP(-LN(2)/25)*BQ146+(1-EXP(-LN(2)/25))/(LN(2)/25)*Calculateur!BL147*Calculateur!BN147*VLOOKUP('Données projet'!$B$11,Paramètres!$A$1:$I$89,3,0)*0.475*44/12</f>
        <v>0.84389011270416359</v>
      </c>
      <c r="BR147" s="21">
        <f>EXP(-LN(2)/2)*BR146+(1-EXP(-LN(2)/2))/(LN(2)/2)*BL147*BO147*VLOOKUP('Données projet'!$B$11,Paramètres!$A$1:$I$89,3,0)*0.475*44/12</f>
        <v>1.6320439007992442E-8</v>
      </c>
      <c r="BS147" s="22">
        <f t="shared" si="117"/>
        <v>42.227572978417761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-2.8421709430404007E-13</v>
      </c>
      <c r="BZ147" s="13">
        <f>BY147*VLOOKUP('Données projet'!$B$12,Paramètres!$A$1:$I$89,3,0)*VLOOKUP('Données projet'!$B$12,Paramètres!$A$1:$I$89,5,0)</f>
        <v>-2.3055690689943731E-13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436.50252985867149</v>
      </c>
      <c r="CE147" s="59">
        <f t="shared" si="148"/>
        <v>419.00806288456329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34.708895293039454</v>
      </c>
      <c r="CL147" s="21">
        <f>EXP(-LN(2)/25)*CL146+(1-EXP(-LN(2)/25))/(LN(2)/25)*Calculateur!CG147*Calculateur!CI147*VLOOKUP('Données projet'!$B$12,Paramètres!$A$1:$I$89,3,0)*0.475*44/12</f>
        <v>0.70777880420349193</v>
      </c>
      <c r="CM147" s="21">
        <f>EXP(-LN(2)/2)*CM146+(1-EXP(-LN(2)/2))/(LN(2)/2)*CG147*CJ147*VLOOKUP('Données projet'!$B$12,Paramètres!$A$1:$I$89,3,0)*0.475*44/12</f>
        <v>1.3688110135735625E-8</v>
      </c>
      <c r="CN147" s="22">
        <f t="shared" si="120"/>
        <v>35.416674110931055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-2.8421709430404007E-13</v>
      </c>
      <c r="CU147" s="17">
        <f>CT147*VLOOKUP('Données projet'!$B$13,Paramètres!$A$1:$I$89,3,0)*VLOOKUP('Données projet'!$B$13,Paramètres!$A$1:$I$89,5,0)</f>
        <v>-2.7489477361086758E-13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508.3185483454435</v>
      </c>
      <c r="CZ147" s="59">
        <f t="shared" si="150"/>
        <v>487.08233034004945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41.383682849393153</v>
      </c>
      <c r="DG147" s="21">
        <f>EXP(-LN(2)/25)*DG146+(1-EXP(-LN(2)/25))/(LN(2)/25)*Calculateur!DB147*Calculateur!DD147*VLOOKUP('Données projet'!$B$13,Paramètres!$A$1:$I$89,3,0)*0.475*44/12</f>
        <v>0.84389011270416359</v>
      </c>
      <c r="DH147" s="21">
        <f>EXP(-LN(2)/2)*DH146+(1-EXP(-LN(2)/2))/(LN(2)/2)*DB147*DE147*VLOOKUP('Données projet'!$B$13,Paramètres!$A$1:$I$89,3,0)*0.475*44/12</f>
        <v>1.6320439007992442E-8</v>
      </c>
      <c r="DI147" s="22">
        <f t="shared" si="123"/>
        <v>42.227572978417761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-2.8421709430404007E-13</v>
      </c>
      <c r="DP147" s="17">
        <f>DO147*VLOOKUP('Données projet'!$B$14,Paramètres!$A$1:$I$89,3,0)*VLOOKUP('Données projet'!$B$14,Paramètres!$A$1:$I$89,5,0)</f>
        <v>-2.7489477361086758E-13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508.3185483454435</v>
      </c>
      <c r="DU147" s="59">
        <f t="shared" si="152"/>
        <v>487.08233034004945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41.383682849393153</v>
      </c>
      <c r="EB147" s="21">
        <f>EXP(-LN(2)/25)*EB146+(1-EXP(-LN(2)/25))/(LN(2)/25)*Calculateur!DW147*Calculateur!DY147*VLOOKUP('Données projet'!$B$14,Paramètres!$A$1:$I$89,3,0)*0.475*44/12</f>
        <v>0.84389011270416359</v>
      </c>
      <c r="EC147" s="21">
        <f>EXP(-LN(2)/2)*EC146+(1-EXP(-LN(2)/2))/(LN(2)/2)*DW147*DZ147*VLOOKUP('Données projet'!$B$14,Paramètres!$A$1:$I$89,3,0)*0.475*44/12</f>
        <v>1.6320439007992442E-8</v>
      </c>
      <c r="ED147" s="22">
        <f t="shared" si="126"/>
        <v>42.227572978417761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7.083333333333333</v>
      </c>
      <c r="N148" s="13">
        <f>IF('Données projet'!$A$36&gt;35,N147+M148-V147,IF(A148&lt;'Données projet'!$A$36,$K$205^A148,IF(A148='Données projet'!$A$36,'Données projet'!$B$36,N147+M148-V147)))</f>
        <v>424.33333333333269</v>
      </c>
      <c r="O148" s="13">
        <f>N148*VLOOKUP('Données projet'!$B$9,Paramètres!$A$1:$I$89,3,0)*VLOOKUP('Données projet'!$B$9,Paramètres!$A$1:$I$89,5,0)</f>
        <v>383.93679999999944</v>
      </c>
      <c r="P148" s="13">
        <f t="shared" si="141"/>
        <v>88.512370478571057</v>
      </c>
      <c r="Q148" s="20">
        <f t="shared" si="108"/>
        <v>822.84897191684365</v>
      </c>
      <c r="R148" s="59">
        <f t="shared" si="109"/>
        <v>1108.9347891086372</v>
      </c>
      <c r="S148" s="59">
        <f ca="1">AVERAGE(OFFSET($R$3,0,0,'Données projet'!$E$9+1,1))-AVERAGE(OFFSET($H$3,0,0,'Données projet'!$E$9+1,1))</f>
        <v>569.49435820174267</v>
      </c>
      <c r="T148" s="59">
        <f t="shared" si="142"/>
        <v>295.37730858134739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48.413055633166749</v>
      </c>
      <c r="AA148" s="21">
        <f>EXP(-LN(2)/25)*AA147+(1-EXP(-LN(2)/25))/(LN(2)/25)*Calculateur!V148*Calculateur!X148*VLOOKUP('Données projet'!$B$9,Paramètres!$A$1:$I$89,3,0)*0.475*44/12</f>
        <v>13.811829448916978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62.22488508208373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7.083333333333333</v>
      </c>
      <c r="AI148" s="13">
        <f>IF('Données projet'!$A$62&gt;35,AI147+AH148-AQ147,IF(A148&lt;'Données projet'!$A$62,$AF$205^A148,IF(A148='Données projet'!$A$62,'Données projet'!$B$62,AI147+AH148-AQ147)))</f>
        <v>424.33333333333269</v>
      </c>
      <c r="AJ148" s="13">
        <f>AI148*VLOOKUP('Données projet'!$B$10,Paramètres!$A$1:$I$89,3,0)*VLOOKUP('Données projet'!$B$10,Paramètres!$A$1:$I$89,5,0)</f>
        <v>430.27399999999938</v>
      </c>
      <c r="AK148" s="13">
        <f t="shared" si="143"/>
        <v>97.887951179058334</v>
      </c>
      <c r="AL148" s="20">
        <f t="shared" si="112"/>
        <v>919.88206497019212</v>
      </c>
      <c r="AM148" s="59">
        <f t="shared" si="113"/>
        <v>1205.9678821619857</v>
      </c>
      <c r="AN148" s="59">
        <f ca="1">AVERAGE(OFFSET($AM$3,0,0,'Données projet'!$E$10+1,1))-AVERAGE(OFFSET($H$3,0,0,'Données projet'!$E$10+1,1))</f>
        <v>627.83896530587367</v>
      </c>
      <c r="AO148" s="59">
        <f t="shared" si="144"/>
        <v>323.54927030899489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54.256010623376532</v>
      </c>
      <c r="AV148" s="21">
        <f>EXP(-LN(2)/25)*AV147+(1-EXP(-LN(2)/25))/(LN(2)/25)*Calculateur!AQ148*Calculateur!AS148*VLOOKUP('Données projet'!$B$10,Paramètres!$A$1:$I$89,3,0)*0.475*44/12</f>
        <v>15.478774382406963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69.734785005783493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-2.8421709430404007E-13</v>
      </c>
      <c r="BE148" s="13">
        <f>BD148*VLOOKUP('Données projet'!$B$11,Paramètres!$A$1:$I$89,3,0)*VLOOKUP('Données projet'!$B$11,Paramètres!$A$1:$I$89,5,0)</f>
        <v>-2.7489477361086758E-13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508.3185483454435</v>
      </c>
      <c r="BJ148" s="59">
        <f t="shared" si="146"/>
        <v>487.08233034004945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40.572174070270698</v>
      </c>
      <c r="BQ148" s="21">
        <f>EXP(-LN(2)/25)*BQ147+(1-EXP(-LN(2)/25))/(LN(2)/25)*Calculateur!BL148*Calculateur!BN148*VLOOKUP('Données projet'!$B$11,Paramètres!$A$1:$I$89,3,0)*0.475*44/12</f>
        <v>0.82081389319401599</v>
      </c>
      <c r="BR148" s="21">
        <f>EXP(-LN(2)/2)*BR147+(1-EXP(-LN(2)/2))/(LN(2)/2)*BL148*BO148*VLOOKUP('Données projet'!$B$11,Paramètres!$A$1:$I$89,3,0)*0.475*44/12</f>
        <v>1.1540293094492906E-8</v>
      </c>
      <c r="BS148" s="22">
        <f t="shared" si="117"/>
        <v>41.392987975005006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-2.8421709430404007E-13</v>
      </c>
      <c r="BZ148" s="13">
        <f>BY148*VLOOKUP('Données projet'!$B$12,Paramètres!$A$1:$I$89,3,0)*VLOOKUP('Données projet'!$B$12,Paramètres!$A$1:$I$89,5,0)</f>
        <v>-2.3055690689943731E-13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436.50252985867149</v>
      </c>
      <c r="CE148" s="59">
        <f t="shared" si="148"/>
        <v>419.00806288456329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34.028275026678685</v>
      </c>
      <c r="CL148" s="21">
        <f>EXP(-LN(2)/25)*CL147+(1-EXP(-LN(2)/25))/(LN(2)/25)*Calculateur!CG148*Calculateur!CI148*VLOOKUP('Données projet'!$B$12,Paramètres!$A$1:$I$89,3,0)*0.475*44/12</f>
        <v>0.68842455558207782</v>
      </c>
      <c r="CM148" s="21">
        <f>EXP(-LN(2)/2)*CM147+(1-EXP(-LN(2)/2))/(LN(2)/2)*CG148*CJ148*VLOOKUP('Données projet'!$B$12,Paramètres!$A$1:$I$89,3,0)*0.475*44/12</f>
        <v>9.6789554986069741E-9</v>
      </c>
      <c r="CN148" s="22">
        <f t="shared" si="120"/>
        <v>34.716699591939722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-2.8421709430404007E-13</v>
      </c>
      <c r="CU148" s="17">
        <f>CT148*VLOOKUP('Données projet'!$B$13,Paramètres!$A$1:$I$89,3,0)*VLOOKUP('Données projet'!$B$13,Paramètres!$A$1:$I$89,5,0)</f>
        <v>-2.7489477361086758E-13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508.3185483454435</v>
      </c>
      <c r="CZ148" s="59">
        <f t="shared" si="150"/>
        <v>487.08233034004945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40.572174070270698</v>
      </c>
      <c r="DG148" s="21">
        <f>EXP(-LN(2)/25)*DG147+(1-EXP(-LN(2)/25))/(LN(2)/25)*Calculateur!DB148*Calculateur!DD148*VLOOKUP('Données projet'!$B$13,Paramètres!$A$1:$I$89,3,0)*0.475*44/12</f>
        <v>0.82081389319401599</v>
      </c>
      <c r="DH148" s="21">
        <f>EXP(-LN(2)/2)*DH147+(1-EXP(-LN(2)/2))/(LN(2)/2)*DB148*DE148*VLOOKUP('Données projet'!$B$13,Paramètres!$A$1:$I$89,3,0)*0.475*44/12</f>
        <v>1.1540293094492906E-8</v>
      </c>
      <c r="DI148" s="22">
        <f t="shared" si="123"/>
        <v>41.392987975005006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-2.8421709430404007E-13</v>
      </c>
      <c r="DP148" s="17">
        <f>DO148*VLOOKUP('Données projet'!$B$14,Paramètres!$A$1:$I$89,3,0)*VLOOKUP('Données projet'!$B$14,Paramètres!$A$1:$I$89,5,0)</f>
        <v>-2.7489477361086758E-13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508.3185483454435</v>
      </c>
      <c r="DU148" s="59">
        <f t="shared" si="152"/>
        <v>487.08233034004945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40.572174070270698</v>
      </c>
      <c r="EB148" s="21">
        <f>EXP(-LN(2)/25)*EB147+(1-EXP(-LN(2)/25))/(LN(2)/25)*Calculateur!DW148*Calculateur!DY148*VLOOKUP('Données projet'!$B$14,Paramètres!$A$1:$I$89,3,0)*0.475*44/12</f>
        <v>0.82081389319401599</v>
      </c>
      <c r="EC148" s="21">
        <f>EXP(-LN(2)/2)*EC147+(1-EXP(-LN(2)/2))/(LN(2)/2)*DW148*DZ148*VLOOKUP('Données projet'!$B$14,Paramètres!$A$1:$I$89,3,0)*0.475*44/12</f>
        <v>1.1540293094492906E-8</v>
      </c>
      <c r="ED148" s="22">
        <f t="shared" si="126"/>
        <v>41.392987975005006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7.083333333333333</v>
      </c>
      <c r="N149" s="13">
        <f>IF('Données projet'!$A$36&gt;35,N148+M149-V148,IF(A149&lt;'Données projet'!$A$36,$K$205^A149,IF(A149='Données projet'!$A$36,'Données projet'!$B$36,N148+M149-V148)))</f>
        <v>431.416666666666</v>
      </c>
      <c r="O149" s="13">
        <f>N149*VLOOKUP('Données projet'!$B$9,Paramètres!$A$1:$I$89,3,0)*VLOOKUP('Données projet'!$B$9,Paramètres!$A$1:$I$89,5,0)</f>
        <v>390.34579999999937</v>
      </c>
      <c r="P149" s="13">
        <f t="shared" si="141"/>
        <v>89.816650007185274</v>
      </c>
      <c r="Q149" s="20">
        <f t="shared" si="108"/>
        <v>836.28293376251315</v>
      </c>
      <c r="R149" s="59">
        <f t="shared" si="109"/>
        <v>1122.4944791563439</v>
      </c>
      <c r="S149" s="59">
        <f ca="1">AVERAGE(OFFSET($R$3,0,0,'Données projet'!$E$9+1,1))-AVERAGE(OFFSET($H$3,0,0,'Données projet'!$E$9+1,1))</f>
        <v>569.49435820174267</v>
      </c>
      <c r="T149" s="59">
        <f t="shared" si="142"/>
        <v>295.37730858134739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47.463705141248532</v>
      </c>
      <c r="AA149" s="21">
        <f>EXP(-LN(2)/25)*AA148+(1-EXP(-LN(2)/25))/(LN(2)/25)*Calculateur!V149*Calculateur!X149*VLOOKUP('Données projet'!$B$9,Paramètres!$A$1:$I$89,3,0)*0.475*44/12</f>
        <v>13.4341442463038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60.897849387552334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7.083333333333333</v>
      </c>
      <c r="AI149" s="13">
        <f>IF('Données projet'!$A$62&gt;35,AI148+AH149-AQ148,IF(A149&lt;'Données projet'!$A$62,$AF$205^A149,IF(A149='Données projet'!$A$62,'Données projet'!$B$62,AI148+AH149-AQ148)))</f>
        <v>431.416666666666</v>
      </c>
      <c r="AJ149" s="13">
        <f>AI149*VLOOKUP('Données projet'!$B$10,Paramètres!$A$1:$I$89,3,0)*VLOOKUP('Données projet'!$B$10,Paramètres!$A$1:$I$89,5,0)</f>
        <v>437.45649999999932</v>
      </c>
      <c r="AK149" s="13">
        <f t="shared" si="143"/>
        <v>99.33038515897006</v>
      </c>
      <c r="AL149" s="20">
        <f t="shared" si="112"/>
        <v>934.90382498520512</v>
      </c>
      <c r="AM149" s="59">
        <f t="shared" si="113"/>
        <v>1221.1153703790358</v>
      </c>
      <c r="AN149" s="59">
        <f ca="1">AVERAGE(OFFSET($AM$3,0,0,'Données projet'!$E$10+1,1))-AVERAGE(OFFSET($H$3,0,0,'Données projet'!$E$10+1,1))</f>
        <v>627.83896530587367</v>
      </c>
      <c r="AO149" s="59">
        <f t="shared" si="144"/>
        <v>323.54927030899489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53.192083347950948</v>
      </c>
      <c r="AV149" s="21">
        <f>EXP(-LN(2)/25)*AV148+(1-EXP(-LN(2)/25))/(LN(2)/25)*Calculateur!AQ149*Calculateur!AS149*VLOOKUP('Données projet'!$B$10,Paramètres!$A$1:$I$89,3,0)*0.475*44/12</f>
        <v>15.055506482926676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68.247589830877629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-2.8421709430404007E-13</v>
      </c>
      <c r="BE149" s="13">
        <f>BD149*VLOOKUP('Données projet'!$B$11,Paramètres!$A$1:$I$89,3,0)*VLOOKUP('Données projet'!$B$11,Paramètres!$A$1:$I$89,5,0)</f>
        <v>-2.7489477361086758E-13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508.3185483454435</v>
      </c>
      <c r="BJ149" s="59">
        <f t="shared" si="146"/>
        <v>487.08233034004945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39.776578483335349</v>
      </c>
      <c r="BQ149" s="21">
        <f>EXP(-LN(2)/25)*BQ148+(1-EXP(-LN(2)/25))/(LN(2)/25)*Calculateur!BL149*Calculateur!BN149*VLOOKUP('Données projet'!$B$11,Paramètres!$A$1:$I$89,3,0)*0.475*44/12</f>
        <v>0.79836869411989897</v>
      </c>
      <c r="BR149" s="21">
        <f>EXP(-LN(2)/2)*BR148+(1-EXP(-LN(2)/2))/(LN(2)/2)*BL149*BO149*VLOOKUP('Données projet'!$B$11,Paramètres!$A$1:$I$89,3,0)*0.475*44/12</f>
        <v>8.1602195039962208E-9</v>
      </c>
      <c r="BS149" s="22">
        <f t="shared" si="117"/>
        <v>40.574947185615471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-2.8421709430404007E-13</v>
      </c>
      <c r="BZ149" s="13">
        <f>BY149*VLOOKUP('Données projet'!$B$12,Paramètres!$A$1:$I$89,3,0)*VLOOKUP('Données projet'!$B$12,Paramètres!$A$1:$I$89,5,0)</f>
        <v>-2.3055690689943731E-13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436.50252985867149</v>
      </c>
      <c r="CE149" s="59">
        <f t="shared" si="148"/>
        <v>419.00806288456329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33.361001308603875</v>
      </c>
      <c r="CL149" s="21">
        <f>EXP(-LN(2)/25)*CL148+(1-EXP(-LN(2)/25))/(LN(2)/25)*Calculateur!CG149*Calculateur!CI149*VLOOKUP('Données projet'!$B$12,Paramètres!$A$1:$I$89,3,0)*0.475*44/12</f>
        <v>0.66959954990701198</v>
      </c>
      <c r="CM149" s="21">
        <f>EXP(-LN(2)/2)*CM148+(1-EXP(-LN(2)/2))/(LN(2)/2)*CG149*CJ149*VLOOKUP('Données projet'!$B$12,Paramètres!$A$1:$I$89,3,0)*0.475*44/12</f>
        <v>6.8440550678678127E-9</v>
      </c>
      <c r="CN149" s="22">
        <f t="shared" si="120"/>
        <v>34.030600865354941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-2.8421709430404007E-13</v>
      </c>
      <c r="CU149" s="17">
        <f>CT149*VLOOKUP('Données projet'!$B$13,Paramètres!$A$1:$I$89,3,0)*VLOOKUP('Données projet'!$B$13,Paramètres!$A$1:$I$89,5,0)</f>
        <v>-2.7489477361086758E-13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508.3185483454435</v>
      </c>
      <c r="CZ149" s="59">
        <f t="shared" si="150"/>
        <v>487.08233034004945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39.776578483335349</v>
      </c>
      <c r="DG149" s="21">
        <f>EXP(-LN(2)/25)*DG148+(1-EXP(-LN(2)/25))/(LN(2)/25)*Calculateur!DB149*Calculateur!DD149*VLOOKUP('Données projet'!$B$13,Paramètres!$A$1:$I$89,3,0)*0.475*44/12</f>
        <v>0.79836869411989897</v>
      </c>
      <c r="DH149" s="21">
        <f>EXP(-LN(2)/2)*DH148+(1-EXP(-LN(2)/2))/(LN(2)/2)*DB149*DE149*VLOOKUP('Données projet'!$B$13,Paramètres!$A$1:$I$89,3,0)*0.475*44/12</f>
        <v>8.1602195039962208E-9</v>
      </c>
      <c r="DI149" s="22">
        <f t="shared" si="123"/>
        <v>40.574947185615471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-2.8421709430404007E-13</v>
      </c>
      <c r="DP149" s="17">
        <f>DO149*VLOOKUP('Données projet'!$B$14,Paramètres!$A$1:$I$89,3,0)*VLOOKUP('Données projet'!$B$14,Paramètres!$A$1:$I$89,5,0)</f>
        <v>-2.7489477361086758E-13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508.3185483454435</v>
      </c>
      <c r="DU149" s="59">
        <f t="shared" si="152"/>
        <v>487.08233034004945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39.776578483335349</v>
      </c>
      <c r="EB149" s="21">
        <f>EXP(-LN(2)/25)*EB148+(1-EXP(-LN(2)/25))/(LN(2)/25)*Calculateur!DW149*Calculateur!DY149*VLOOKUP('Données projet'!$B$14,Paramètres!$A$1:$I$89,3,0)*0.475*44/12</f>
        <v>0.79836869411989897</v>
      </c>
      <c r="EC149" s="21">
        <f>EXP(-LN(2)/2)*EC148+(1-EXP(-LN(2)/2))/(LN(2)/2)*DW149*DZ149*VLOOKUP('Données projet'!$B$14,Paramètres!$A$1:$I$89,3,0)*0.475*44/12</f>
        <v>8.1602195039962208E-9</v>
      </c>
      <c r="ED149" s="22">
        <f t="shared" si="126"/>
        <v>40.574947185615471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7.083333333333333</v>
      </c>
      <c r="N150" s="13">
        <f>IF('Données projet'!$A$36&gt;35,N149+M150-V149,IF(A150&lt;'Données projet'!$A$36,$K$205^A150,IF(A150='Données projet'!$A$36,'Données projet'!$B$36,N149+M150-V149)))</f>
        <v>438.49999999999932</v>
      </c>
      <c r="O150" s="13">
        <f>N150*VLOOKUP('Données projet'!$B$9,Paramètres!$A$1:$I$89,3,0)*VLOOKUP('Données projet'!$B$9,Paramètres!$A$1:$I$89,5,0)</f>
        <v>396.75479999999936</v>
      </c>
      <c r="P150" s="13">
        <f t="shared" si="141"/>
        <v>91.118439130021159</v>
      </c>
      <c r="Q150" s="20">
        <f t="shared" si="108"/>
        <v>849.71255815145241</v>
      </c>
      <c r="R150" s="59">
        <f t="shared" si="109"/>
        <v>1136.0476506441009</v>
      </c>
      <c r="S150" s="59">
        <f ca="1">AVERAGE(OFFSET($R$3,0,0,'Données projet'!$E$9+1,1))-AVERAGE(OFFSET($H$3,0,0,'Données projet'!$E$9+1,1))</f>
        <v>569.49435820174267</v>
      </c>
      <c r="T150" s="59">
        <f t="shared" si="142"/>
        <v>295.37730858134739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46.532970833430213</v>
      </c>
      <c r="AA150" s="21">
        <f>EXP(-LN(2)/25)*AA149+(1-EXP(-LN(2)/25))/(LN(2)/25)*Calculateur!V150*Calculateur!X150*VLOOKUP('Données projet'!$B$9,Paramètres!$A$1:$I$89,3,0)*0.475*44/12</f>
        <v>13.066786865417681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59.599757698847895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7.083333333333333</v>
      </c>
      <c r="AI150" s="13">
        <f>IF('Données projet'!$A$62&gt;35,AI149+AH150-AQ149,IF(A150&lt;'Données projet'!$A$62,$AF$205^A150,IF(A150='Données projet'!$A$62,'Données projet'!$B$62,AI149+AH150-AQ149)))</f>
        <v>438.49999999999932</v>
      </c>
      <c r="AJ150" s="13">
        <f>AI150*VLOOKUP('Données projet'!$B$10,Paramètres!$A$1:$I$89,3,0)*VLOOKUP('Données projet'!$B$10,Paramètres!$A$1:$I$89,5,0)</f>
        <v>444.63899999999938</v>
      </c>
      <c r="AK150" s="13">
        <f t="shared" si="143"/>
        <v>100.77006493946399</v>
      </c>
      <c r="AL150" s="20">
        <f t="shared" si="112"/>
        <v>949.92078810289877</v>
      </c>
      <c r="AM150" s="59">
        <f t="shared" si="113"/>
        <v>1236.2558805955473</v>
      </c>
      <c r="AN150" s="59">
        <f ca="1">AVERAGE(OFFSET($AM$3,0,0,'Données projet'!$E$10+1,1))-AVERAGE(OFFSET($H$3,0,0,'Données projet'!$E$10+1,1))</f>
        <v>627.83896530587367</v>
      </c>
      <c r="AO150" s="59">
        <f t="shared" si="144"/>
        <v>323.54927030899489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52.149019037464896</v>
      </c>
      <c r="AV150" s="21">
        <f>EXP(-LN(2)/25)*AV149+(1-EXP(-LN(2)/25))/(LN(2)/25)*Calculateur!AQ150*Calculateur!AS150*VLOOKUP('Données projet'!$B$10,Paramètres!$A$1:$I$89,3,0)*0.475*44/12</f>
        <v>14.64381286641637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66.792831903881265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-2.8421709430404007E-13</v>
      </c>
      <c r="BE150" s="13">
        <f>BD150*VLOOKUP('Données projet'!$B$11,Paramètres!$A$1:$I$89,3,0)*VLOOKUP('Données projet'!$B$11,Paramètres!$A$1:$I$89,5,0)</f>
        <v>-2.7489477361086758E-13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508.3185483454435</v>
      </c>
      <c r="BJ150" s="59">
        <f t="shared" si="146"/>
        <v>487.08233034004945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38.996584040594414</v>
      </c>
      <c r="BQ150" s="21">
        <f>EXP(-LN(2)/25)*BQ149+(1-EXP(-LN(2)/25))/(LN(2)/25)*Calculateur!BL150*Calculateur!BN150*VLOOKUP('Données projet'!$B$11,Paramètres!$A$1:$I$89,3,0)*0.475*44/12</f>
        <v>0.7765372601948054</v>
      </c>
      <c r="BR150" s="21">
        <f>EXP(-LN(2)/2)*BR149+(1-EXP(-LN(2)/2))/(LN(2)/2)*BL150*BO150*VLOOKUP('Données projet'!$B$11,Paramètres!$A$1:$I$89,3,0)*0.475*44/12</f>
        <v>5.7701465472464532E-9</v>
      </c>
      <c r="BS150" s="22">
        <f t="shared" si="117"/>
        <v>39.773121306559368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-2.8421709430404007E-13</v>
      </c>
      <c r="BZ150" s="13">
        <f>BY150*VLOOKUP('Données projet'!$B$12,Paramètres!$A$1:$I$89,3,0)*VLOOKUP('Données projet'!$B$12,Paramètres!$A$1:$I$89,5,0)</f>
        <v>-2.3055690689943731E-13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436.50252985867149</v>
      </c>
      <c r="CE150" s="59">
        <f t="shared" si="148"/>
        <v>419.00806288456329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32.706812421143731</v>
      </c>
      <c r="CL150" s="21">
        <f>EXP(-LN(2)/25)*CL149+(1-EXP(-LN(2)/25))/(LN(2)/25)*Calculateur!CG150*Calculateur!CI150*VLOOKUP('Données projet'!$B$12,Paramètres!$A$1:$I$89,3,0)*0.475*44/12</f>
        <v>0.65128931500209475</v>
      </c>
      <c r="CM150" s="21">
        <f>EXP(-LN(2)/2)*CM149+(1-EXP(-LN(2)/2))/(LN(2)/2)*CG150*CJ150*VLOOKUP('Données projet'!$B$12,Paramètres!$A$1:$I$89,3,0)*0.475*44/12</f>
        <v>4.8394777493034871E-9</v>
      </c>
      <c r="CN150" s="22">
        <f t="shared" si="120"/>
        <v>33.358101740985305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-2.8421709430404007E-13</v>
      </c>
      <c r="CU150" s="17">
        <f>CT150*VLOOKUP('Données projet'!$B$13,Paramètres!$A$1:$I$89,3,0)*VLOOKUP('Données projet'!$B$13,Paramètres!$A$1:$I$89,5,0)</f>
        <v>-2.7489477361086758E-13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508.3185483454435</v>
      </c>
      <c r="CZ150" s="59">
        <f t="shared" si="150"/>
        <v>487.08233034004945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38.996584040594414</v>
      </c>
      <c r="DG150" s="21">
        <f>EXP(-LN(2)/25)*DG149+(1-EXP(-LN(2)/25))/(LN(2)/25)*Calculateur!DB150*Calculateur!DD150*VLOOKUP('Données projet'!$B$13,Paramètres!$A$1:$I$89,3,0)*0.475*44/12</f>
        <v>0.7765372601948054</v>
      </c>
      <c r="DH150" s="21">
        <f>EXP(-LN(2)/2)*DH149+(1-EXP(-LN(2)/2))/(LN(2)/2)*DB150*DE150*VLOOKUP('Données projet'!$B$13,Paramètres!$A$1:$I$89,3,0)*0.475*44/12</f>
        <v>5.7701465472464532E-9</v>
      </c>
      <c r="DI150" s="22">
        <f t="shared" si="123"/>
        <v>39.773121306559368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-2.8421709430404007E-13</v>
      </c>
      <c r="DP150" s="17">
        <f>DO150*VLOOKUP('Données projet'!$B$14,Paramètres!$A$1:$I$89,3,0)*VLOOKUP('Données projet'!$B$14,Paramètres!$A$1:$I$89,5,0)</f>
        <v>-2.7489477361086758E-13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508.3185483454435</v>
      </c>
      <c r="DU150" s="59">
        <f t="shared" si="152"/>
        <v>487.08233034004945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38.996584040594414</v>
      </c>
      <c r="EB150" s="21">
        <f>EXP(-LN(2)/25)*EB149+(1-EXP(-LN(2)/25))/(LN(2)/25)*Calculateur!DW150*Calculateur!DY150*VLOOKUP('Données projet'!$B$14,Paramètres!$A$1:$I$89,3,0)*0.475*44/12</f>
        <v>0.7765372601948054</v>
      </c>
      <c r="EC150" s="21">
        <f>EXP(-LN(2)/2)*EC149+(1-EXP(-LN(2)/2))/(LN(2)/2)*DW150*DZ150*VLOOKUP('Données projet'!$B$14,Paramètres!$A$1:$I$89,3,0)*0.475*44/12</f>
        <v>5.7701465472464532E-9</v>
      </c>
      <c r="ED150" s="22">
        <f t="shared" si="126"/>
        <v>39.773121306559368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7.083333333333333</v>
      </c>
      <c r="N151" s="13">
        <f>IF('Données projet'!$A$36&gt;35,N150+M151-V150,IF(A151&lt;'Données projet'!$A$36,$K$205^A151,IF(A151='Données projet'!$A$36,'Données projet'!$B$36,N150+M151-V150)))</f>
        <v>445.58333333333263</v>
      </c>
      <c r="O151" s="13">
        <f>N151*VLOOKUP('Données projet'!$B$9,Paramètres!$A$1:$I$89,3,0)*VLOOKUP('Données projet'!$B$9,Paramètres!$A$1:$I$89,5,0)</f>
        <v>403.16379999999941</v>
      </c>
      <c r="P151" s="13">
        <f t="shared" si="141"/>
        <v>92.417782720361771</v>
      </c>
      <c r="Q151" s="20">
        <f t="shared" si="108"/>
        <v>863.13792323796235</v>
      </c>
      <c r="R151" s="59">
        <f t="shared" si="109"/>
        <v>1149.594419563474</v>
      </c>
      <c r="S151" s="59">
        <f ca="1">AVERAGE(OFFSET($R$3,0,0,'Données projet'!$E$9+1,1))-AVERAGE(OFFSET($H$3,0,0,'Données projet'!$E$9+1,1))</f>
        <v>569.49435820174267</v>
      </c>
      <c r="T151" s="59">
        <f t="shared" si="142"/>
        <v>295.37730858134739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45.620487657696337</v>
      </c>
      <c r="AA151" s="21">
        <f>EXP(-LN(2)/25)*AA150+(1-EXP(-LN(2)/25))/(LN(2)/25)*Calculateur!V151*Calculateur!X151*VLOOKUP('Données projet'!$B$9,Paramètres!$A$1:$I$89,3,0)*0.475*44/12</f>
        <v>12.709474891430379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58.329962549126719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7.083333333333333</v>
      </c>
      <c r="AI151" s="13">
        <f>IF('Données projet'!$A$62&gt;35,AI150+AH151-AQ150,IF(A151&lt;'Données projet'!$A$62,$AF$205^A151,IF(A151='Données projet'!$A$62,'Données projet'!$B$62,AI150+AH151-AQ150)))</f>
        <v>445.58333333333263</v>
      </c>
      <c r="AJ151" s="13">
        <f>AI151*VLOOKUP('Données projet'!$B$10,Paramètres!$A$1:$I$89,3,0)*VLOOKUP('Données projet'!$B$10,Paramètres!$A$1:$I$89,5,0)</f>
        <v>451.82149999999928</v>
      </c>
      <c r="AK151" s="13">
        <f t="shared" si="143"/>
        <v>102.20704014697904</v>
      </c>
      <c r="AL151" s="20">
        <f t="shared" si="112"/>
        <v>964.93304075598735</v>
      </c>
      <c r="AM151" s="59">
        <f t="shared" si="113"/>
        <v>1251.3895370814989</v>
      </c>
      <c r="AN151" s="59">
        <f ca="1">AVERAGE(OFFSET($AM$3,0,0,'Données projet'!$E$10+1,1))-AVERAGE(OFFSET($H$3,0,0,'Données projet'!$E$10+1,1))</f>
        <v>627.83896530587367</v>
      </c>
      <c r="AO151" s="59">
        <f t="shared" si="144"/>
        <v>323.54927030899489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51.126408581901067</v>
      </c>
      <c r="AV151" s="21">
        <f>EXP(-LN(2)/25)*AV150+(1-EXP(-LN(2)/25))/(LN(2)/25)*Calculateur!AQ151*Calculateur!AS151*VLOOKUP('Données projet'!$B$10,Paramètres!$A$1:$I$89,3,0)*0.475*44/12</f>
        <v>14.243377033499565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65.36978561540063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-2.8421709430404007E-13</v>
      </c>
      <c r="BE151" s="13">
        <f>BD151*VLOOKUP('Données projet'!$B$11,Paramètres!$A$1:$I$89,3,0)*VLOOKUP('Données projet'!$B$11,Paramètres!$A$1:$I$89,5,0)</f>
        <v>-2.7489477361086758E-13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508.3185483454435</v>
      </c>
      <c r="BJ151" s="59">
        <f t="shared" si="146"/>
        <v>487.08233034004945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38.231884813125994</v>
      </c>
      <c r="BQ151" s="21">
        <f>EXP(-LN(2)/25)*BQ150+(1-EXP(-LN(2)/25))/(LN(2)/25)*Calculateur!BL151*Calculateur!BN151*VLOOKUP('Données projet'!$B$11,Paramètres!$A$1:$I$89,3,0)*0.475*44/12</f>
        <v>0.75530280797845872</v>
      </c>
      <c r="BR151" s="21">
        <f>EXP(-LN(2)/2)*BR150+(1-EXP(-LN(2)/2))/(LN(2)/2)*BL151*BO151*VLOOKUP('Données projet'!$B$11,Paramètres!$A$1:$I$89,3,0)*0.475*44/12</f>
        <v>4.0801097519981104E-9</v>
      </c>
      <c r="BS151" s="22">
        <f t="shared" si="117"/>
        <v>38.987187625184561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-2.8421709430404007E-13</v>
      </c>
      <c r="BZ151" s="13">
        <f>BY151*VLOOKUP('Données projet'!$B$12,Paramètres!$A$1:$I$89,3,0)*VLOOKUP('Données projet'!$B$12,Paramètres!$A$1:$I$89,5,0)</f>
        <v>-2.3055690689943731E-13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436.50252985867149</v>
      </c>
      <c r="CE151" s="59">
        <f t="shared" si="148"/>
        <v>419.00806288456329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32.065451778750862</v>
      </c>
      <c r="CL151" s="21">
        <f>EXP(-LN(2)/25)*CL150+(1-EXP(-LN(2)/25))/(LN(2)/25)*Calculateur!CG151*Calculateur!CI151*VLOOKUP('Données projet'!$B$12,Paramètres!$A$1:$I$89,3,0)*0.475*44/12</f>
        <v>0.63347977443354597</v>
      </c>
      <c r="CM151" s="21">
        <f>EXP(-LN(2)/2)*CM150+(1-EXP(-LN(2)/2))/(LN(2)/2)*CG151*CJ151*VLOOKUP('Données projet'!$B$12,Paramètres!$A$1:$I$89,3,0)*0.475*44/12</f>
        <v>3.4220275339339064E-9</v>
      </c>
      <c r="CN151" s="22">
        <f t="shared" si="120"/>
        <v>32.698931556606439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-2.8421709430404007E-13</v>
      </c>
      <c r="CU151" s="17">
        <f>CT151*VLOOKUP('Données projet'!$B$13,Paramètres!$A$1:$I$89,3,0)*VLOOKUP('Données projet'!$B$13,Paramètres!$A$1:$I$89,5,0)</f>
        <v>-2.7489477361086758E-13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508.3185483454435</v>
      </c>
      <c r="CZ151" s="59">
        <f t="shared" si="150"/>
        <v>487.08233034004945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38.231884813125994</v>
      </c>
      <c r="DG151" s="21">
        <f>EXP(-LN(2)/25)*DG150+(1-EXP(-LN(2)/25))/(LN(2)/25)*Calculateur!DB151*Calculateur!DD151*VLOOKUP('Données projet'!$B$13,Paramètres!$A$1:$I$89,3,0)*0.475*44/12</f>
        <v>0.75530280797845872</v>
      </c>
      <c r="DH151" s="21">
        <f>EXP(-LN(2)/2)*DH150+(1-EXP(-LN(2)/2))/(LN(2)/2)*DB151*DE151*VLOOKUP('Données projet'!$B$13,Paramètres!$A$1:$I$89,3,0)*0.475*44/12</f>
        <v>4.0801097519981104E-9</v>
      </c>
      <c r="DI151" s="22">
        <f t="shared" si="123"/>
        <v>38.987187625184561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-2.8421709430404007E-13</v>
      </c>
      <c r="DP151" s="17">
        <f>DO151*VLOOKUP('Données projet'!$B$14,Paramètres!$A$1:$I$89,3,0)*VLOOKUP('Données projet'!$B$14,Paramètres!$A$1:$I$89,5,0)</f>
        <v>-2.7489477361086758E-13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508.3185483454435</v>
      </c>
      <c r="DU151" s="59">
        <f t="shared" si="152"/>
        <v>487.08233034004945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38.231884813125994</v>
      </c>
      <c r="EB151" s="21">
        <f>EXP(-LN(2)/25)*EB150+(1-EXP(-LN(2)/25))/(LN(2)/25)*Calculateur!DW151*Calculateur!DY151*VLOOKUP('Données projet'!$B$14,Paramètres!$A$1:$I$89,3,0)*0.475*44/12</f>
        <v>0.75530280797845872</v>
      </c>
      <c r="EC151" s="21">
        <f>EXP(-LN(2)/2)*EC150+(1-EXP(-LN(2)/2))/(LN(2)/2)*DW151*DZ151*VLOOKUP('Données projet'!$B$14,Paramètres!$A$1:$I$89,3,0)*0.475*44/12</f>
        <v>4.0801097519981104E-9</v>
      </c>
      <c r="ED151" s="22">
        <f t="shared" si="126"/>
        <v>38.987187625184561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7.083333333333333</v>
      </c>
      <c r="N152" s="13">
        <f>IF('Données projet'!$A$36&gt;35,N151+M152-V151,IF(A152&lt;'Données projet'!$A$36,$K$205^A152,IF(A152='Données projet'!$A$36,'Données projet'!$B$36,N151+M152-V151)))</f>
        <v>452.66666666666595</v>
      </c>
      <c r="O152" s="13">
        <f>N152*VLOOKUP('Données projet'!$B$9,Paramètres!$A$1:$I$89,3,0)*VLOOKUP('Données projet'!$B$9,Paramètres!$A$1:$I$89,5,0)</f>
        <v>409.57279999999935</v>
      </c>
      <c r="P152" s="13">
        <f t="shared" si="141"/>
        <v>93.714724142983599</v>
      </c>
      <c r="Q152" s="20">
        <f t="shared" si="108"/>
        <v>876.55910454902858</v>
      </c>
      <c r="R152" s="59">
        <f t="shared" si="109"/>
        <v>1163.1348986223215</v>
      </c>
      <c r="S152" s="59">
        <f ca="1">AVERAGE(OFFSET($R$3,0,0,'Données projet'!$E$9+1,1))-AVERAGE(OFFSET($H$3,0,0,'Données projet'!$E$9+1,1))</f>
        <v>569.49435820174267</v>
      </c>
      <c r="T152" s="59">
        <f t="shared" si="142"/>
        <v>295.37730858134739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44.72589772047882</v>
      </c>
      <c r="AA152" s="21">
        <f>EXP(-LN(2)/25)*AA151+(1-EXP(-LN(2)/25))/(LN(2)/25)*Calculateur!V152*Calculateur!X152*VLOOKUP('Données projet'!$B$9,Paramètres!$A$1:$I$89,3,0)*0.475*44/12</f>
        <v>12.361933632161978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57.087831352640798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7.083333333333333</v>
      </c>
      <c r="AI152" s="13">
        <f>IF('Données projet'!$A$62&gt;35,AI151+AH152-AQ151,IF(A152&lt;'Données projet'!$A$62,$AF$205^A152,IF(A152='Données projet'!$A$62,'Données projet'!$B$62,AI151+AH152-AQ151)))</f>
        <v>452.66666666666595</v>
      </c>
      <c r="AJ152" s="13">
        <f>AI152*VLOOKUP('Données projet'!$B$10,Paramètres!$A$1:$I$89,3,0)*VLOOKUP('Données projet'!$B$10,Paramètres!$A$1:$I$89,5,0)</f>
        <v>459.00399999999934</v>
      </c>
      <c r="AK152" s="13">
        <f t="shared" si="143"/>
        <v>103.64135873966028</v>
      </c>
      <c r="AL152" s="20">
        <f t="shared" si="112"/>
        <v>979.94066647157388</v>
      </c>
      <c r="AM152" s="59">
        <f t="shared" si="113"/>
        <v>1266.516460544867</v>
      </c>
      <c r="AN152" s="59">
        <f ca="1">AVERAGE(OFFSET($AM$3,0,0,'Données projet'!$E$10+1,1))-AVERAGE(OFFSET($H$3,0,0,'Données projet'!$E$10+1,1))</f>
        <v>627.83896530587367</v>
      </c>
      <c r="AO152" s="59">
        <f t="shared" si="144"/>
        <v>323.54927030899489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50.123850893640054</v>
      </c>
      <c r="AV152" s="21">
        <f>EXP(-LN(2)/25)*AV151+(1-EXP(-LN(2)/25))/(LN(2)/25)*Calculateur!AQ152*Calculateur!AS152*VLOOKUP('Données projet'!$B$10,Paramètres!$A$1:$I$89,3,0)*0.475*44/12</f>
        <v>13.853891139491875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63.977742033131932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-2.8421709430404007E-13</v>
      </c>
      <c r="BE152" s="13">
        <f>BD152*VLOOKUP('Données projet'!$B$11,Paramètres!$A$1:$I$89,3,0)*VLOOKUP('Données projet'!$B$11,Paramètres!$A$1:$I$89,5,0)</f>
        <v>-2.7489477361086758E-13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508.3185483454435</v>
      </c>
      <c r="BJ152" s="59">
        <f t="shared" si="146"/>
        <v>487.08233034004945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37.482180871087756</v>
      </c>
      <c r="BQ152" s="21">
        <f>EXP(-LN(2)/25)*BQ151+(1-EXP(-LN(2)/25))/(LN(2)/25)*Calculateur!BL152*Calculateur!BN152*VLOOKUP('Données projet'!$B$11,Paramètres!$A$1:$I$89,3,0)*0.475*44/12</f>
        <v>0.73464901297463936</v>
      </c>
      <c r="BR152" s="21">
        <f>EXP(-LN(2)/2)*BR151+(1-EXP(-LN(2)/2))/(LN(2)/2)*BL152*BO152*VLOOKUP('Données projet'!$B$11,Paramètres!$A$1:$I$89,3,0)*0.475*44/12</f>
        <v>2.8850732736232266E-9</v>
      </c>
      <c r="BS152" s="22">
        <f t="shared" si="117"/>
        <v>38.216829886947473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-2.8421709430404007E-13</v>
      </c>
      <c r="BZ152" s="13">
        <f>BY152*VLOOKUP('Données projet'!$B$12,Paramètres!$A$1:$I$89,3,0)*VLOOKUP('Données projet'!$B$12,Paramètres!$A$1:$I$89,5,0)</f>
        <v>-2.3055690689943731E-13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436.50252985867149</v>
      </c>
      <c r="CE152" s="59">
        <f t="shared" si="148"/>
        <v>419.00806288456329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31.436667827363951</v>
      </c>
      <c r="CL152" s="21">
        <f>EXP(-LN(2)/25)*CL151+(1-EXP(-LN(2)/25))/(LN(2)/25)*Calculateur!CG152*Calculateur!CI152*VLOOKUP('Données projet'!$B$12,Paramètres!$A$1:$I$89,3,0)*0.475*44/12</f>
        <v>0.61615723668840716</v>
      </c>
      <c r="CM152" s="21">
        <f>EXP(-LN(2)/2)*CM151+(1-EXP(-LN(2)/2))/(LN(2)/2)*CG152*CJ152*VLOOKUP('Données projet'!$B$12,Paramètres!$A$1:$I$89,3,0)*0.475*44/12</f>
        <v>2.4197388746517435E-9</v>
      </c>
      <c r="CN152" s="22">
        <f t="shared" si="120"/>
        <v>32.052825066472096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-2.8421709430404007E-13</v>
      </c>
      <c r="CU152" s="17">
        <f>CT152*VLOOKUP('Données projet'!$B$13,Paramètres!$A$1:$I$89,3,0)*VLOOKUP('Données projet'!$B$13,Paramètres!$A$1:$I$89,5,0)</f>
        <v>-2.7489477361086758E-13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508.3185483454435</v>
      </c>
      <c r="CZ152" s="59">
        <f t="shared" si="150"/>
        <v>487.08233034004945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37.482180871087756</v>
      </c>
      <c r="DG152" s="21">
        <f>EXP(-LN(2)/25)*DG151+(1-EXP(-LN(2)/25))/(LN(2)/25)*Calculateur!DB152*Calculateur!DD152*VLOOKUP('Données projet'!$B$13,Paramètres!$A$1:$I$89,3,0)*0.475*44/12</f>
        <v>0.73464901297463936</v>
      </c>
      <c r="DH152" s="21">
        <f>EXP(-LN(2)/2)*DH151+(1-EXP(-LN(2)/2))/(LN(2)/2)*DB152*DE152*VLOOKUP('Données projet'!$B$13,Paramètres!$A$1:$I$89,3,0)*0.475*44/12</f>
        <v>2.8850732736232266E-9</v>
      </c>
      <c r="DI152" s="22">
        <f t="shared" si="123"/>
        <v>38.216829886947473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-2.8421709430404007E-13</v>
      </c>
      <c r="DP152" s="17">
        <f>DO152*VLOOKUP('Données projet'!$B$14,Paramètres!$A$1:$I$89,3,0)*VLOOKUP('Données projet'!$B$14,Paramètres!$A$1:$I$89,5,0)</f>
        <v>-2.7489477361086758E-13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508.3185483454435</v>
      </c>
      <c r="DU152" s="59">
        <f t="shared" si="152"/>
        <v>487.08233034004945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37.482180871087756</v>
      </c>
      <c r="EB152" s="21">
        <f>EXP(-LN(2)/25)*EB151+(1-EXP(-LN(2)/25))/(LN(2)/25)*Calculateur!DW152*Calculateur!DY152*VLOOKUP('Données projet'!$B$14,Paramètres!$A$1:$I$89,3,0)*0.475*44/12</f>
        <v>0.73464901297463936</v>
      </c>
      <c r="EC152" s="21">
        <f>EXP(-LN(2)/2)*EC151+(1-EXP(-LN(2)/2))/(LN(2)/2)*DW152*DZ152*VLOOKUP('Données projet'!$B$14,Paramètres!$A$1:$I$89,3,0)*0.475*44/12</f>
        <v>2.8850732736232266E-9</v>
      </c>
      <c r="ED152" s="22">
        <f t="shared" si="126"/>
        <v>38.216829886947473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7.083333333333333</v>
      </c>
      <c r="N153" s="13">
        <f>IF('Données projet'!$A$36&gt;35,N152+M153-V152,IF(A153&lt;'Données projet'!$A$36,$K$205^A153,IF(A153='Données projet'!$A$36,'Données projet'!$B$36,N152+M153-V152)))</f>
        <v>459.74999999999926</v>
      </c>
      <c r="O153" s="13">
        <f>N153*VLOOKUP('Données projet'!$B$9,Paramètres!$A$1:$I$89,3,0)*VLOOKUP('Données projet'!$B$9,Paramètres!$A$1:$I$89,5,0)</f>
        <v>415.98179999999934</v>
      </c>
      <c r="P153" s="13">
        <f t="shared" si="141"/>
        <v>95.009305327664421</v>
      </c>
      <c r="Q153" s="20">
        <f t="shared" si="108"/>
        <v>889.97617511234773</v>
      </c>
      <c r="R153" s="59">
        <f t="shared" si="109"/>
        <v>1176.669197384208</v>
      </c>
      <c r="S153" s="59">
        <f ca="1">AVERAGE(OFFSET($R$3,0,0,'Données projet'!$E$9+1,1))-AVERAGE(OFFSET($H$3,0,0,'Données projet'!$E$9+1,1))</f>
        <v>569.49435820174267</v>
      </c>
      <c r="T153" s="59">
        <f t="shared" si="142"/>
        <v>295.37730858134739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43.84885014628415</v>
      </c>
      <c r="AA153" s="21">
        <f>EXP(-LN(2)/25)*AA152+(1-EXP(-LN(2)/25))/(LN(2)/25)*Calculateur!V153*Calculateur!X153*VLOOKUP('Données projet'!$B$9,Paramètres!$A$1:$I$89,3,0)*0.475*44/12</f>
        <v>12.023895906904674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55.87274605318882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7.083333333333333</v>
      </c>
      <c r="AI153" s="13">
        <f>IF('Données projet'!$A$62&gt;35,AI152+AH153-AQ152,IF(A153&lt;'Données projet'!$A$62,$AF$205^A153,IF(A153='Données projet'!$A$62,'Données projet'!$B$62,AI152+AH153-AQ152)))</f>
        <v>459.74999999999926</v>
      </c>
      <c r="AJ153" s="13">
        <f>AI153*VLOOKUP('Données projet'!$B$10,Paramètres!$A$1:$I$89,3,0)*VLOOKUP('Données projet'!$B$10,Paramètres!$A$1:$I$89,5,0)</f>
        <v>466.18649999999928</v>
      </c>
      <c r="AK153" s="13">
        <f t="shared" si="143"/>
        <v>105.07306708865363</v>
      </c>
      <c r="AL153" s="20">
        <f t="shared" si="112"/>
        <v>994.94374601273728</v>
      </c>
      <c r="AM153" s="59">
        <f t="shared" si="113"/>
        <v>1281.6367682845976</v>
      </c>
      <c r="AN153" s="59">
        <f ca="1">AVERAGE(OFFSET($AM$3,0,0,'Données projet'!$E$10+1,1))-AVERAGE(OFFSET($H$3,0,0,'Données projet'!$E$10+1,1))</f>
        <v>627.83896530587367</v>
      </c>
      <c r="AO153" s="59">
        <f t="shared" si="144"/>
        <v>323.54927030899489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49.140952750146027</v>
      </c>
      <c r="AV153" s="21">
        <f>EXP(-LN(2)/25)*AV152+(1-EXP(-LN(2)/25))/(LN(2)/25)*Calculateur!AQ153*Calculateur!AS153*VLOOKUP('Données projet'!$B$10,Paramètres!$A$1:$I$89,3,0)*0.475*44/12</f>
        <v>13.475055757737998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62.616008507884025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-2.8421709430404007E-13</v>
      </c>
      <c r="BE153" s="13">
        <f>BD153*VLOOKUP('Données projet'!$B$11,Paramètres!$A$1:$I$89,3,0)*VLOOKUP('Données projet'!$B$11,Paramètres!$A$1:$I$89,5,0)</f>
        <v>-2.7489477361086758E-13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508.3185483454435</v>
      </c>
      <c r="BJ153" s="59">
        <f t="shared" si="146"/>
        <v>487.08233034004945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36.747178166078633</v>
      </c>
      <c r="BQ153" s="21">
        <f>EXP(-LN(2)/25)*BQ152+(1-EXP(-LN(2)/25))/(LN(2)/25)*Calculateur!BL153*Calculateur!BN153*VLOOKUP('Données projet'!$B$11,Paramètres!$A$1:$I$89,3,0)*0.475*44/12</f>
        <v>0.71455999708133533</v>
      </c>
      <c r="BR153" s="21">
        <f>EXP(-LN(2)/2)*BR152+(1-EXP(-LN(2)/2))/(LN(2)/2)*BL153*BO153*VLOOKUP('Données projet'!$B$11,Paramètres!$A$1:$I$89,3,0)*0.475*44/12</f>
        <v>2.0400548759990552E-9</v>
      </c>
      <c r="BS153" s="22">
        <f t="shared" si="117"/>
        <v>37.461738165200025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-2.8421709430404007E-13</v>
      </c>
      <c r="BZ153" s="13">
        <f>BY153*VLOOKUP('Données projet'!$B$12,Paramètres!$A$1:$I$89,3,0)*VLOOKUP('Données projet'!$B$12,Paramètres!$A$1:$I$89,5,0)</f>
        <v>-2.3055690689943731E-13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436.50252985867149</v>
      </c>
      <c r="CE153" s="59">
        <f t="shared" si="148"/>
        <v>419.00806288456329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30.820213945743397</v>
      </c>
      <c r="CL153" s="21">
        <f>EXP(-LN(2)/25)*CL152+(1-EXP(-LN(2)/25))/(LN(2)/25)*Calculateur!CG153*Calculateur!CI153*VLOOKUP('Données projet'!$B$12,Paramètres!$A$1:$I$89,3,0)*0.475*44/12</f>
        <v>0.59930838464886182</v>
      </c>
      <c r="CM153" s="21">
        <f>EXP(-LN(2)/2)*CM152+(1-EXP(-LN(2)/2))/(LN(2)/2)*CG153*CJ153*VLOOKUP('Données projet'!$B$12,Paramètres!$A$1:$I$89,3,0)*0.475*44/12</f>
        <v>1.7110137669669532E-9</v>
      </c>
      <c r="CN153" s="22">
        <f t="shared" si="120"/>
        <v>31.419522332103273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-2.8421709430404007E-13</v>
      </c>
      <c r="CU153" s="17">
        <f>CT153*VLOOKUP('Données projet'!$B$13,Paramètres!$A$1:$I$89,3,0)*VLOOKUP('Données projet'!$B$13,Paramètres!$A$1:$I$89,5,0)</f>
        <v>-2.7489477361086758E-13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508.3185483454435</v>
      </c>
      <c r="CZ153" s="59">
        <f t="shared" si="150"/>
        <v>487.08233034004945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36.747178166078633</v>
      </c>
      <c r="DG153" s="21">
        <f>EXP(-LN(2)/25)*DG152+(1-EXP(-LN(2)/25))/(LN(2)/25)*Calculateur!DB153*Calculateur!DD153*VLOOKUP('Données projet'!$B$13,Paramètres!$A$1:$I$89,3,0)*0.475*44/12</f>
        <v>0.71455999708133533</v>
      </c>
      <c r="DH153" s="21">
        <f>EXP(-LN(2)/2)*DH152+(1-EXP(-LN(2)/2))/(LN(2)/2)*DB153*DE153*VLOOKUP('Données projet'!$B$13,Paramètres!$A$1:$I$89,3,0)*0.475*44/12</f>
        <v>2.0400548759990552E-9</v>
      </c>
      <c r="DI153" s="22">
        <f t="shared" si="123"/>
        <v>37.461738165200025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-2.8421709430404007E-13</v>
      </c>
      <c r="DP153" s="17">
        <f>DO153*VLOOKUP('Données projet'!$B$14,Paramètres!$A$1:$I$89,3,0)*VLOOKUP('Données projet'!$B$14,Paramètres!$A$1:$I$89,5,0)</f>
        <v>-2.7489477361086758E-13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508.3185483454435</v>
      </c>
      <c r="DU153" s="59">
        <f t="shared" si="152"/>
        <v>487.08233034004945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36.747178166078633</v>
      </c>
      <c r="EB153" s="21">
        <f>EXP(-LN(2)/25)*EB152+(1-EXP(-LN(2)/25))/(LN(2)/25)*Calculateur!DW153*Calculateur!DY153*VLOOKUP('Données projet'!$B$14,Paramètres!$A$1:$I$89,3,0)*0.475*44/12</f>
        <v>0.71455999708133533</v>
      </c>
      <c r="EC153" s="21">
        <f>EXP(-LN(2)/2)*EC152+(1-EXP(-LN(2)/2))/(LN(2)/2)*DW153*DZ153*VLOOKUP('Données projet'!$B$14,Paramètres!$A$1:$I$89,3,0)*0.475*44/12</f>
        <v>2.0400548759990552E-9</v>
      </c>
      <c r="ED153" s="22">
        <f t="shared" si="126"/>
        <v>37.461738165200025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7.083333333333333</v>
      </c>
      <c r="N154" s="13">
        <f>IF('Données projet'!$A$36&gt;35,N153+M154-V153,IF(A154&lt;'Données projet'!$A$36,$K$205^A154,IF(A154='Données projet'!$A$36,'Données projet'!$B$36,N153+M154-V153)))</f>
        <v>466.83333333333258</v>
      </c>
      <c r="O154" s="13">
        <f>N154*VLOOKUP('Données projet'!$B$9,Paramètres!$A$1:$I$89,3,0)*VLOOKUP('Données projet'!$B$9,Paramètres!$A$1:$I$89,5,0)</f>
        <v>422.39079999999927</v>
      </c>
      <c r="P154" s="13">
        <f t="shared" si="141"/>
        <v>96.301566838032542</v>
      </c>
      <c r="Q154" s="20">
        <f t="shared" ref="Q154:Q203" si="162">(O154+P154)*0.475*44/12</f>
        <v>903.38920557623862</v>
      </c>
      <c r="R154" s="59">
        <f t="shared" si="109"/>
        <v>1190.1974223995039</v>
      </c>
      <c r="S154" s="59">
        <f ca="1">AVERAGE(OFFSET($R$3,0,0,'Données projet'!$E$9+1,1))-AVERAGE(OFFSET($H$3,0,0,'Données projet'!$E$9+1,1))</f>
        <v>569.49435820174267</v>
      </c>
      <c r="T154" s="59">
        <f t="shared" si="142"/>
        <v>295.37730858134739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42.98900094007324</v>
      </c>
      <c r="AA154" s="21">
        <f>EXP(-LN(2)/25)*AA153+(1-EXP(-LN(2)/25))/(LN(2)/25)*Calculateur!V154*Calculateur!X154*VLOOKUP('Données projet'!$B$9,Paramètres!$A$1:$I$89,3,0)*0.475*44/12</f>
        <v>11.695101841021161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54.684102781094403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7.083333333333333</v>
      </c>
      <c r="AI154" s="13">
        <f>IF('Données projet'!$A$62&gt;35,AI153+AH154-AQ153,IF(A154&lt;'Données projet'!$A$62,$AF$205^A154,IF(A154='Données projet'!$A$62,'Données projet'!$B$62,AI153+AH154-AQ153)))</f>
        <v>466.83333333333258</v>
      </c>
      <c r="AJ154" s="13">
        <f>AI154*VLOOKUP('Données projet'!$B$10,Paramètres!$A$1:$I$89,3,0)*VLOOKUP('Données projet'!$B$10,Paramètres!$A$1:$I$89,5,0)</f>
        <v>473.36899999999929</v>
      </c>
      <c r="AK154" s="13">
        <f t="shared" ref="AK154:AK203" si="164">EXP(-1.0587+0.8836*LN(AJ154)+0.284)</f>
        <v>106.50221005424753</v>
      </c>
      <c r="AL154" s="20">
        <f t="shared" ref="AL154:AL203" si="165">(AJ154+AK154)*0.475*44/12</f>
        <v>1009.9423575111465</v>
      </c>
      <c r="AM154" s="59">
        <f t="shared" si="113"/>
        <v>1296.7505743344118</v>
      </c>
      <c r="AN154" s="59">
        <f ca="1">AVERAGE(OFFSET($AM$3,0,0,'Données projet'!$E$10+1,1))-AVERAGE(OFFSET($H$3,0,0,'Données projet'!$E$10+1,1))</f>
        <v>627.83896530587367</v>
      </c>
      <c r="AO154" s="59">
        <f t="shared" si="144"/>
        <v>323.54927030899489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48.177328639737254</v>
      </c>
      <c r="AV154" s="21">
        <f>EXP(-LN(2)/25)*AV153+(1-EXP(-LN(2)/25))/(LN(2)/25)*Calculateur!AQ154*Calculateur!AS154*VLOOKUP('Données projet'!$B$10,Paramètres!$A$1:$I$89,3,0)*0.475*44/12</f>
        <v>13.106579649420267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61.283908289157523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-2.8421709430404007E-13</v>
      </c>
      <c r="BE154" s="13">
        <f>BD154*VLOOKUP('Données projet'!$B$11,Paramètres!$A$1:$I$89,3,0)*VLOOKUP('Données projet'!$B$11,Paramètres!$A$1:$I$89,5,0)</f>
        <v>-2.7489477361086758E-13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508.3185483454435</v>
      </c>
      <c r="BJ154" s="59">
        <f t="shared" si="146"/>
        <v>487.08233034004945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36.02658841580736</v>
      </c>
      <c r="BQ154" s="21">
        <f>EXP(-LN(2)/25)*BQ153+(1-EXP(-LN(2)/25))/(LN(2)/25)*Calculateur!BL154*Calculateur!BN154*VLOOKUP('Données projet'!$B$11,Paramètres!$A$1:$I$89,3,0)*0.475*44/12</f>
        <v>0.69502031638406914</v>
      </c>
      <c r="BR154" s="21">
        <f>EXP(-LN(2)/2)*BR153+(1-EXP(-LN(2)/2))/(LN(2)/2)*BL154*BO154*VLOOKUP('Données projet'!$B$11,Paramètres!$A$1:$I$89,3,0)*0.475*44/12</f>
        <v>1.4425366368116133E-9</v>
      </c>
      <c r="BS154" s="22">
        <f t="shared" ref="BS154:BS203" si="169">SUM(BP154:BR154)</f>
        <v>36.721608733633964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-2.8421709430404007E-13</v>
      </c>
      <c r="BZ154" s="13">
        <f>BY154*VLOOKUP('Données projet'!$B$12,Paramètres!$A$1:$I$89,3,0)*VLOOKUP('Données projet'!$B$12,Paramètres!$A$1:$I$89,5,0)</f>
        <v>-2.3055690689943731E-13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436.50252985867149</v>
      </c>
      <c r="CE154" s="59">
        <f t="shared" si="148"/>
        <v>419.00806288456329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30.21584834874168</v>
      </c>
      <c r="CL154" s="21">
        <f>EXP(-LN(2)/25)*CL153+(1-EXP(-LN(2)/25))/(LN(2)/25)*Calculateur!CG154*Calculateur!CI154*VLOOKUP('Données projet'!$B$12,Paramètres!$A$1:$I$89,3,0)*0.475*44/12</f>
        <v>0.58292026535438046</v>
      </c>
      <c r="CM154" s="21">
        <f>EXP(-LN(2)/2)*CM153+(1-EXP(-LN(2)/2))/(LN(2)/2)*CG154*CJ154*VLOOKUP('Données projet'!$B$12,Paramètres!$A$1:$I$89,3,0)*0.475*44/12</f>
        <v>1.2098694373258718E-9</v>
      </c>
      <c r="CN154" s="22">
        <f t="shared" ref="CN154:CN203" si="172">SUM(CK154:CM154)</f>
        <v>30.798768615305931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-2.8421709430404007E-13</v>
      </c>
      <c r="CU154" s="17">
        <f>CT154*VLOOKUP('Données projet'!$B$13,Paramètres!$A$1:$I$89,3,0)*VLOOKUP('Données projet'!$B$13,Paramètres!$A$1:$I$89,5,0)</f>
        <v>-2.7489477361086758E-13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508.3185483454435</v>
      </c>
      <c r="CZ154" s="59">
        <f t="shared" si="150"/>
        <v>487.08233034004945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36.02658841580736</v>
      </c>
      <c r="DG154" s="21">
        <f>EXP(-LN(2)/25)*DG153+(1-EXP(-LN(2)/25))/(LN(2)/25)*Calculateur!DB154*Calculateur!DD154*VLOOKUP('Données projet'!$B$13,Paramètres!$A$1:$I$89,3,0)*0.475*44/12</f>
        <v>0.69502031638406914</v>
      </c>
      <c r="DH154" s="21">
        <f>EXP(-LN(2)/2)*DH153+(1-EXP(-LN(2)/2))/(LN(2)/2)*DB154*DE154*VLOOKUP('Données projet'!$B$13,Paramètres!$A$1:$I$89,3,0)*0.475*44/12</f>
        <v>1.4425366368116133E-9</v>
      </c>
      <c r="DI154" s="22">
        <f t="shared" ref="DI154:DI203" si="175">SUM(DF154:DH154)</f>
        <v>36.721608733633964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-2.8421709430404007E-13</v>
      </c>
      <c r="DP154" s="17">
        <f>DO154*VLOOKUP('Données projet'!$B$14,Paramètres!$A$1:$I$89,3,0)*VLOOKUP('Données projet'!$B$14,Paramètres!$A$1:$I$89,5,0)</f>
        <v>-2.7489477361086758E-13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508.3185483454435</v>
      </c>
      <c r="DU154" s="59">
        <f t="shared" si="152"/>
        <v>487.08233034004945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36.02658841580736</v>
      </c>
      <c r="EB154" s="21">
        <f>EXP(-LN(2)/25)*EB153+(1-EXP(-LN(2)/25))/(LN(2)/25)*Calculateur!DW154*Calculateur!DY154*VLOOKUP('Données projet'!$B$14,Paramètres!$A$1:$I$89,3,0)*0.475*44/12</f>
        <v>0.69502031638406914</v>
      </c>
      <c r="EC154" s="21">
        <f>EXP(-LN(2)/2)*EC153+(1-EXP(-LN(2)/2))/(LN(2)/2)*DW154*DZ154*VLOOKUP('Données projet'!$B$14,Paramètres!$A$1:$I$89,3,0)*0.475*44/12</f>
        <v>1.4425366368116133E-9</v>
      </c>
      <c r="ED154" s="22">
        <f t="shared" ref="ED154:ED203" si="178">SUM(EA154:EC154)</f>
        <v>36.721608733633964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7.083333333333333</v>
      </c>
      <c r="N155" s="13">
        <f>IF('Données projet'!$A$36&gt;35,N154+M155-V154,IF(A155&lt;'Données projet'!$A$36,$K$205^A155,IF(A155='Données projet'!$A$36,'Données projet'!$B$36,N154+M155-V154)))</f>
        <v>473.91666666666589</v>
      </c>
      <c r="O155" s="13">
        <f>N155*VLOOKUP('Données projet'!$B$9,Paramètres!$A$1:$I$89,3,0)*VLOOKUP('Données projet'!$B$9,Paramètres!$A$1:$I$89,5,0)</f>
        <v>428.79979999999932</v>
      </c>
      <c r="P155" s="13">
        <f t="shared" si="141"/>
        <v>97.591547936119014</v>
      </c>
      <c r="Q155" s="20">
        <f t="shared" si="162"/>
        <v>916.79826432207267</v>
      </c>
      <c r="R155" s="59">
        <f t="shared" si="109"/>
        <v>1203.7196773288126</v>
      </c>
      <c r="S155" s="59">
        <f ca="1">AVERAGE(OFFSET($R$3,0,0,'Données projet'!$E$9+1,1))-AVERAGE(OFFSET($H$3,0,0,'Données projet'!$E$9+1,1))</f>
        <v>569.49435820174267</v>
      </c>
      <c r="T155" s="59">
        <f t="shared" si="142"/>
        <v>295.37730858134739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42.146012852339901</v>
      </c>
      <c r="AA155" s="21">
        <f>EXP(-LN(2)/25)*AA154+(1-EXP(-LN(2)/25))/(LN(2)/25)*Calculateur!V155*Calculateur!X155*VLOOKUP('Données projet'!$B$9,Paramètres!$A$1:$I$89,3,0)*0.475*44/12</f>
        <v>11.375298666159761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53.521311518499658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7.083333333333333</v>
      </c>
      <c r="AI155" s="13">
        <f>IF('Données projet'!$A$62&gt;35,AI154+AH155-AQ154,IF(A155&lt;'Données projet'!$A$62,$AF$205^A155,IF(A155='Données projet'!$A$62,'Données projet'!$B$62,AI154+AH155-AQ154)))</f>
        <v>473.91666666666589</v>
      </c>
      <c r="AJ155" s="13">
        <f>AI155*VLOOKUP('Données projet'!$B$10,Paramètres!$A$1:$I$89,3,0)*VLOOKUP('Données projet'!$B$10,Paramètres!$A$1:$I$89,5,0)</f>
        <v>480.55149999999924</v>
      </c>
      <c r="AK155" s="13">
        <f t="shared" si="164"/>
        <v>107.92883105726278</v>
      </c>
      <c r="AL155" s="20">
        <f t="shared" si="165"/>
        <v>1024.9365765913979</v>
      </c>
      <c r="AM155" s="59">
        <f t="shared" si="113"/>
        <v>1311.8579895981377</v>
      </c>
      <c r="AN155" s="59">
        <f ca="1">AVERAGE(OFFSET($AM$3,0,0,'Données projet'!$E$10+1,1))-AVERAGE(OFFSET($H$3,0,0,'Données projet'!$E$10+1,1))</f>
        <v>627.83896530587367</v>
      </c>
      <c r="AO155" s="59">
        <f t="shared" si="144"/>
        <v>323.54927030899489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47.232600610380921</v>
      </c>
      <c r="AV155" s="21">
        <f>EXP(-LN(2)/25)*AV154+(1-EXP(-LN(2)/25))/(LN(2)/25)*Calculateur!AQ155*Calculateur!AS155*VLOOKUP('Données projet'!$B$10,Paramètres!$A$1:$I$89,3,0)*0.475*44/12</f>
        <v>12.748179539661802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59.980780150042719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-2.8421709430404007E-13</v>
      </c>
      <c r="BE155" s="13">
        <f>BD155*VLOOKUP('Données projet'!$B$11,Paramètres!$A$1:$I$89,3,0)*VLOOKUP('Données projet'!$B$11,Paramètres!$A$1:$I$89,5,0)</f>
        <v>-2.7489477361086758E-13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508.3185483454435</v>
      </c>
      <c r="BJ155" s="59">
        <f t="shared" si="146"/>
        <v>487.08233034004945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35.320128991022557</v>
      </c>
      <c r="BQ155" s="21">
        <f>EXP(-LN(2)/25)*BQ154+(1-EXP(-LN(2)/25))/(LN(2)/25)*Calculateur!BL155*Calculateur!BN155*VLOOKUP('Données projet'!$B$11,Paramètres!$A$1:$I$89,3,0)*0.475*44/12</f>
        <v>0.67601494928301686</v>
      </c>
      <c r="BR155" s="21">
        <f>EXP(-LN(2)/2)*BR154+(1-EXP(-LN(2)/2))/(LN(2)/2)*BL155*BO155*VLOOKUP('Données projet'!$B$11,Paramètres!$A$1:$I$89,3,0)*0.475*44/12</f>
        <v>1.0200274379995276E-9</v>
      </c>
      <c r="BS155" s="22">
        <f t="shared" si="169"/>
        <v>35.996143941325599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-2.8421709430404007E-13</v>
      </c>
      <c r="BZ155" s="13">
        <f>BY155*VLOOKUP('Données projet'!$B$12,Paramètres!$A$1:$I$89,3,0)*VLOOKUP('Données projet'!$B$12,Paramètres!$A$1:$I$89,5,0)</f>
        <v>-2.3055690689943731E-13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436.50252985867149</v>
      </c>
      <c r="CE155" s="59">
        <f t="shared" si="148"/>
        <v>419.00806288456329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29.623333992470553</v>
      </c>
      <c r="CL155" s="21">
        <f>EXP(-LN(2)/25)*CL154+(1-EXP(-LN(2)/25))/(LN(2)/25)*Calculateur!CG155*Calculateur!CI155*VLOOKUP('Données projet'!$B$12,Paramètres!$A$1:$I$89,3,0)*0.475*44/12</f>
        <v>0.56698028004382051</v>
      </c>
      <c r="CM155" s="21">
        <f>EXP(-LN(2)/2)*CM154+(1-EXP(-LN(2)/2))/(LN(2)/2)*CG155*CJ155*VLOOKUP('Données projet'!$B$12,Paramètres!$A$1:$I$89,3,0)*0.475*44/12</f>
        <v>8.5550688348347659E-10</v>
      </c>
      <c r="CN155" s="22">
        <f t="shared" si="172"/>
        <v>30.190314273369882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-2.8421709430404007E-13</v>
      </c>
      <c r="CU155" s="17">
        <f>CT155*VLOOKUP('Données projet'!$B$13,Paramètres!$A$1:$I$89,3,0)*VLOOKUP('Données projet'!$B$13,Paramètres!$A$1:$I$89,5,0)</f>
        <v>-2.7489477361086758E-13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508.3185483454435</v>
      </c>
      <c r="CZ155" s="59">
        <f t="shared" si="150"/>
        <v>487.08233034004945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35.320128991022557</v>
      </c>
      <c r="DG155" s="21">
        <f>EXP(-LN(2)/25)*DG154+(1-EXP(-LN(2)/25))/(LN(2)/25)*Calculateur!DB155*Calculateur!DD155*VLOOKUP('Données projet'!$B$13,Paramètres!$A$1:$I$89,3,0)*0.475*44/12</f>
        <v>0.67601494928301686</v>
      </c>
      <c r="DH155" s="21">
        <f>EXP(-LN(2)/2)*DH154+(1-EXP(-LN(2)/2))/(LN(2)/2)*DB155*DE155*VLOOKUP('Données projet'!$B$13,Paramètres!$A$1:$I$89,3,0)*0.475*44/12</f>
        <v>1.0200274379995276E-9</v>
      </c>
      <c r="DI155" s="22">
        <f t="shared" si="175"/>
        <v>35.996143941325599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-2.8421709430404007E-13</v>
      </c>
      <c r="DP155" s="17">
        <f>DO155*VLOOKUP('Données projet'!$B$14,Paramètres!$A$1:$I$89,3,0)*VLOOKUP('Données projet'!$B$14,Paramètres!$A$1:$I$89,5,0)</f>
        <v>-2.7489477361086758E-13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508.3185483454435</v>
      </c>
      <c r="DU155" s="59">
        <f t="shared" si="152"/>
        <v>487.08233034004945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35.320128991022557</v>
      </c>
      <c r="EB155" s="21">
        <f>EXP(-LN(2)/25)*EB154+(1-EXP(-LN(2)/25))/(LN(2)/25)*Calculateur!DW155*Calculateur!DY155*VLOOKUP('Données projet'!$B$14,Paramètres!$A$1:$I$89,3,0)*0.475*44/12</f>
        <v>0.67601494928301686</v>
      </c>
      <c r="EC155" s="21">
        <f>EXP(-LN(2)/2)*EC154+(1-EXP(-LN(2)/2))/(LN(2)/2)*DW155*DZ155*VLOOKUP('Données projet'!$B$14,Paramètres!$A$1:$I$89,3,0)*0.475*44/12</f>
        <v>1.0200274379995276E-9</v>
      </c>
      <c r="ED155" s="22">
        <f t="shared" si="178"/>
        <v>35.996143941325599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481</v>
      </c>
      <c r="L156" s="12">
        <f>VLOOKUP(A156,'Données projet'!$A$35:$I$55,9,0)</f>
        <v>7.083333333333333</v>
      </c>
      <c r="M156" s="12">
        <f t="array" ref="M156">INDEX(L:L,MIN(IF(ISNUMBER(L156:L352),ROW(L156:L352),"")))</f>
        <v>7.083333333333333</v>
      </c>
      <c r="N156" s="13">
        <f>IF('Données projet'!$A$36&gt;35,N155+M156-V155,IF(A156&lt;'Données projet'!$A$36,$K$205^A156,IF(A156='Données projet'!$A$36,'Données projet'!$B$36,N155+M156-V155)))</f>
        <v>480.9999999999992</v>
      </c>
      <c r="O156" s="13">
        <f>N156*VLOOKUP('Données projet'!$B$9,Paramètres!$A$1:$I$89,3,0)*VLOOKUP('Données projet'!$B$9,Paramètres!$A$1:$I$89,5,0)</f>
        <v>435.20879999999926</v>
      </c>
      <c r="P156" s="13">
        <f t="shared" si="141"/>
        <v>98.879286642940571</v>
      </c>
      <c r="Q156" s="20">
        <f t="shared" si="162"/>
        <v>930.20341756978689</v>
      </c>
      <c r="R156" s="59">
        <f t="shared" si="109"/>
        <v>1217.2360630592868</v>
      </c>
      <c r="S156" s="59">
        <f ca="1">AVERAGE(OFFSET($R$3,0,0,'Données projet'!$E$9+1,1))-AVERAGE(OFFSET($H$3,0,0,'Données projet'!$E$9+1,1))</f>
        <v>569.49435820174267</v>
      </c>
      <c r="T156" s="59">
        <f t="shared" si="142"/>
        <v>295.37730858134739</v>
      </c>
      <c r="U156" s="15" t="str">
        <f>IF(ISNA(VLOOKUP(A156,'Données projet'!$A$35:$I$55,3,0)),0,VLOOKUP(A156,'Données projet'!$A$35:$I$55,3,0))</f>
        <v>CR</v>
      </c>
      <c r="V156" s="15">
        <f>IF(ISNA(VLOOKUP(A156,'Données projet'!$A$35:$I$55,4,0)),0,VLOOKUP(A156,'Données projet'!$A$35:$I$55,4,0))</f>
        <v>481</v>
      </c>
      <c r="W156" s="16">
        <f>IF(ISNA(VLOOKUP(A156,'Données projet'!$A$35:$I$55,5,0)),0%,VLOOKUP(A156,'Données projet'!$A$35:$I$55,5,0)*VLOOKUP('Données projet'!$B$9,Paramètres!$A$1:$I$89,7,0))</f>
        <v>0.30099999999999999</v>
      </c>
      <c r="X156" s="16">
        <f>IF(ISNA(VLOOKUP(A156,'Données projet'!$A$35:$I$55,6,0)),0%,VLOOKUP(A156,'Données projet'!$A$35:$I$55,6,0)*VLOOKUP('Données projet'!$B$9,Paramètres!$A$1:$I$89,7,0))</f>
        <v>4.3000000000000003E-2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186.13379687777106</v>
      </c>
      <c r="AA156" s="21">
        <f>EXP(-LN(2)/25)*AA155+(1-EXP(-LN(2)/25))/(LN(2)/25)*Calculateur!V156*Calculateur!X156*VLOOKUP('Données projet'!$B$9,Paramètres!$A$1:$I$89,3,0)*0.475*44/12</f>
        <v>31.670533780658815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217.80433065842988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481</v>
      </c>
      <c r="AG156" s="12">
        <f>VLOOKUP(A156,'Données projet'!$A$61:$I$81,9,0)</f>
        <v>7.083333333333333</v>
      </c>
      <c r="AH156" s="12">
        <f t="array" ref="AH156">INDEX(AG:AG,MIN(IF(ISNUMBER(AG156:AG352),ROW(AG156:AG352),"")))</f>
        <v>7.083333333333333</v>
      </c>
      <c r="AI156" s="13">
        <f>IF('Données projet'!$A$62&gt;35,AI155+AH156-AQ155,IF(A156&lt;'Données projet'!$A$62,$AF$205^A156,IF(A156='Données projet'!$A$62,'Données projet'!$B$62,AI155+AH156-AQ155)))</f>
        <v>480.9999999999992</v>
      </c>
      <c r="AJ156" s="13">
        <f>AI156*VLOOKUP('Données projet'!$B$10,Paramètres!$A$1:$I$89,3,0)*VLOOKUP('Données projet'!$B$10,Paramètres!$A$1:$I$89,5,0)</f>
        <v>487.73399999999918</v>
      </c>
      <c r="AK156" s="13">
        <f t="shared" si="164"/>
        <v>109.35297214605265</v>
      </c>
      <c r="AL156" s="20">
        <f t="shared" si="165"/>
        <v>1039.9264764877069</v>
      </c>
      <c r="AM156" s="59">
        <f t="shared" si="113"/>
        <v>1326.9591219772069</v>
      </c>
      <c r="AN156" s="59">
        <f ca="1">AVERAGE(OFFSET($AM$3,0,0,'Données projet'!$E$10+1,1))-AVERAGE(OFFSET($H$3,0,0,'Données projet'!$E$10+1,1))</f>
        <v>627.83896530587367</v>
      </c>
      <c r="AO156" s="59">
        <f t="shared" si="144"/>
        <v>323.54927030899489</v>
      </c>
      <c r="AP156" s="15" t="str">
        <f>IF(ISNA(VLOOKUP(A156,'Données projet'!$A$61:$I$81,3,0)),0,VLOOKUP(A156,'Données projet'!$A$61:$I$81,3,0))</f>
        <v>CR</v>
      </c>
      <c r="AQ156" s="15">
        <f>IF(ISNA(VLOOKUP(A156,'Données projet'!$A$61:$I$81,4,0)),0,VLOOKUP(A156,'Données projet'!$A$61:$I$81,4,0))</f>
        <v>481</v>
      </c>
      <c r="AR156" s="16">
        <f>IF(ISNA(VLOOKUP(A156,'Données projet'!$A$61:$I$81,5,0)),0%,VLOOKUP(A156,'Données projet'!$A$61:$I$81,5,0)*VLOOKUP('Données projet'!$B$10,Paramètres!$A$1:$I$89,7,0))</f>
        <v>0.30099999999999999</v>
      </c>
      <c r="AS156" s="16">
        <f>IF(ISNA(VLOOKUP(A156,'Données projet'!$A$61:$I$81,6,0)),0%,VLOOKUP(A156,'Données projet'!$A$61:$I$81,6,0)*VLOOKUP('Données projet'!$B$10,Paramètres!$A$1:$I$89,7,0))</f>
        <v>4.3000000000000003E-2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208.5982206388814</v>
      </c>
      <c r="AV156" s="21">
        <f>EXP(-LN(2)/25)*AV155+(1-EXP(-LN(2)/25))/(LN(2)/25)*Calculateur!AQ156*Calculateur!AS156*VLOOKUP('Données projet'!$B$10,Paramètres!$A$1:$I$89,3,0)*0.475*44/12</f>
        <v>35.492839581772813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244.09106022065421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-2.8421709430404007E-13</v>
      </c>
      <c r="BE156" s="13">
        <f>BD156*VLOOKUP('Données projet'!$B$11,Paramètres!$A$1:$I$89,3,0)*VLOOKUP('Données projet'!$B$11,Paramètres!$A$1:$I$89,5,0)</f>
        <v>-2.7489477361086758E-13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508.3185483454435</v>
      </c>
      <c r="BJ156" s="59">
        <f t="shared" si="146"/>
        <v>487.08233034004945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34.627522804660082</v>
      </c>
      <c r="BQ156" s="21">
        <f>EXP(-LN(2)/25)*BQ155+(1-EXP(-LN(2)/25))/(LN(2)/25)*Calculateur!BL156*Calculateur!BN156*VLOOKUP('Données projet'!$B$11,Paramètres!$A$1:$I$89,3,0)*0.475*44/12</f>
        <v>0.65752928494479168</v>
      </c>
      <c r="BR156" s="21">
        <f>EXP(-LN(2)/2)*BR155+(1-EXP(-LN(2)/2))/(LN(2)/2)*BL156*BO156*VLOOKUP('Données projet'!$B$11,Paramètres!$A$1:$I$89,3,0)*0.475*44/12</f>
        <v>7.2126831840580665E-10</v>
      </c>
      <c r="BS156" s="22">
        <f t="shared" si="169"/>
        <v>35.28505209032614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-2.8421709430404007E-13</v>
      </c>
      <c r="BZ156" s="13">
        <f>BY156*VLOOKUP('Données projet'!$B$12,Paramètres!$A$1:$I$89,3,0)*VLOOKUP('Données projet'!$B$12,Paramètres!$A$1:$I$89,5,0)</f>
        <v>-2.3055690689943731E-13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436.50252985867149</v>
      </c>
      <c r="CE156" s="59">
        <f t="shared" si="148"/>
        <v>419.00806288456329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29.042438481327828</v>
      </c>
      <c r="CL156" s="21">
        <f>EXP(-LN(2)/25)*CL155+(1-EXP(-LN(2)/25))/(LN(2)/25)*Calculateur!CG156*Calculateur!CI156*VLOOKUP('Données projet'!$B$12,Paramètres!$A$1:$I$89,3,0)*0.475*44/12</f>
        <v>0.55147617446982511</v>
      </c>
      <c r="CM156" s="21">
        <f>EXP(-LN(2)/2)*CM155+(1-EXP(-LN(2)/2))/(LN(2)/2)*CG156*CJ156*VLOOKUP('Données projet'!$B$12,Paramètres!$A$1:$I$89,3,0)*0.475*44/12</f>
        <v>6.0493471866293588E-10</v>
      </c>
      <c r="CN156" s="22">
        <f t="shared" si="172"/>
        <v>29.593914656402589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-2.8421709430404007E-13</v>
      </c>
      <c r="CU156" s="17">
        <f>CT156*VLOOKUP('Données projet'!$B$13,Paramètres!$A$1:$I$89,3,0)*VLOOKUP('Données projet'!$B$13,Paramètres!$A$1:$I$89,5,0)</f>
        <v>-2.7489477361086758E-13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508.3185483454435</v>
      </c>
      <c r="CZ156" s="59">
        <f t="shared" si="150"/>
        <v>487.08233034004945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34.627522804660082</v>
      </c>
      <c r="DG156" s="21">
        <f>EXP(-LN(2)/25)*DG155+(1-EXP(-LN(2)/25))/(LN(2)/25)*Calculateur!DB156*Calculateur!DD156*VLOOKUP('Données projet'!$B$13,Paramètres!$A$1:$I$89,3,0)*0.475*44/12</f>
        <v>0.65752928494479168</v>
      </c>
      <c r="DH156" s="21">
        <f>EXP(-LN(2)/2)*DH155+(1-EXP(-LN(2)/2))/(LN(2)/2)*DB156*DE156*VLOOKUP('Données projet'!$B$13,Paramètres!$A$1:$I$89,3,0)*0.475*44/12</f>
        <v>7.2126831840580665E-10</v>
      </c>
      <c r="DI156" s="22">
        <f t="shared" si="175"/>
        <v>35.28505209032614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-2.8421709430404007E-13</v>
      </c>
      <c r="DP156" s="17">
        <f>DO156*VLOOKUP('Données projet'!$B$14,Paramètres!$A$1:$I$89,3,0)*VLOOKUP('Données projet'!$B$14,Paramètres!$A$1:$I$89,5,0)</f>
        <v>-2.7489477361086758E-13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508.3185483454435</v>
      </c>
      <c r="DU156" s="59">
        <f t="shared" si="152"/>
        <v>487.08233034004945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34.627522804660082</v>
      </c>
      <c r="EB156" s="21">
        <f>EXP(-LN(2)/25)*EB155+(1-EXP(-LN(2)/25))/(LN(2)/25)*Calculateur!DW156*Calculateur!DY156*VLOOKUP('Données projet'!$B$14,Paramètres!$A$1:$I$89,3,0)*0.475*44/12</f>
        <v>0.65752928494479168</v>
      </c>
      <c r="EC156" s="21">
        <f>EXP(-LN(2)/2)*EC155+(1-EXP(-LN(2)/2))/(LN(2)/2)*DW156*DZ156*VLOOKUP('Données projet'!$B$14,Paramètres!$A$1:$I$89,3,0)*0.475*44/12</f>
        <v>7.2126831840580665E-10</v>
      </c>
      <c r="ED156" s="22">
        <f t="shared" si="178"/>
        <v>35.28505209032614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-7.9580786405131221E-13</v>
      </c>
      <c r="O157" s="13">
        <f>N157*VLOOKUP('Données projet'!$B$9,Paramètres!$A$1:$I$89,3,0)*VLOOKUP('Données projet'!$B$9,Paramètres!$A$1:$I$89,5,0)</f>
        <v>-7.2004695539362725E-13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569.49435820174267</v>
      </c>
      <c r="T157" s="59">
        <f t="shared" si="142"/>
        <v>295.37730858134739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182.48382665140386</v>
      </c>
      <c r="AA157" s="21">
        <f>EXP(-LN(2)/25)*AA156+(1-EXP(-LN(2)/25))/(LN(2)/25)*Calculateur!V157*Calculateur!X157*VLOOKUP('Données projet'!$B$9,Paramètres!$A$1:$I$89,3,0)*0.475*44/12</f>
        <v>30.804501368945711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213.28832802034958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-7.9580786405131221E-13</v>
      </c>
      <c r="AJ157" s="13">
        <f>AI157*VLOOKUP('Données projet'!$B$10,Paramètres!$A$1:$I$89,3,0)*VLOOKUP('Données projet'!$B$10,Paramètres!$A$1:$I$89,5,0)</f>
        <v>-8.0694917414803056E-13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627.83896530587367</v>
      </c>
      <c r="AO157" s="59">
        <f t="shared" si="144"/>
        <v>323.54927030899489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204.50773676450439</v>
      </c>
      <c r="AV157" s="21">
        <f>EXP(-LN(2)/25)*AV156+(1-EXP(-LN(2)/25))/(LN(2)/25)*Calculateur!AQ157*Calculateur!AS157*VLOOKUP('Données projet'!$B$10,Paramètres!$A$1:$I$89,3,0)*0.475*44/12</f>
        <v>34.522286016921925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239.03002278142631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-2.8421709430404007E-13</v>
      </c>
      <c r="BE157" s="13">
        <f>BD157*VLOOKUP('Données projet'!$B$11,Paramètres!$A$1:$I$89,3,0)*VLOOKUP('Données projet'!$B$11,Paramètres!$A$1:$I$89,5,0)</f>
        <v>-2.7489477361086758E-13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508.3185483454435</v>
      </c>
      <c r="BJ157" s="59">
        <f t="shared" si="146"/>
        <v>487.08233034004945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33.948498203164114</v>
      </c>
      <c r="BQ157" s="21">
        <f>EXP(-LN(2)/25)*BQ156+(1-EXP(-LN(2)/25))/(LN(2)/25)*Calculateur!BL157*Calculateur!BN157*VLOOKUP('Données projet'!$B$11,Paramètres!$A$1:$I$89,3,0)*0.475*44/12</f>
        <v>0.63954911207001408</v>
      </c>
      <c r="BR157" s="21">
        <f>EXP(-LN(2)/2)*BR156+(1-EXP(-LN(2)/2))/(LN(2)/2)*BL157*BO157*VLOOKUP('Données projet'!$B$11,Paramètres!$A$1:$I$89,3,0)*0.475*44/12</f>
        <v>5.100137189997638E-10</v>
      </c>
      <c r="BS157" s="22">
        <f t="shared" si="169"/>
        <v>34.588047315744141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-2.8421709430404007E-13</v>
      </c>
      <c r="BZ157" s="13">
        <f>BY157*VLOOKUP('Données projet'!$B$12,Paramètres!$A$1:$I$89,3,0)*VLOOKUP('Données projet'!$B$12,Paramètres!$A$1:$I$89,5,0)</f>
        <v>-2.3055690689943731E-13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436.50252985867149</v>
      </c>
      <c r="CE157" s="59">
        <f t="shared" si="148"/>
        <v>419.00806288456329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28.472933976847337</v>
      </c>
      <c r="CL157" s="21">
        <f>EXP(-LN(2)/25)*CL156+(1-EXP(-LN(2)/25))/(LN(2)/25)*Calculateur!CG157*Calculateur!CI157*VLOOKUP('Données projet'!$B$12,Paramètres!$A$1:$I$89,3,0)*0.475*44/12</f>
        <v>0.53639602947807619</v>
      </c>
      <c r="CM157" s="21">
        <f>EXP(-LN(2)/2)*CM156+(1-EXP(-LN(2)/2))/(LN(2)/2)*CG157*CJ157*VLOOKUP('Données projet'!$B$12,Paramètres!$A$1:$I$89,3,0)*0.475*44/12</f>
        <v>4.277534417417383E-10</v>
      </c>
      <c r="CN157" s="22">
        <f t="shared" si="172"/>
        <v>29.009330006753167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-2.8421709430404007E-13</v>
      </c>
      <c r="CU157" s="17">
        <f>CT157*VLOOKUP('Données projet'!$B$13,Paramètres!$A$1:$I$89,3,0)*VLOOKUP('Données projet'!$B$13,Paramètres!$A$1:$I$89,5,0)</f>
        <v>-2.7489477361086758E-13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508.3185483454435</v>
      </c>
      <c r="CZ157" s="59">
        <f t="shared" si="150"/>
        <v>487.08233034004945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33.948498203164114</v>
      </c>
      <c r="DG157" s="21">
        <f>EXP(-LN(2)/25)*DG156+(1-EXP(-LN(2)/25))/(LN(2)/25)*Calculateur!DB157*Calculateur!DD157*VLOOKUP('Données projet'!$B$13,Paramètres!$A$1:$I$89,3,0)*0.475*44/12</f>
        <v>0.63954911207001408</v>
      </c>
      <c r="DH157" s="21">
        <f>EXP(-LN(2)/2)*DH156+(1-EXP(-LN(2)/2))/(LN(2)/2)*DB157*DE157*VLOOKUP('Données projet'!$B$13,Paramètres!$A$1:$I$89,3,0)*0.475*44/12</f>
        <v>5.100137189997638E-10</v>
      </c>
      <c r="DI157" s="22">
        <f t="shared" si="175"/>
        <v>34.588047315744141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-2.8421709430404007E-13</v>
      </c>
      <c r="DP157" s="17">
        <f>DO157*VLOOKUP('Données projet'!$B$14,Paramètres!$A$1:$I$89,3,0)*VLOOKUP('Données projet'!$B$14,Paramètres!$A$1:$I$89,5,0)</f>
        <v>-2.7489477361086758E-13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508.3185483454435</v>
      </c>
      <c r="DU157" s="59">
        <f t="shared" si="152"/>
        <v>487.08233034004945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33.948498203164114</v>
      </c>
      <c r="EB157" s="21">
        <f>EXP(-LN(2)/25)*EB156+(1-EXP(-LN(2)/25))/(LN(2)/25)*Calculateur!DW157*Calculateur!DY157*VLOOKUP('Données projet'!$B$14,Paramètres!$A$1:$I$89,3,0)*0.475*44/12</f>
        <v>0.63954911207001408</v>
      </c>
      <c r="EC157" s="21">
        <f>EXP(-LN(2)/2)*EC156+(1-EXP(-LN(2)/2))/(LN(2)/2)*DW157*DZ157*VLOOKUP('Données projet'!$B$14,Paramètres!$A$1:$I$89,3,0)*0.475*44/12</f>
        <v>5.100137189997638E-10</v>
      </c>
      <c r="ED157" s="22">
        <f t="shared" si="178"/>
        <v>34.588047315744141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-7.9580786405131221E-13</v>
      </c>
      <c r="O158" s="13">
        <f>N158*VLOOKUP('Données projet'!$B$9,Paramètres!$A$1:$I$89,3,0)*VLOOKUP('Données projet'!$B$9,Paramètres!$A$1:$I$89,5,0)</f>
        <v>-7.2004695539362725E-13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569.49435820174267</v>
      </c>
      <c r="T158" s="59">
        <f t="shared" si="142"/>
        <v>295.37730858134739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178.90543011491371</v>
      </c>
      <c r="AA158" s="21">
        <f>EXP(-LN(2)/25)*AA157+(1-EXP(-LN(2)/25))/(LN(2)/25)*Calculateur!V158*Calculateur!X158*VLOOKUP('Données projet'!$B$9,Paramètres!$A$1:$I$89,3,0)*0.475*44/12</f>
        <v>29.962150659073568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208.86758077398727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-7.9580786405131221E-13</v>
      </c>
      <c r="AJ158" s="13">
        <f>AI158*VLOOKUP('Données projet'!$B$10,Paramètres!$A$1:$I$89,3,0)*VLOOKUP('Données projet'!$B$10,Paramètres!$A$1:$I$89,5,0)</f>
        <v>-8.0694917414803056E-13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627.83896530587367</v>
      </c>
      <c r="AO158" s="59">
        <f t="shared" si="144"/>
        <v>323.54927030899489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200.49746478395508</v>
      </c>
      <c r="AV158" s="21">
        <f>EXP(-LN(2)/25)*AV157+(1-EXP(-LN(2)/25))/(LN(2)/25)*Calculateur!AQ158*Calculateur!AS158*VLOOKUP('Données projet'!$B$10,Paramètres!$A$1:$I$89,3,0)*0.475*44/12</f>
        <v>33.578272290341076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234.07573707429617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-2.8421709430404007E-13</v>
      </c>
      <c r="BE158" s="13">
        <f>BD158*VLOOKUP('Données projet'!$B$11,Paramètres!$A$1:$I$89,3,0)*VLOOKUP('Données projet'!$B$11,Paramètres!$A$1:$I$89,5,0)</f>
        <v>-2.7489477361086758E-13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508.3185483454435</v>
      </c>
      <c r="BJ158" s="59">
        <f t="shared" si="146"/>
        <v>487.08233034004945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33.282788859939366</v>
      </c>
      <c r="BQ158" s="21">
        <f>EXP(-LN(2)/25)*BQ157+(1-EXP(-LN(2)/25))/(LN(2)/25)*Calculateur!BL158*Calculateur!BN158*VLOOKUP('Données projet'!$B$11,Paramètres!$A$1:$I$89,3,0)*0.475*44/12</f>
        <v>0.62206060796803342</v>
      </c>
      <c r="BR158" s="21">
        <f>EXP(-LN(2)/2)*BR157+(1-EXP(-LN(2)/2))/(LN(2)/2)*BL158*BO158*VLOOKUP('Données projet'!$B$11,Paramètres!$A$1:$I$89,3,0)*0.475*44/12</f>
        <v>3.6063415920290332E-10</v>
      </c>
      <c r="BS158" s="22">
        <f t="shared" si="169"/>
        <v>33.904849468268033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-2.8421709430404007E-13</v>
      </c>
      <c r="BZ158" s="13">
        <f>BY158*VLOOKUP('Données projet'!$B$12,Paramètres!$A$1:$I$89,3,0)*VLOOKUP('Données projet'!$B$12,Paramètres!$A$1:$I$89,5,0)</f>
        <v>-2.3055690689943731E-13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436.50252985867149</v>
      </c>
      <c r="CE158" s="59">
        <f t="shared" si="148"/>
        <v>419.00806288456329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27.91459710833626</v>
      </c>
      <c r="CL158" s="21">
        <f>EXP(-LN(2)/25)*CL157+(1-EXP(-LN(2)/25))/(LN(2)/25)*Calculateur!CG158*Calculateur!CI158*VLOOKUP('Données projet'!$B$12,Paramètres!$A$1:$I$89,3,0)*0.475*44/12</f>
        <v>0.52172825184415694</v>
      </c>
      <c r="CM158" s="21">
        <f>EXP(-LN(2)/2)*CM157+(1-EXP(-LN(2)/2))/(LN(2)/2)*CG158*CJ158*VLOOKUP('Données projet'!$B$12,Paramètres!$A$1:$I$89,3,0)*0.475*44/12</f>
        <v>3.0246735933146794E-10</v>
      </c>
      <c r="CN158" s="22">
        <f t="shared" si="172"/>
        <v>28.436325360482883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-2.8421709430404007E-13</v>
      </c>
      <c r="CU158" s="17">
        <f>CT158*VLOOKUP('Données projet'!$B$13,Paramètres!$A$1:$I$89,3,0)*VLOOKUP('Données projet'!$B$13,Paramètres!$A$1:$I$89,5,0)</f>
        <v>-2.7489477361086758E-13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508.3185483454435</v>
      </c>
      <c r="CZ158" s="59">
        <f t="shared" si="150"/>
        <v>487.08233034004945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33.282788859939366</v>
      </c>
      <c r="DG158" s="21">
        <f>EXP(-LN(2)/25)*DG157+(1-EXP(-LN(2)/25))/(LN(2)/25)*Calculateur!DB158*Calculateur!DD158*VLOOKUP('Données projet'!$B$13,Paramètres!$A$1:$I$89,3,0)*0.475*44/12</f>
        <v>0.62206060796803342</v>
      </c>
      <c r="DH158" s="21">
        <f>EXP(-LN(2)/2)*DH157+(1-EXP(-LN(2)/2))/(LN(2)/2)*DB158*DE158*VLOOKUP('Données projet'!$B$13,Paramètres!$A$1:$I$89,3,0)*0.475*44/12</f>
        <v>3.6063415920290332E-10</v>
      </c>
      <c r="DI158" s="22">
        <f t="shared" si="175"/>
        <v>33.904849468268033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-2.8421709430404007E-13</v>
      </c>
      <c r="DP158" s="17">
        <f>DO158*VLOOKUP('Données projet'!$B$14,Paramètres!$A$1:$I$89,3,0)*VLOOKUP('Données projet'!$B$14,Paramètres!$A$1:$I$89,5,0)</f>
        <v>-2.7489477361086758E-13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508.3185483454435</v>
      </c>
      <c r="DU158" s="59">
        <f t="shared" si="152"/>
        <v>487.08233034004945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33.282788859939366</v>
      </c>
      <c r="EB158" s="21">
        <f>EXP(-LN(2)/25)*EB157+(1-EXP(-LN(2)/25))/(LN(2)/25)*Calculateur!DW158*Calculateur!DY158*VLOOKUP('Données projet'!$B$14,Paramètres!$A$1:$I$89,3,0)*0.475*44/12</f>
        <v>0.62206060796803342</v>
      </c>
      <c r="EC158" s="21">
        <f>EXP(-LN(2)/2)*EC157+(1-EXP(-LN(2)/2))/(LN(2)/2)*DW158*DZ158*VLOOKUP('Données projet'!$B$14,Paramètres!$A$1:$I$89,3,0)*0.475*44/12</f>
        <v>3.6063415920290332E-10</v>
      </c>
      <c r="ED158" s="22">
        <f t="shared" si="178"/>
        <v>33.904849468268033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-7.9580786405131221E-13</v>
      </c>
      <c r="O159" s="13">
        <f>N159*VLOOKUP('Données projet'!$B$9,Paramètres!$A$1:$I$89,3,0)*VLOOKUP('Données projet'!$B$9,Paramètres!$A$1:$I$89,5,0)</f>
        <v>-7.2004695539362725E-13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569.49435820174267</v>
      </c>
      <c r="T159" s="59">
        <f t="shared" si="142"/>
        <v>295.37730858134739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175.39720375189776</v>
      </c>
      <c r="AA159" s="21">
        <f>EXP(-LN(2)/25)*AA158+(1-EXP(-LN(2)/25))/(LN(2)/25)*Calculateur!V159*Calculateur!X159*VLOOKUP('Données projet'!$B$9,Paramètres!$A$1:$I$89,3,0)*0.475*44/12</f>
        <v>29.142834073660179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204.54003782555793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-7.9580786405131221E-13</v>
      </c>
      <c r="AJ159" s="13">
        <f>AI159*VLOOKUP('Données projet'!$B$10,Paramètres!$A$1:$I$89,3,0)*VLOOKUP('Données projet'!$B$10,Paramètres!$A$1:$I$89,5,0)</f>
        <v>-8.0694917414803056E-13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627.83896530587367</v>
      </c>
      <c r="AO159" s="59">
        <f t="shared" si="144"/>
        <v>323.54927030899489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196.56583179091996</v>
      </c>
      <c r="AV159" s="21">
        <f>EXP(-LN(2)/25)*AV158+(1-EXP(-LN(2)/25))/(LN(2)/25)*Calculateur!AQ159*Calculateur!AS159*VLOOKUP('Données projet'!$B$10,Paramètres!$A$1:$I$89,3,0)*0.475*44/12</f>
        <v>32.660072668757103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229.22590445967705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-2.8421709430404007E-13</v>
      </c>
      <c r="BE159" s="13">
        <f>BD159*VLOOKUP('Données projet'!$B$11,Paramètres!$A$1:$I$89,3,0)*VLOOKUP('Données projet'!$B$11,Paramètres!$A$1:$I$89,5,0)</f>
        <v>-2.7489477361086758E-13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508.3185483454435</v>
      </c>
      <c r="BJ159" s="59">
        <f t="shared" si="146"/>
        <v>487.08233034004945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32.630133670892654</v>
      </c>
      <c r="BQ159" s="21">
        <f>EXP(-LN(2)/25)*BQ158+(1-EXP(-LN(2)/25))/(LN(2)/25)*Calculateur!BL159*Calculateur!BN159*VLOOKUP('Données projet'!$B$11,Paramètres!$A$1:$I$89,3,0)*0.475*44/12</f>
        <v>0.60505032793040192</v>
      </c>
      <c r="BR159" s="21">
        <f>EXP(-LN(2)/2)*BR158+(1-EXP(-LN(2)/2))/(LN(2)/2)*BL159*BO159*VLOOKUP('Données projet'!$B$11,Paramètres!$A$1:$I$89,3,0)*0.475*44/12</f>
        <v>2.550068594998819E-10</v>
      </c>
      <c r="BS159" s="22">
        <f t="shared" si="169"/>
        <v>33.23518399907806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-2.8421709430404007E-13</v>
      </c>
      <c r="BZ159" s="13">
        <f>BY159*VLOOKUP('Données projet'!$B$12,Paramètres!$A$1:$I$89,3,0)*VLOOKUP('Données projet'!$B$12,Paramètres!$A$1:$I$89,5,0)</f>
        <v>-2.3055690689943731E-13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436.50252985867149</v>
      </c>
      <c r="CE159" s="59">
        <f t="shared" si="148"/>
        <v>419.00806288456329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27.367208885264823</v>
      </c>
      <c r="CL159" s="21">
        <f>EXP(-LN(2)/25)*CL158+(1-EXP(-LN(2)/25))/(LN(2)/25)*Calculateur!CG159*Calculateur!CI159*VLOOKUP('Données projet'!$B$12,Paramètres!$A$1:$I$89,3,0)*0.475*44/12</f>
        <v>0.50746156536098208</v>
      </c>
      <c r="CM159" s="21">
        <f>EXP(-LN(2)/2)*CM158+(1-EXP(-LN(2)/2))/(LN(2)/2)*CG159*CJ159*VLOOKUP('Données projet'!$B$12,Paramètres!$A$1:$I$89,3,0)*0.475*44/12</f>
        <v>2.1387672087086915E-10</v>
      </c>
      <c r="CN159" s="22">
        <f t="shared" si="172"/>
        <v>27.87467045083968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-2.8421709430404007E-13</v>
      </c>
      <c r="CU159" s="17">
        <f>CT159*VLOOKUP('Données projet'!$B$13,Paramètres!$A$1:$I$89,3,0)*VLOOKUP('Données projet'!$B$13,Paramètres!$A$1:$I$89,5,0)</f>
        <v>-2.7489477361086758E-13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508.3185483454435</v>
      </c>
      <c r="CZ159" s="59">
        <f t="shared" si="150"/>
        <v>487.08233034004945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32.630133670892654</v>
      </c>
      <c r="DG159" s="21">
        <f>EXP(-LN(2)/25)*DG158+(1-EXP(-LN(2)/25))/(LN(2)/25)*Calculateur!DB159*Calculateur!DD159*VLOOKUP('Données projet'!$B$13,Paramètres!$A$1:$I$89,3,0)*0.475*44/12</f>
        <v>0.60505032793040192</v>
      </c>
      <c r="DH159" s="21">
        <f>EXP(-LN(2)/2)*DH158+(1-EXP(-LN(2)/2))/(LN(2)/2)*DB159*DE159*VLOOKUP('Données projet'!$B$13,Paramètres!$A$1:$I$89,3,0)*0.475*44/12</f>
        <v>2.550068594998819E-10</v>
      </c>
      <c r="DI159" s="22">
        <f t="shared" si="175"/>
        <v>33.23518399907806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-2.8421709430404007E-13</v>
      </c>
      <c r="DP159" s="17">
        <f>DO159*VLOOKUP('Données projet'!$B$14,Paramètres!$A$1:$I$89,3,0)*VLOOKUP('Données projet'!$B$14,Paramètres!$A$1:$I$89,5,0)</f>
        <v>-2.7489477361086758E-13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508.3185483454435</v>
      </c>
      <c r="DU159" s="59">
        <f t="shared" si="152"/>
        <v>487.08233034004945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32.630133670892654</v>
      </c>
      <c r="EB159" s="21">
        <f>EXP(-LN(2)/25)*EB158+(1-EXP(-LN(2)/25))/(LN(2)/25)*Calculateur!DW159*Calculateur!DY159*VLOOKUP('Données projet'!$B$14,Paramètres!$A$1:$I$89,3,0)*0.475*44/12</f>
        <v>0.60505032793040192</v>
      </c>
      <c r="EC159" s="21">
        <f>EXP(-LN(2)/2)*EC158+(1-EXP(-LN(2)/2))/(LN(2)/2)*DW159*DZ159*VLOOKUP('Données projet'!$B$14,Paramètres!$A$1:$I$89,3,0)*0.475*44/12</f>
        <v>2.550068594998819E-10</v>
      </c>
      <c r="ED159" s="22">
        <f t="shared" si="178"/>
        <v>33.23518399907806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-7.9580786405131221E-13</v>
      </c>
      <c r="O160" s="13">
        <f>N160*VLOOKUP('Données projet'!$B$9,Paramètres!$A$1:$I$89,3,0)*VLOOKUP('Données projet'!$B$9,Paramètres!$A$1:$I$89,5,0)</f>
        <v>-7.2004695539362725E-13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569.49435820174267</v>
      </c>
      <c r="T160" s="59">
        <f t="shared" si="142"/>
        <v>295.37730858134739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171.95777156805377</v>
      </c>
      <c r="AA160" s="21">
        <f>EXP(-LN(2)/25)*AA159+(1-EXP(-LN(2)/25))/(LN(2)/25)*Calculateur!V160*Calculateur!X160*VLOOKUP('Données projet'!$B$9,Paramètres!$A$1:$I$89,3,0)*0.475*44/12</f>
        <v>28.345921743360904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200.30369331141469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-7.9580786405131221E-13</v>
      </c>
      <c r="AJ160" s="13">
        <f>AI160*VLOOKUP('Données projet'!$B$10,Paramètres!$A$1:$I$89,3,0)*VLOOKUP('Données projet'!$B$10,Paramètres!$A$1:$I$89,5,0)</f>
        <v>-8.0694917414803056E-13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627.83896530587367</v>
      </c>
      <c r="AO160" s="59">
        <f t="shared" si="144"/>
        <v>323.54927030899489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192.71129572281893</v>
      </c>
      <c r="AV160" s="21">
        <f>EXP(-LN(2)/25)*AV159+(1-EXP(-LN(2)/25))/(LN(2)/25)*Calculateur!AQ160*Calculateur!AS160*VLOOKUP('Données projet'!$B$10,Paramètres!$A$1:$I$89,3,0)*0.475*44/12</f>
        <v>31.766981264111365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224.4782769869303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-2.8421709430404007E-13</v>
      </c>
      <c r="BE160" s="13">
        <f>BD160*VLOOKUP('Données projet'!$B$11,Paramètres!$A$1:$I$89,3,0)*VLOOKUP('Données projet'!$B$11,Paramètres!$A$1:$I$89,5,0)</f>
        <v>-2.7489477361086758E-13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508.3185483454435</v>
      </c>
      <c r="BJ160" s="59">
        <f t="shared" si="146"/>
        <v>487.08233034004945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31.990276652022789</v>
      </c>
      <c r="BQ160" s="21">
        <f>EXP(-LN(2)/25)*BQ159+(1-EXP(-LN(2)/25))/(LN(2)/25)*Calculateur!BL160*Calculateur!BN160*VLOOKUP('Données projet'!$B$11,Paramètres!$A$1:$I$89,3,0)*0.475*44/12</f>
        <v>0.58850519489493125</v>
      </c>
      <c r="BR160" s="21">
        <f>EXP(-LN(2)/2)*BR159+(1-EXP(-LN(2)/2))/(LN(2)/2)*BL160*BO160*VLOOKUP('Données projet'!$B$11,Paramètres!$A$1:$I$89,3,0)*0.475*44/12</f>
        <v>1.8031707960145166E-10</v>
      </c>
      <c r="BS160" s="22">
        <f t="shared" si="169"/>
        <v>32.578781847098035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-2.8421709430404007E-13</v>
      </c>
      <c r="BZ160" s="13">
        <f>BY160*VLOOKUP('Données projet'!$B$12,Paramètres!$A$1:$I$89,3,0)*VLOOKUP('Données projet'!$B$12,Paramètres!$A$1:$I$89,5,0)</f>
        <v>-2.3055690689943731E-13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436.50252985867149</v>
      </c>
      <c r="CE160" s="59">
        <f t="shared" si="148"/>
        <v>419.00806288456329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26.830554611373966</v>
      </c>
      <c r="CL160" s="21">
        <f>EXP(-LN(2)/25)*CL159+(1-EXP(-LN(2)/25))/(LN(2)/25)*Calculateur!CG160*Calculateur!CI160*VLOOKUP('Données projet'!$B$12,Paramètres!$A$1:$I$89,3,0)*0.475*44/12</f>
        <v>0.49358500216994211</v>
      </c>
      <c r="CM160" s="21">
        <f>EXP(-LN(2)/2)*CM159+(1-EXP(-LN(2)/2))/(LN(2)/2)*CG160*CJ160*VLOOKUP('Données projet'!$B$12,Paramètres!$A$1:$I$89,3,0)*0.475*44/12</f>
        <v>1.5123367966573397E-10</v>
      </c>
      <c r="CN160" s="22">
        <f t="shared" si="172"/>
        <v>27.324139613695142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-2.8421709430404007E-13</v>
      </c>
      <c r="CU160" s="17">
        <f>CT160*VLOOKUP('Données projet'!$B$13,Paramètres!$A$1:$I$89,3,0)*VLOOKUP('Données projet'!$B$13,Paramètres!$A$1:$I$89,5,0)</f>
        <v>-2.7489477361086758E-13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508.3185483454435</v>
      </c>
      <c r="CZ160" s="59">
        <f t="shared" si="150"/>
        <v>487.08233034004945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31.990276652022789</v>
      </c>
      <c r="DG160" s="21">
        <f>EXP(-LN(2)/25)*DG159+(1-EXP(-LN(2)/25))/(LN(2)/25)*Calculateur!DB160*Calculateur!DD160*VLOOKUP('Données projet'!$B$13,Paramètres!$A$1:$I$89,3,0)*0.475*44/12</f>
        <v>0.58850519489493125</v>
      </c>
      <c r="DH160" s="21">
        <f>EXP(-LN(2)/2)*DH159+(1-EXP(-LN(2)/2))/(LN(2)/2)*DB160*DE160*VLOOKUP('Données projet'!$B$13,Paramètres!$A$1:$I$89,3,0)*0.475*44/12</f>
        <v>1.8031707960145166E-10</v>
      </c>
      <c r="DI160" s="22">
        <f t="shared" si="175"/>
        <v>32.578781847098035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-2.8421709430404007E-13</v>
      </c>
      <c r="DP160" s="17">
        <f>DO160*VLOOKUP('Données projet'!$B$14,Paramètres!$A$1:$I$89,3,0)*VLOOKUP('Données projet'!$B$14,Paramètres!$A$1:$I$89,5,0)</f>
        <v>-2.7489477361086758E-13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508.3185483454435</v>
      </c>
      <c r="DU160" s="59">
        <f t="shared" si="152"/>
        <v>487.08233034004945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31.990276652022789</v>
      </c>
      <c r="EB160" s="21">
        <f>EXP(-LN(2)/25)*EB159+(1-EXP(-LN(2)/25))/(LN(2)/25)*Calculateur!DW160*Calculateur!DY160*VLOOKUP('Données projet'!$B$14,Paramètres!$A$1:$I$89,3,0)*0.475*44/12</f>
        <v>0.58850519489493125</v>
      </c>
      <c r="EC160" s="21">
        <f>EXP(-LN(2)/2)*EC159+(1-EXP(-LN(2)/2))/(LN(2)/2)*DW160*DZ160*VLOOKUP('Données projet'!$B$14,Paramètres!$A$1:$I$89,3,0)*0.475*44/12</f>
        <v>1.8031707960145166E-10</v>
      </c>
      <c r="ED160" s="22">
        <f t="shared" si="178"/>
        <v>32.578781847098035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-7.9580786405131221E-13</v>
      </c>
      <c r="O161" s="13">
        <f>N161*VLOOKUP('Données projet'!$B$9,Paramètres!$A$1:$I$89,3,0)*VLOOKUP('Données projet'!$B$9,Paramètres!$A$1:$I$89,5,0)</f>
        <v>-7.2004695539362725E-13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569.49435820174267</v>
      </c>
      <c r="T161" s="59">
        <f t="shared" si="142"/>
        <v>295.37730858134739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168.58578455148847</v>
      </c>
      <c r="AA161" s="21">
        <f>EXP(-LN(2)/25)*AA160+(1-EXP(-LN(2)/25))/(LN(2)/25)*Calculateur!V161*Calculateur!X161*VLOOKUP('Données projet'!$B$9,Paramètres!$A$1:$I$89,3,0)*0.475*44/12</f>
        <v>27.570801022641461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196.15658557412993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-7.9580786405131221E-13</v>
      </c>
      <c r="AJ161" s="13">
        <f>AI161*VLOOKUP('Données projet'!$B$10,Paramètres!$A$1:$I$89,3,0)*VLOOKUP('Données projet'!$B$10,Paramètres!$A$1:$I$89,5,0)</f>
        <v>-8.0694917414803056E-13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627.83896530587367</v>
      </c>
      <c r="AO161" s="59">
        <f t="shared" si="144"/>
        <v>323.54927030899489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188.93234475597851</v>
      </c>
      <c r="AV161" s="21">
        <f>EXP(-LN(2)/25)*AV160+(1-EXP(-LN(2)/25))/(LN(2)/25)*Calculateur!AQ161*Calculateur!AS161*VLOOKUP('Données projet'!$B$10,Paramètres!$A$1:$I$89,3,0)*0.475*44/12</f>
        <v>30.898311490891299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219.83065624686981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-2.8421709430404007E-13</v>
      </c>
      <c r="BE161" s="13">
        <f>BD161*VLOOKUP('Données projet'!$B$11,Paramètres!$A$1:$I$89,3,0)*VLOOKUP('Données projet'!$B$11,Paramètres!$A$1:$I$89,5,0)</f>
        <v>-2.7489477361086758E-13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508.3185483454435</v>
      </c>
      <c r="BJ161" s="59">
        <f t="shared" si="146"/>
        <v>487.08233034004945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31.362966839018718</v>
      </c>
      <c r="BQ161" s="21">
        <f>EXP(-LN(2)/25)*BQ160+(1-EXP(-LN(2)/25))/(LN(2)/25)*Calculateur!BL161*Calculateur!BN161*VLOOKUP('Données projet'!$B$11,Paramètres!$A$1:$I$89,3,0)*0.475*44/12</f>
        <v>0.5724124893923862</v>
      </c>
      <c r="BR161" s="21">
        <f>EXP(-LN(2)/2)*BR160+(1-EXP(-LN(2)/2))/(LN(2)/2)*BL161*BO161*VLOOKUP('Données projet'!$B$11,Paramètres!$A$1:$I$89,3,0)*0.475*44/12</f>
        <v>1.2750342974994095E-10</v>
      </c>
      <c r="BS161" s="22">
        <f t="shared" si="169"/>
        <v>31.935379328538609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-2.8421709430404007E-13</v>
      </c>
      <c r="BZ161" s="13">
        <f>BY161*VLOOKUP('Données projet'!$B$12,Paramètres!$A$1:$I$89,3,0)*VLOOKUP('Données projet'!$B$12,Paramètres!$A$1:$I$89,5,0)</f>
        <v>-2.3055690689943731E-13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436.50252985867149</v>
      </c>
      <c r="CE161" s="59">
        <f t="shared" si="148"/>
        <v>419.00806288456329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26.304423800467323</v>
      </c>
      <c r="CL161" s="21">
        <f>EXP(-LN(2)/25)*CL160+(1-EXP(-LN(2)/25))/(LN(2)/25)*Calculateur!CG161*Calculateur!CI161*VLOOKUP('Données projet'!$B$12,Paramètres!$A$1:$I$89,3,0)*0.475*44/12</f>
        <v>0.48008789432909788</v>
      </c>
      <c r="CM161" s="21">
        <f>EXP(-LN(2)/2)*CM160+(1-EXP(-LN(2)/2))/(LN(2)/2)*CG161*CJ161*VLOOKUP('Données projet'!$B$12,Paramètres!$A$1:$I$89,3,0)*0.475*44/12</f>
        <v>1.0693836043543457E-10</v>
      </c>
      <c r="CN161" s="22">
        <f t="shared" si="172"/>
        <v>26.784511694903358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-2.8421709430404007E-13</v>
      </c>
      <c r="CU161" s="17">
        <f>CT161*VLOOKUP('Données projet'!$B$13,Paramètres!$A$1:$I$89,3,0)*VLOOKUP('Données projet'!$B$13,Paramètres!$A$1:$I$89,5,0)</f>
        <v>-2.7489477361086758E-13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508.3185483454435</v>
      </c>
      <c r="CZ161" s="59">
        <f t="shared" si="150"/>
        <v>487.08233034004945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31.362966839018718</v>
      </c>
      <c r="DG161" s="21">
        <f>EXP(-LN(2)/25)*DG160+(1-EXP(-LN(2)/25))/(LN(2)/25)*Calculateur!DB161*Calculateur!DD161*VLOOKUP('Données projet'!$B$13,Paramètres!$A$1:$I$89,3,0)*0.475*44/12</f>
        <v>0.5724124893923862</v>
      </c>
      <c r="DH161" s="21">
        <f>EXP(-LN(2)/2)*DH160+(1-EXP(-LN(2)/2))/(LN(2)/2)*DB161*DE161*VLOOKUP('Données projet'!$B$13,Paramètres!$A$1:$I$89,3,0)*0.475*44/12</f>
        <v>1.2750342974994095E-10</v>
      </c>
      <c r="DI161" s="22">
        <f t="shared" si="175"/>
        <v>31.935379328538609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-2.8421709430404007E-13</v>
      </c>
      <c r="DP161" s="17">
        <f>DO161*VLOOKUP('Données projet'!$B$14,Paramètres!$A$1:$I$89,3,0)*VLOOKUP('Données projet'!$B$14,Paramètres!$A$1:$I$89,5,0)</f>
        <v>-2.7489477361086758E-13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508.3185483454435</v>
      </c>
      <c r="DU161" s="59">
        <f t="shared" si="152"/>
        <v>487.08233034004945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31.362966839018718</v>
      </c>
      <c r="EB161" s="21">
        <f>EXP(-LN(2)/25)*EB160+(1-EXP(-LN(2)/25))/(LN(2)/25)*Calculateur!DW161*Calculateur!DY161*VLOOKUP('Données projet'!$B$14,Paramètres!$A$1:$I$89,3,0)*0.475*44/12</f>
        <v>0.5724124893923862</v>
      </c>
      <c r="EC161" s="21">
        <f>EXP(-LN(2)/2)*EC160+(1-EXP(-LN(2)/2))/(LN(2)/2)*DW161*DZ161*VLOOKUP('Données projet'!$B$14,Paramètres!$A$1:$I$89,3,0)*0.475*44/12</f>
        <v>1.2750342974994095E-10</v>
      </c>
      <c r="ED161" s="22">
        <f t="shared" si="178"/>
        <v>31.935379328538609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-7.9580786405131221E-13</v>
      </c>
      <c r="O162" s="13">
        <f>N162*VLOOKUP('Données projet'!$B$9,Paramètres!$A$1:$I$89,3,0)*VLOOKUP('Données projet'!$B$9,Paramètres!$A$1:$I$89,5,0)</f>
        <v>-7.2004695539362725E-13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569.49435820174267</v>
      </c>
      <c r="T162" s="59">
        <f t="shared" si="142"/>
        <v>295.37730858134739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165.27992014360902</v>
      </c>
      <c r="AA162" s="21">
        <f>EXP(-LN(2)/25)*AA161+(1-EXP(-LN(2)/25))/(LN(2)/25)*Calculateur!V162*Calculateur!X162*VLOOKUP('Données projet'!$B$9,Paramètres!$A$1:$I$89,3,0)*0.475*44/12</f>
        <v>26.81687601879192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192.09679616240095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-7.9580786405131221E-13</v>
      </c>
      <c r="AJ162" s="13">
        <f>AI162*VLOOKUP('Données projet'!$B$10,Paramètres!$A$1:$I$89,3,0)*VLOOKUP('Données projet'!$B$10,Paramètres!$A$1:$I$89,5,0)</f>
        <v>-8.0694917414803056E-13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627.83896530587367</v>
      </c>
      <c r="AO162" s="59">
        <f t="shared" si="144"/>
        <v>323.54927030899489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185.22749671266533</v>
      </c>
      <c r="AV162" s="21">
        <f>EXP(-LN(2)/25)*AV161+(1-EXP(-LN(2)/25))/(LN(2)/25)*Calculateur!AQ162*Calculateur!AS162*VLOOKUP('Données projet'!$B$10,Paramètres!$A$1:$I$89,3,0)*0.475*44/12</f>
        <v>30.053395538301295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215.28089225096662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-2.8421709430404007E-13</v>
      </c>
      <c r="BE162" s="13">
        <f>BD162*VLOOKUP('Données projet'!$B$11,Paramètres!$A$1:$I$89,3,0)*VLOOKUP('Données projet'!$B$11,Paramètres!$A$1:$I$89,5,0)</f>
        <v>-2.7489477361086758E-13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508.3185483454435</v>
      </c>
      <c r="BJ162" s="59">
        <f t="shared" si="146"/>
        <v>487.08233034004945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30.747958188826448</v>
      </c>
      <c r="BQ162" s="21">
        <f>EXP(-LN(2)/25)*BQ161+(1-EXP(-LN(2)/25))/(LN(2)/25)*Calculateur!BL162*Calculateur!BN162*VLOOKUP('Données projet'!$B$11,Paramètres!$A$1:$I$89,3,0)*0.475*44/12</f>
        <v>0.55675983976808685</v>
      </c>
      <c r="BR162" s="21">
        <f>EXP(-LN(2)/2)*BR161+(1-EXP(-LN(2)/2))/(LN(2)/2)*BL162*BO162*VLOOKUP('Données projet'!$B$11,Paramètres!$A$1:$I$89,3,0)*0.475*44/12</f>
        <v>9.0158539800725831E-11</v>
      </c>
      <c r="BS162" s="22">
        <f t="shared" si="169"/>
        <v>31.304718028684693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-2.8421709430404007E-13</v>
      </c>
      <c r="BZ162" s="13">
        <f>BY162*VLOOKUP('Données projet'!$B$12,Paramètres!$A$1:$I$89,3,0)*VLOOKUP('Données projet'!$B$12,Paramètres!$A$1:$I$89,5,0)</f>
        <v>-2.3055690689943731E-13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436.50252985867149</v>
      </c>
      <c r="CE162" s="59">
        <f t="shared" si="148"/>
        <v>419.00806288456329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25.788610093854452</v>
      </c>
      <c r="CL162" s="21">
        <f>EXP(-LN(2)/25)*CL161+(1-EXP(-LN(2)/25))/(LN(2)/25)*Calculateur!CG162*Calculateur!CI162*VLOOKUP('Données projet'!$B$12,Paramètres!$A$1:$I$89,3,0)*0.475*44/12</f>
        <v>0.46695986561194358</v>
      </c>
      <c r="CM162" s="21">
        <f>EXP(-LN(2)/2)*CM161+(1-EXP(-LN(2)/2))/(LN(2)/2)*CG162*CJ162*VLOOKUP('Données projet'!$B$12,Paramètres!$A$1:$I$89,3,0)*0.475*44/12</f>
        <v>7.5616839832866985E-11</v>
      </c>
      <c r="CN162" s="22">
        <f t="shared" si="172"/>
        <v>26.255569959542012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-2.8421709430404007E-13</v>
      </c>
      <c r="CU162" s="17">
        <f>CT162*VLOOKUP('Données projet'!$B$13,Paramètres!$A$1:$I$89,3,0)*VLOOKUP('Données projet'!$B$13,Paramètres!$A$1:$I$89,5,0)</f>
        <v>-2.7489477361086758E-13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508.3185483454435</v>
      </c>
      <c r="CZ162" s="59">
        <f t="shared" si="150"/>
        <v>487.08233034004945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30.747958188826448</v>
      </c>
      <c r="DG162" s="21">
        <f>EXP(-LN(2)/25)*DG161+(1-EXP(-LN(2)/25))/(LN(2)/25)*Calculateur!DB162*Calculateur!DD162*VLOOKUP('Données projet'!$B$13,Paramètres!$A$1:$I$89,3,0)*0.475*44/12</f>
        <v>0.55675983976808685</v>
      </c>
      <c r="DH162" s="21">
        <f>EXP(-LN(2)/2)*DH161+(1-EXP(-LN(2)/2))/(LN(2)/2)*DB162*DE162*VLOOKUP('Données projet'!$B$13,Paramètres!$A$1:$I$89,3,0)*0.475*44/12</f>
        <v>9.0158539800725831E-11</v>
      </c>
      <c r="DI162" s="22">
        <f t="shared" si="175"/>
        <v>31.304718028684693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-2.8421709430404007E-13</v>
      </c>
      <c r="DP162" s="17">
        <f>DO162*VLOOKUP('Données projet'!$B$14,Paramètres!$A$1:$I$89,3,0)*VLOOKUP('Données projet'!$B$14,Paramètres!$A$1:$I$89,5,0)</f>
        <v>-2.7489477361086758E-13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508.3185483454435</v>
      </c>
      <c r="DU162" s="59">
        <f t="shared" si="152"/>
        <v>487.08233034004945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30.747958188826448</v>
      </c>
      <c r="EB162" s="21">
        <f>EXP(-LN(2)/25)*EB161+(1-EXP(-LN(2)/25))/(LN(2)/25)*Calculateur!DW162*Calculateur!DY162*VLOOKUP('Données projet'!$B$14,Paramètres!$A$1:$I$89,3,0)*0.475*44/12</f>
        <v>0.55675983976808685</v>
      </c>
      <c r="EC162" s="21">
        <f>EXP(-LN(2)/2)*EC161+(1-EXP(-LN(2)/2))/(LN(2)/2)*DW162*DZ162*VLOOKUP('Données projet'!$B$14,Paramètres!$A$1:$I$89,3,0)*0.475*44/12</f>
        <v>9.0158539800725831E-11</v>
      </c>
      <c r="ED162" s="22">
        <f t="shared" si="178"/>
        <v>31.304718028684693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-7.9580786405131221E-13</v>
      </c>
      <c r="O163" s="13">
        <f>N163*VLOOKUP('Données projet'!$B$9,Paramètres!$A$1:$I$89,3,0)*VLOOKUP('Données projet'!$B$9,Paramètres!$A$1:$I$89,5,0)</f>
        <v>-7.2004695539362725E-13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569.49435820174267</v>
      </c>
      <c r="T163" s="59">
        <f t="shared" si="142"/>
        <v>295.37730858134739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162.0388817203899</v>
      </c>
      <c r="AA163" s="21">
        <f>EXP(-LN(2)/25)*AA162+(1-EXP(-LN(2)/25))/(LN(2)/25)*Calculateur!V163*Calculateur!X163*VLOOKUP('Données projet'!$B$9,Paramètres!$A$1:$I$89,3,0)*0.475*44/12</f>
        <v>26.083567133819837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188.12244885420972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-7.9580786405131221E-13</v>
      </c>
      <c r="AJ163" s="13">
        <f>AI163*VLOOKUP('Données projet'!$B$10,Paramètres!$A$1:$I$89,3,0)*VLOOKUP('Données projet'!$B$10,Paramètres!$A$1:$I$89,5,0)</f>
        <v>-8.0694917414803056E-13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627.83896530587367</v>
      </c>
      <c r="AO163" s="59">
        <f t="shared" si="144"/>
        <v>323.54927030899489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181.59529847974736</v>
      </c>
      <c r="AV163" s="21">
        <f>EXP(-LN(2)/25)*AV162+(1-EXP(-LN(2)/25))/(LN(2)/25)*Calculateur!AQ163*Calculateur!AS163*VLOOKUP('Données projet'!$B$10,Paramètres!$A$1:$I$89,3,0)*0.475*44/12</f>
        <v>29.231583856867061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210.8268823366144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-2.8421709430404007E-13</v>
      </c>
      <c r="BE163" s="13">
        <f>BD163*VLOOKUP('Données projet'!$B$11,Paramètres!$A$1:$I$89,3,0)*VLOOKUP('Données projet'!$B$11,Paramètres!$A$1:$I$89,5,0)</f>
        <v>-2.7489477361086758E-13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508.3185483454435</v>
      </c>
      <c r="BJ163" s="59">
        <f t="shared" si="146"/>
        <v>487.08233034004945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30.145009483146215</v>
      </c>
      <c r="BQ163" s="21">
        <f>EXP(-LN(2)/25)*BQ162+(1-EXP(-LN(2)/25))/(LN(2)/25)*Calculateur!BL163*Calculateur!BN163*VLOOKUP('Données projet'!$B$11,Paramètres!$A$1:$I$89,3,0)*0.475*44/12</f>
        <v>0.54153521267090099</v>
      </c>
      <c r="BR163" s="21">
        <f>EXP(-LN(2)/2)*BR162+(1-EXP(-LN(2)/2))/(LN(2)/2)*BL163*BO163*VLOOKUP('Données projet'!$B$11,Paramètres!$A$1:$I$89,3,0)*0.475*44/12</f>
        <v>6.3751714874970475E-11</v>
      </c>
      <c r="BS163" s="22">
        <f t="shared" si="169"/>
        <v>30.686544695880869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-2.8421709430404007E-13</v>
      </c>
      <c r="BZ163" s="13">
        <f>BY163*VLOOKUP('Données projet'!$B$12,Paramètres!$A$1:$I$89,3,0)*VLOOKUP('Données projet'!$B$12,Paramètres!$A$1:$I$89,5,0)</f>
        <v>-2.3055690689943731E-13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436.50252985867149</v>
      </c>
      <c r="CE163" s="59">
        <f t="shared" si="148"/>
        <v>419.00806288456329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25.282911179412963</v>
      </c>
      <c r="CL163" s="21">
        <f>EXP(-LN(2)/25)*CL162+(1-EXP(-LN(2)/25))/(LN(2)/25)*Calculateur!CG163*Calculateur!CI163*VLOOKUP('Données projet'!$B$12,Paramètres!$A$1:$I$89,3,0)*0.475*44/12</f>
        <v>0.45419082353043289</v>
      </c>
      <c r="CM163" s="21">
        <f>EXP(-LN(2)/2)*CM162+(1-EXP(-LN(2)/2))/(LN(2)/2)*CG163*CJ163*VLOOKUP('Données projet'!$B$12,Paramètres!$A$1:$I$89,3,0)*0.475*44/12</f>
        <v>5.3469180217717287E-11</v>
      </c>
      <c r="CN163" s="22">
        <f t="shared" si="172"/>
        <v>25.737102002996863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-2.8421709430404007E-13</v>
      </c>
      <c r="CU163" s="17">
        <f>CT163*VLOOKUP('Données projet'!$B$13,Paramètres!$A$1:$I$89,3,0)*VLOOKUP('Données projet'!$B$13,Paramètres!$A$1:$I$89,5,0)</f>
        <v>-2.7489477361086758E-13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508.3185483454435</v>
      </c>
      <c r="CZ163" s="59">
        <f t="shared" si="150"/>
        <v>487.08233034004945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30.145009483146215</v>
      </c>
      <c r="DG163" s="21">
        <f>EXP(-LN(2)/25)*DG162+(1-EXP(-LN(2)/25))/(LN(2)/25)*Calculateur!DB163*Calculateur!DD163*VLOOKUP('Données projet'!$B$13,Paramètres!$A$1:$I$89,3,0)*0.475*44/12</f>
        <v>0.54153521267090099</v>
      </c>
      <c r="DH163" s="21">
        <f>EXP(-LN(2)/2)*DH162+(1-EXP(-LN(2)/2))/(LN(2)/2)*DB163*DE163*VLOOKUP('Données projet'!$B$13,Paramètres!$A$1:$I$89,3,0)*0.475*44/12</f>
        <v>6.3751714874970475E-11</v>
      </c>
      <c r="DI163" s="22">
        <f t="shared" si="175"/>
        <v>30.686544695880869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-2.8421709430404007E-13</v>
      </c>
      <c r="DP163" s="17">
        <f>DO163*VLOOKUP('Données projet'!$B$14,Paramètres!$A$1:$I$89,3,0)*VLOOKUP('Données projet'!$B$14,Paramètres!$A$1:$I$89,5,0)</f>
        <v>-2.7489477361086758E-13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508.3185483454435</v>
      </c>
      <c r="DU163" s="59">
        <f t="shared" si="152"/>
        <v>487.08233034004945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30.145009483146215</v>
      </c>
      <c r="EB163" s="21">
        <f>EXP(-LN(2)/25)*EB162+(1-EXP(-LN(2)/25))/(LN(2)/25)*Calculateur!DW163*Calculateur!DY163*VLOOKUP('Données projet'!$B$14,Paramètres!$A$1:$I$89,3,0)*0.475*44/12</f>
        <v>0.54153521267090099</v>
      </c>
      <c r="EC163" s="21">
        <f>EXP(-LN(2)/2)*EC162+(1-EXP(-LN(2)/2))/(LN(2)/2)*DW163*DZ163*VLOOKUP('Données projet'!$B$14,Paramètres!$A$1:$I$89,3,0)*0.475*44/12</f>
        <v>6.3751714874970475E-11</v>
      </c>
      <c r="ED163" s="22">
        <f t="shared" si="178"/>
        <v>30.686544695880869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-7.9580786405131221E-13</v>
      </c>
      <c r="O164" s="13">
        <f>N164*VLOOKUP('Données projet'!$B$9,Paramètres!$A$1:$I$89,3,0)*VLOOKUP('Données projet'!$B$9,Paramètres!$A$1:$I$89,5,0)</f>
        <v>-7.2004695539362725E-13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569.49435820174267</v>
      </c>
      <c r="T164" s="59">
        <f t="shared" si="142"/>
        <v>295.37730858134739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158.86139808381185</v>
      </c>
      <c r="AA164" s="21">
        <f>EXP(-LN(2)/25)*AA163+(1-EXP(-LN(2)/25))/(LN(2)/25)*Calculateur!V164*Calculateur!X164*VLOOKUP('Données projet'!$B$9,Paramètres!$A$1:$I$89,3,0)*0.475*44/12</f>
        <v>25.370310618870352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184.2317087026822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-7.9580786405131221E-13</v>
      </c>
      <c r="AJ164" s="13">
        <f>AI164*VLOOKUP('Données projet'!$B$10,Paramètres!$A$1:$I$89,3,0)*VLOOKUP('Données projet'!$B$10,Paramètres!$A$1:$I$89,5,0)</f>
        <v>-8.0694917414803056E-13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627.83896530587367</v>
      </c>
      <c r="AO164" s="59">
        <f t="shared" si="144"/>
        <v>323.54927030899489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178.03432543875473</v>
      </c>
      <c r="AV164" s="21">
        <f>EXP(-LN(2)/25)*AV163+(1-EXP(-LN(2)/25))/(LN(2)/25)*Calculateur!AQ164*Calculateur!AS164*VLOOKUP('Données projet'!$B$10,Paramètres!$A$1:$I$89,3,0)*0.475*44/12</f>
        <v>28.432244659078847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206.4665700978336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-2.8421709430404007E-13</v>
      </c>
      <c r="BE164" s="13">
        <f>BD164*VLOOKUP('Données projet'!$B$11,Paramètres!$A$1:$I$89,3,0)*VLOOKUP('Données projet'!$B$11,Paramètres!$A$1:$I$89,5,0)</f>
        <v>-2.7489477361086758E-13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508.3185483454435</v>
      </c>
      <c r="BJ164" s="59">
        <f t="shared" si="146"/>
        <v>487.08233034004945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29.553884233821972</v>
      </c>
      <c r="BQ164" s="21">
        <f>EXP(-LN(2)/25)*BQ163+(1-EXP(-LN(2)/25))/(LN(2)/25)*Calculateur!BL164*Calculateur!BN164*VLOOKUP('Données projet'!$B$11,Paramètres!$A$1:$I$89,3,0)*0.475*44/12</f>
        <v>0.52672690380231602</v>
      </c>
      <c r="BR164" s="21">
        <f>EXP(-LN(2)/2)*BR163+(1-EXP(-LN(2)/2))/(LN(2)/2)*BL164*BO164*VLOOKUP('Données projet'!$B$11,Paramètres!$A$1:$I$89,3,0)*0.475*44/12</f>
        <v>4.5079269900362915E-11</v>
      </c>
      <c r="BS164" s="22">
        <f t="shared" si="169"/>
        <v>30.080611137669369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-2.8421709430404007E-13</v>
      </c>
      <c r="BZ164" s="13">
        <f>BY164*VLOOKUP('Données projet'!$B$12,Paramètres!$A$1:$I$89,3,0)*VLOOKUP('Données projet'!$B$12,Paramètres!$A$1:$I$89,5,0)</f>
        <v>-2.3055690689943731E-13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436.50252985867149</v>
      </c>
      <c r="CE164" s="59">
        <f t="shared" si="148"/>
        <v>419.00806288456329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24.787128712237791</v>
      </c>
      <c r="CL164" s="21">
        <f>EXP(-LN(2)/25)*CL163+(1-EXP(-LN(2)/25))/(LN(2)/25)*Calculateur!CG164*Calculateur!CI164*VLOOKUP('Données projet'!$B$12,Paramètres!$A$1:$I$89,3,0)*0.475*44/12</f>
        <v>0.44177095157613583</v>
      </c>
      <c r="CM164" s="21">
        <f>EXP(-LN(2)/2)*CM163+(1-EXP(-LN(2)/2))/(LN(2)/2)*CG164*CJ164*VLOOKUP('Données projet'!$B$12,Paramètres!$A$1:$I$89,3,0)*0.475*44/12</f>
        <v>3.7808419916433493E-11</v>
      </c>
      <c r="CN164" s="22">
        <f t="shared" si="172"/>
        <v>25.228899663851735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-2.8421709430404007E-13</v>
      </c>
      <c r="CU164" s="17">
        <f>CT164*VLOOKUP('Données projet'!$B$13,Paramètres!$A$1:$I$89,3,0)*VLOOKUP('Données projet'!$B$13,Paramètres!$A$1:$I$89,5,0)</f>
        <v>-2.7489477361086758E-13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508.3185483454435</v>
      </c>
      <c r="CZ164" s="59">
        <f t="shared" si="150"/>
        <v>487.08233034004945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29.553884233821972</v>
      </c>
      <c r="DG164" s="21">
        <f>EXP(-LN(2)/25)*DG163+(1-EXP(-LN(2)/25))/(LN(2)/25)*Calculateur!DB164*Calculateur!DD164*VLOOKUP('Données projet'!$B$13,Paramètres!$A$1:$I$89,3,0)*0.475*44/12</f>
        <v>0.52672690380231602</v>
      </c>
      <c r="DH164" s="21">
        <f>EXP(-LN(2)/2)*DH163+(1-EXP(-LN(2)/2))/(LN(2)/2)*DB164*DE164*VLOOKUP('Données projet'!$B$13,Paramètres!$A$1:$I$89,3,0)*0.475*44/12</f>
        <v>4.5079269900362915E-11</v>
      </c>
      <c r="DI164" s="22">
        <f t="shared" si="175"/>
        <v>30.080611137669369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-2.8421709430404007E-13</v>
      </c>
      <c r="DP164" s="17">
        <f>DO164*VLOOKUP('Données projet'!$B$14,Paramètres!$A$1:$I$89,3,0)*VLOOKUP('Données projet'!$B$14,Paramètres!$A$1:$I$89,5,0)</f>
        <v>-2.7489477361086758E-13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508.3185483454435</v>
      </c>
      <c r="DU164" s="59">
        <f t="shared" si="152"/>
        <v>487.08233034004945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29.553884233821972</v>
      </c>
      <c r="EB164" s="21">
        <f>EXP(-LN(2)/25)*EB163+(1-EXP(-LN(2)/25))/(LN(2)/25)*Calculateur!DW164*Calculateur!DY164*VLOOKUP('Données projet'!$B$14,Paramètres!$A$1:$I$89,3,0)*0.475*44/12</f>
        <v>0.52672690380231602</v>
      </c>
      <c r="EC164" s="21">
        <f>EXP(-LN(2)/2)*EC163+(1-EXP(-LN(2)/2))/(LN(2)/2)*DW164*DZ164*VLOOKUP('Données projet'!$B$14,Paramètres!$A$1:$I$89,3,0)*0.475*44/12</f>
        <v>4.5079269900362915E-11</v>
      </c>
      <c r="ED164" s="22">
        <f t="shared" si="178"/>
        <v>30.080611137669369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-7.9580786405131221E-13</v>
      </c>
      <c r="O165" s="13">
        <f>N165*VLOOKUP('Données projet'!$B$9,Paramètres!$A$1:$I$89,3,0)*VLOOKUP('Données projet'!$B$9,Paramètres!$A$1:$I$89,5,0)</f>
        <v>-7.2004695539362725E-13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569.49435820174267</v>
      </c>
      <c r="T165" s="59">
        <f t="shared" si="142"/>
        <v>295.37730858134739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155.74622296327345</v>
      </c>
      <c r="AA165" s="21">
        <f>EXP(-LN(2)/25)*AA164+(1-EXP(-LN(2)/25))/(LN(2)/25)*Calculateur!V165*Calculateur!X165*VLOOKUP('Données projet'!$B$9,Paramètres!$A$1:$I$89,3,0)*0.475*44/12</f>
        <v>24.676558140830693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180.42278110410416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-7.9580786405131221E-13</v>
      </c>
      <c r="AJ165" s="13">
        <f>AI165*VLOOKUP('Données projet'!$B$10,Paramètres!$A$1:$I$89,3,0)*VLOOKUP('Données projet'!$B$10,Paramètres!$A$1:$I$89,5,0)</f>
        <v>-8.0694917414803056E-13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627.83896530587367</v>
      </c>
      <c r="AO165" s="59">
        <f t="shared" si="144"/>
        <v>323.54927030899489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174.54318090711689</v>
      </c>
      <c r="AV165" s="21">
        <f>EXP(-LN(2)/25)*AV164+(1-EXP(-LN(2)/25))/(LN(2)/25)*Calculateur!AQ165*Calculateur!AS165*VLOOKUP('Données projet'!$B$10,Paramètres!$A$1:$I$89,3,0)*0.475*44/12</f>
        <v>27.654763433689574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202.19794434080646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-2.8421709430404007E-13</v>
      </c>
      <c r="BE165" s="13">
        <f>BD165*VLOOKUP('Données projet'!$B$11,Paramètres!$A$1:$I$89,3,0)*VLOOKUP('Données projet'!$B$11,Paramètres!$A$1:$I$89,5,0)</f>
        <v>-2.7489477361086758E-13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508.3185483454435</v>
      </c>
      <c r="BJ165" s="59">
        <f t="shared" si="146"/>
        <v>487.08233034004945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28.974350590086178</v>
      </c>
      <c r="BQ165" s="21">
        <f>EXP(-LN(2)/25)*BQ164+(1-EXP(-LN(2)/25))/(LN(2)/25)*Calculateur!BL165*Calculateur!BN165*VLOOKUP('Données projet'!$B$11,Paramètres!$A$1:$I$89,3,0)*0.475*44/12</f>
        <v>0.51232352891847766</v>
      </c>
      <c r="BR165" s="21">
        <f>EXP(-LN(2)/2)*BR164+(1-EXP(-LN(2)/2))/(LN(2)/2)*BL165*BO165*VLOOKUP('Données projet'!$B$11,Paramètres!$A$1:$I$89,3,0)*0.475*44/12</f>
        <v>3.1875857437485238E-11</v>
      </c>
      <c r="BS165" s="22">
        <f t="shared" si="169"/>
        <v>29.486674119036532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-2.8421709430404007E-13</v>
      </c>
      <c r="BZ165" s="13">
        <f>BY165*VLOOKUP('Données projet'!$B$12,Paramètres!$A$1:$I$89,3,0)*VLOOKUP('Données projet'!$B$12,Paramètres!$A$1:$I$89,5,0)</f>
        <v>-2.3055690689943731E-13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436.50252985867149</v>
      </c>
      <c r="CE165" s="59">
        <f t="shared" si="148"/>
        <v>419.00806288456329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24.301068236846479</v>
      </c>
      <c r="CL165" s="21">
        <f>EXP(-LN(2)/25)*CL164+(1-EXP(-LN(2)/25))/(LN(2)/25)*Calculateur!CG165*Calculateur!CI165*VLOOKUP('Données projet'!$B$12,Paramètres!$A$1:$I$89,3,0)*0.475*44/12</f>
        <v>0.42969070167356171</v>
      </c>
      <c r="CM165" s="21">
        <f>EXP(-LN(2)/2)*CM164+(1-EXP(-LN(2)/2))/(LN(2)/2)*CG165*CJ165*VLOOKUP('Données projet'!$B$12,Paramètres!$A$1:$I$89,3,0)*0.475*44/12</f>
        <v>2.6734590108858643E-11</v>
      </c>
      <c r="CN165" s="22">
        <f t="shared" si="172"/>
        <v>24.730758938546774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-2.8421709430404007E-13</v>
      </c>
      <c r="CU165" s="17">
        <f>CT165*VLOOKUP('Données projet'!$B$13,Paramètres!$A$1:$I$89,3,0)*VLOOKUP('Données projet'!$B$13,Paramètres!$A$1:$I$89,5,0)</f>
        <v>-2.7489477361086758E-13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508.3185483454435</v>
      </c>
      <c r="CZ165" s="59">
        <f t="shared" si="150"/>
        <v>487.08233034004945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28.974350590086178</v>
      </c>
      <c r="DG165" s="21">
        <f>EXP(-LN(2)/25)*DG164+(1-EXP(-LN(2)/25))/(LN(2)/25)*Calculateur!DB165*Calculateur!DD165*VLOOKUP('Données projet'!$B$13,Paramètres!$A$1:$I$89,3,0)*0.475*44/12</f>
        <v>0.51232352891847766</v>
      </c>
      <c r="DH165" s="21">
        <f>EXP(-LN(2)/2)*DH164+(1-EXP(-LN(2)/2))/(LN(2)/2)*DB165*DE165*VLOOKUP('Données projet'!$B$13,Paramètres!$A$1:$I$89,3,0)*0.475*44/12</f>
        <v>3.1875857437485238E-11</v>
      </c>
      <c r="DI165" s="22">
        <f t="shared" si="175"/>
        <v>29.486674119036532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-2.8421709430404007E-13</v>
      </c>
      <c r="DP165" s="17">
        <f>DO165*VLOOKUP('Données projet'!$B$14,Paramètres!$A$1:$I$89,3,0)*VLOOKUP('Données projet'!$B$14,Paramètres!$A$1:$I$89,5,0)</f>
        <v>-2.7489477361086758E-13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508.3185483454435</v>
      </c>
      <c r="DU165" s="59">
        <f t="shared" si="152"/>
        <v>487.08233034004945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28.974350590086178</v>
      </c>
      <c r="EB165" s="21">
        <f>EXP(-LN(2)/25)*EB164+(1-EXP(-LN(2)/25))/(LN(2)/25)*Calculateur!DW165*Calculateur!DY165*VLOOKUP('Données projet'!$B$14,Paramètres!$A$1:$I$89,3,0)*0.475*44/12</f>
        <v>0.51232352891847766</v>
      </c>
      <c r="EC165" s="21">
        <f>EXP(-LN(2)/2)*EC164+(1-EXP(-LN(2)/2))/(LN(2)/2)*DW165*DZ165*VLOOKUP('Données projet'!$B$14,Paramètres!$A$1:$I$89,3,0)*0.475*44/12</f>
        <v>3.1875857437485238E-11</v>
      </c>
      <c r="ED165" s="22">
        <f t="shared" si="178"/>
        <v>29.486674119036532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-7.9580786405131221E-13</v>
      </c>
      <c r="O166" s="13">
        <f>N166*VLOOKUP('Données projet'!$B$9,Paramètres!$A$1:$I$89,3,0)*VLOOKUP('Données projet'!$B$9,Paramètres!$A$1:$I$89,5,0)</f>
        <v>-7.2004695539362725E-13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569.49435820174267</v>
      </c>
      <c r="T166" s="59">
        <f t="shared" si="142"/>
        <v>295.37730858134739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152.6921345267796</v>
      </c>
      <c r="AA166" s="21">
        <f>EXP(-LN(2)/25)*AA165+(1-EXP(-LN(2)/25))/(LN(2)/25)*Calculateur!V166*Calculateur!X166*VLOOKUP('Données projet'!$B$9,Paramètres!$A$1:$I$89,3,0)*0.475*44/12</f>
        <v>24.001776360785883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176.69391088756549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-7.9580786405131221E-13</v>
      </c>
      <c r="AJ166" s="13">
        <f>AI166*VLOOKUP('Données projet'!$B$10,Paramètres!$A$1:$I$89,3,0)*VLOOKUP('Données projet'!$B$10,Paramètres!$A$1:$I$89,5,0)</f>
        <v>-8.0694917414803056E-13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627.83896530587367</v>
      </c>
      <c r="AO166" s="59">
        <f t="shared" si="144"/>
        <v>323.54927030899489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171.12049559035654</v>
      </c>
      <c r="AV166" s="21">
        <f>EXP(-LN(2)/25)*AV165+(1-EXP(-LN(2)/25))/(LN(2)/25)*Calculateur!AQ166*Calculateur!AS166*VLOOKUP('Données projet'!$B$10,Paramètres!$A$1:$I$89,3,0)*0.475*44/12</f>
        <v>26.89854247329453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198.01903806365107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-2.8421709430404007E-13</v>
      </c>
      <c r="BE166" s="13">
        <f>BD166*VLOOKUP('Données projet'!$B$11,Paramètres!$A$1:$I$89,3,0)*VLOOKUP('Données projet'!$B$11,Paramètres!$A$1:$I$89,5,0)</f>
        <v>-2.7489477361086758E-13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508.3185483454435</v>
      </c>
      <c r="BJ166" s="59">
        <f t="shared" si="146"/>
        <v>487.08233034004945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28.406181247623422</v>
      </c>
      <c r="BQ166" s="21">
        <f>EXP(-LN(2)/25)*BQ165+(1-EXP(-LN(2)/25))/(LN(2)/25)*Calculateur!BL166*Calculateur!BN166*VLOOKUP('Données projet'!$B$11,Paramètres!$A$1:$I$89,3,0)*0.475*44/12</f>
        <v>0.49831401507827844</v>
      </c>
      <c r="BR166" s="21">
        <f>EXP(-LN(2)/2)*BR165+(1-EXP(-LN(2)/2))/(LN(2)/2)*BL166*BO166*VLOOKUP('Données projet'!$B$11,Paramètres!$A$1:$I$89,3,0)*0.475*44/12</f>
        <v>2.2539634950181458E-11</v>
      </c>
      <c r="BS166" s="22">
        <f t="shared" si="169"/>
        <v>28.90449526272424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-2.8421709430404007E-13</v>
      </c>
      <c r="BZ166" s="13">
        <f>BY166*VLOOKUP('Données projet'!$B$12,Paramètres!$A$1:$I$89,3,0)*VLOOKUP('Données projet'!$B$12,Paramètres!$A$1:$I$89,5,0)</f>
        <v>-2.3055690689943731E-13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436.50252985867149</v>
      </c>
      <c r="CE166" s="59">
        <f t="shared" si="148"/>
        <v>419.00806288456329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23.824539110909974</v>
      </c>
      <c r="CL166" s="21">
        <f>EXP(-LN(2)/25)*CL165+(1-EXP(-LN(2)/25))/(LN(2)/25)*Calculateur!CG166*Calculateur!CI166*VLOOKUP('Données projet'!$B$12,Paramètres!$A$1:$I$89,3,0)*0.475*44/12</f>
        <v>0.41794078683984626</v>
      </c>
      <c r="CM166" s="21">
        <f>EXP(-LN(2)/2)*CM165+(1-EXP(-LN(2)/2))/(LN(2)/2)*CG166*CJ166*VLOOKUP('Données projet'!$B$12,Paramètres!$A$1:$I$89,3,0)*0.475*44/12</f>
        <v>1.8904209958216746E-11</v>
      </c>
      <c r="CN166" s="22">
        <f t="shared" si="172"/>
        <v>24.242479897768725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-2.8421709430404007E-13</v>
      </c>
      <c r="CU166" s="17">
        <f>CT166*VLOOKUP('Données projet'!$B$13,Paramètres!$A$1:$I$89,3,0)*VLOOKUP('Données projet'!$B$13,Paramètres!$A$1:$I$89,5,0)</f>
        <v>-2.7489477361086758E-13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508.3185483454435</v>
      </c>
      <c r="CZ166" s="59">
        <f t="shared" si="150"/>
        <v>487.08233034004945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28.406181247623422</v>
      </c>
      <c r="DG166" s="21">
        <f>EXP(-LN(2)/25)*DG165+(1-EXP(-LN(2)/25))/(LN(2)/25)*Calculateur!DB166*Calculateur!DD166*VLOOKUP('Données projet'!$B$13,Paramètres!$A$1:$I$89,3,0)*0.475*44/12</f>
        <v>0.49831401507827844</v>
      </c>
      <c r="DH166" s="21">
        <f>EXP(-LN(2)/2)*DH165+(1-EXP(-LN(2)/2))/(LN(2)/2)*DB166*DE166*VLOOKUP('Données projet'!$B$13,Paramètres!$A$1:$I$89,3,0)*0.475*44/12</f>
        <v>2.2539634950181458E-11</v>
      </c>
      <c r="DI166" s="22">
        <f t="shared" si="175"/>
        <v>28.90449526272424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-2.8421709430404007E-13</v>
      </c>
      <c r="DP166" s="17">
        <f>DO166*VLOOKUP('Données projet'!$B$14,Paramètres!$A$1:$I$89,3,0)*VLOOKUP('Données projet'!$B$14,Paramètres!$A$1:$I$89,5,0)</f>
        <v>-2.7489477361086758E-13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508.3185483454435</v>
      </c>
      <c r="DU166" s="59">
        <f t="shared" si="152"/>
        <v>487.08233034004945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28.406181247623422</v>
      </c>
      <c r="EB166" s="21">
        <f>EXP(-LN(2)/25)*EB165+(1-EXP(-LN(2)/25))/(LN(2)/25)*Calculateur!DW166*Calculateur!DY166*VLOOKUP('Données projet'!$B$14,Paramètres!$A$1:$I$89,3,0)*0.475*44/12</f>
        <v>0.49831401507827844</v>
      </c>
      <c r="EC166" s="21">
        <f>EXP(-LN(2)/2)*EC165+(1-EXP(-LN(2)/2))/(LN(2)/2)*DW166*DZ166*VLOOKUP('Données projet'!$B$14,Paramètres!$A$1:$I$89,3,0)*0.475*44/12</f>
        <v>2.2539634950181458E-11</v>
      </c>
      <c r="ED166" s="22">
        <f t="shared" si="178"/>
        <v>28.90449526272424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-7.9580786405131221E-13</v>
      </c>
      <c r="O167" s="13">
        <f>N167*VLOOKUP('Données projet'!$B$9,Paramètres!$A$1:$I$89,3,0)*VLOOKUP('Données projet'!$B$9,Paramètres!$A$1:$I$89,5,0)</f>
        <v>-7.2004695539362725E-13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569.49435820174267</v>
      </c>
      <c r="T167" s="59">
        <f t="shared" si="142"/>
        <v>295.37730858134739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149.6979349017154</v>
      </c>
      <c r="AA167" s="21">
        <f>EXP(-LN(2)/25)*AA166+(1-EXP(-LN(2)/25))/(LN(2)/25)*Calculateur!V167*Calculateur!X167*VLOOKUP('Données projet'!$B$9,Paramètres!$A$1:$I$89,3,0)*0.475*44/12</f>
        <v>23.34544652400163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173.04338142571703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-7.9580786405131221E-13</v>
      </c>
      <c r="AJ167" s="13">
        <f>AI167*VLOOKUP('Données projet'!$B$10,Paramètres!$A$1:$I$89,3,0)*VLOOKUP('Données projet'!$B$10,Paramètres!$A$1:$I$89,5,0)</f>
        <v>-8.0694917414803056E-13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627.83896530587367</v>
      </c>
      <c r="AO167" s="59">
        <f t="shared" si="144"/>
        <v>323.54927030899489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167.76492704502596</v>
      </c>
      <c r="AV167" s="21">
        <f>EXP(-LN(2)/25)*AV166+(1-EXP(-LN(2)/25))/(LN(2)/25)*Calculateur!AQ167*Calculateur!AS167*VLOOKUP('Données projet'!$B$10,Paramètres!$A$1:$I$89,3,0)*0.475*44/12</f>
        <v>26.163000414829419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193.92792745985537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-2.8421709430404007E-13</v>
      </c>
      <c r="BE167" s="13">
        <f>BD167*VLOOKUP('Données projet'!$B$11,Paramètres!$A$1:$I$89,3,0)*VLOOKUP('Données projet'!$B$11,Paramètres!$A$1:$I$89,5,0)</f>
        <v>-2.7489477361086758E-13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508.3185483454435</v>
      </c>
      <c r="BJ167" s="59">
        <f t="shared" si="146"/>
        <v>487.08233034004945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27.849153359417283</v>
      </c>
      <c r="BQ167" s="21">
        <f>EXP(-LN(2)/25)*BQ166+(1-EXP(-LN(2)/25))/(LN(2)/25)*Calculateur!BL167*Calculateur!BN167*VLOOKUP('Données projet'!$B$11,Paramètres!$A$1:$I$89,3,0)*0.475*44/12</f>
        <v>0.48468759213076779</v>
      </c>
      <c r="BR167" s="21">
        <f>EXP(-LN(2)/2)*BR166+(1-EXP(-LN(2)/2))/(LN(2)/2)*BL167*BO167*VLOOKUP('Données projet'!$B$11,Paramètres!$A$1:$I$89,3,0)*0.475*44/12</f>
        <v>1.5937928718742619E-11</v>
      </c>
      <c r="BS167" s="22">
        <f t="shared" si="169"/>
        <v>28.333840951563989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-2.8421709430404007E-13</v>
      </c>
      <c r="BZ167" s="13">
        <f>BY167*VLOOKUP('Données projet'!$B$12,Paramètres!$A$1:$I$89,3,0)*VLOOKUP('Données projet'!$B$12,Paramètres!$A$1:$I$89,5,0)</f>
        <v>-2.3055690689943731E-13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436.50252985867149</v>
      </c>
      <c r="CE167" s="59">
        <f t="shared" si="148"/>
        <v>419.00806288456329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23.357354430479017</v>
      </c>
      <c r="CL167" s="21">
        <f>EXP(-LN(2)/25)*CL166+(1-EXP(-LN(2)/25))/(LN(2)/25)*Calculateur!CG167*Calculateur!CI167*VLOOKUP('Données projet'!$B$12,Paramètres!$A$1:$I$89,3,0)*0.475*44/12</f>
        <v>0.40651217404515988</v>
      </c>
      <c r="CM167" s="21">
        <f>EXP(-LN(2)/2)*CM166+(1-EXP(-LN(2)/2))/(LN(2)/2)*CG167*CJ167*VLOOKUP('Données projet'!$B$12,Paramètres!$A$1:$I$89,3,0)*0.475*44/12</f>
        <v>1.3367295054429322E-11</v>
      </c>
      <c r="CN167" s="22">
        <f t="shared" si="172"/>
        <v>23.763866604537547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-2.8421709430404007E-13</v>
      </c>
      <c r="CU167" s="17">
        <f>CT167*VLOOKUP('Données projet'!$B$13,Paramètres!$A$1:$I$89,3,0)*VLOOKUP('Données projet'!$B$13,Paramètres!$A$1:$I$89,5,0)</f>
        <v>-2.7489477361086758E-13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508.3185483454435</v>
      </c>
      <c r="CZ167" s="59">
        <f t="shared" si="150"/>
        <v>487.08233034004945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27.849153359417283</v>
      </c>
      <c r="DG167" s="21">
        <f>EXP(-LN(2)/25)*DG166+(1-EXP(-LN(2)/25))/(LN(2)/25)*Calculateur!DB167*Calculateur!DD167*VLOOKUP('Données projet'!$B$13,Paramètres!$A$1:$I$89,3,0)*0.475*44/12</f>
        <v>0.48468759213076779</v>
      </c>
      <c r="DH167" s="21">
        <f>EXP(-LN(2)/2)*DH166+(1-EXP(-LN(2)/2))/(LN(2)/2)*DB167*DE167*VLOOKUP('Données projet'!$B$13,Paramètres!$A$1:$I$89,3,0)*0.475*44/12</f>
        <v>1.5937928718742619E-11</v>
      </c>
      <c r="DI167" s="22">
        <f t="shared" si="175"/>
        <v>28.333840951563989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-2.8421709430404007E-13</v>
      </c>
      <c r="DP167" s="17">
        <f>DO167*VLOOKUP('Données projet'!$B$14,Paramètres!$A$1:$I$89,3,0)*VLOOKUP('Données projet'!$B$14,Paramètres!$A$1:$I$89,5,0)</f>
        <v>-2.7489477361086758E-13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508.3185483454435</v>
      </c>
      <c r="DU167" s="59">
        <f t="shared" si="152"/>
        <v>487.08233034004945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27.849153359417283</v>
      </c>
      <c r="EB167" s="21">
        <f>EXP(-LN(2)/25)*EB166+(1-EXP(-LN(2)/25))/(LN(2)/25)*Calculateur!DW167*Calculateur!DY167*VLOOKUP('Données projet'!$B$14,Paramètres!$A$1:$I$89,3,0)*0.475*44/12</f>
        <v>0.48468759213076779</v>
      </c>
      <c r="EC167" s="21">
        <f>EXP(-LN(2)/2)*EC166+(1-EXP(-LN(2)/2))/(LN(2)/2)*DW167*DZ167*VLOOKUP('Données projet'!$B$14,Paramètres!$A$1:$I$89,3,0)*0.475*44/12</f>
        <v>1.5937928718742619E-11</v>
      </c>
      <c r="ED167" s="22">
        <f t="shared" si="178"/>
        <v>28.333840951563989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-7.9580786405131221E-13</v>
      </c>
      <c r="O168" s="13">
        <f>N168*VLOOKUP('Données projet'!$B$9,Paramètres!$A$1:$I$89,3,0)*VLOOKUP('Données projet'!$B$9,Paramètres!$A$1:$I$89,5,0)</f>
        <v>-7.2004695539362725E-13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569.49435820174267</v>
      </c>
      <c r="T168" s="59">
        <f t="shared" si="142"/>
        <v>295.37730858134739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146.76244970501725</v>
      </c>
      <c r="AA168" s="21">
        <f>EXP(-LN(2)/25)*AA167+(1-EXP(-LN(2)/25))/(LN(2)/25)*Calculateur!V168*Calculateur!X168*VLOOKUP('Données projet'!$B$9,Paramètres!$A$1:$I$89,3,0)*0.475*44/12</f>
        <v>22.70706406111913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169.46951376613637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-7.9580786405131221E-13</v>
      </c>
      <c r="AJ168" s="13">
        <f>AI168*VLOOKUP('Données projet'!$B$10,Paramètres!$A$1:$I$89,3,0)*VLOOKUP('Données projet'!$B$10,Paramètres!$A$1:$I$89,5,0)</f>
        <v>-8.0694917414803056E-13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627.83896530587367</v>
      </c>
      <c r="AO168" s="59">
        <f t="shared" si="144"/>
        <v>323.54927030899489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164.4751591521746</v>
      </c>
      <c r="AV168" s="21">
        <f>EXP(-LN(2)/25)*AV167+(1-EXP(-LN(2)/25))/(LN(2)/25)*Calculateur!AQ168*Calculateur!AS168*VLOOKUP('Données projet'!$B$10,Paramètres!$A$1:$I$89,3,0)*0.475*44/12</f>
        <v>25.447571792633514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189.92273094480811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-2.8421709430404007E-13</v>
      </c>
      <c r="BE168" s="13">
        <f>BD168*VLOOKUP('Données projet'!$B$11,Paramètres!$A$1:$I$89,3,0)*VLOOKUP('Données projet'!$B$11,Paramètres!$A$1:$I$89,5,0)</f>
        <v>-2.7489477361086758E-13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508.3185483454435</v>
      </c>
      <c r="BJ168" s="59">
        <f t="shared" si="146"/>
        <v>487.08233034004945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27.3030484483454</v>
      </c>
      <c r="BQ168" s="21">
        <f>EXP(-LN(2)/25)*BQ167+(1-EXP(-LN(2)/25))/(LN(2)/25)*Calculateur!BL168*Calculateur!BN168*VLOOKUP('Données projet'!$B$11,Paramètres!$A$1:$I$89,3,0)*0.475*44/12</f>
        <v>0.47143378443533923</v>
      </c>
      <c r="BR168" s="21">
        <f>EXP(-LN(2)/2)*BR167+(1-EXP(-LN(2)/2))/(LN(2)/2)*BL168*BO168*VLOOKUP('Données projet'!$B$11,Paramètres!$A$1:$I$89,3,0)*0.475*44/12</f>
        <v>1.1269817475090729E-11</v>
      </c>
      <c r="BS168" s="22">
        <f t="shared" si="169"/>
        <v>27.77448223279201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-2.8421709430404007E-13</v>
      </c>
      <c r="BZ168" s="13">
        <f>BY168*VLOOKUP('Données projet'!$B$12,Paramètres!$A$1:$I$89,3,0)*VLOOKUP('Données projet'!$B$12,Paramètres!$A$1:$I$89,5,0)</f>
        <v>-2.3055690689943731E-13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436.50252985867149</v>
      </c>
      <c r="CE168" s="59">
        <f t="shared" si="148"/>
        <v>419.00806288456329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22.899330956676792</v>
      </c>
      <c r="CL168" s="21">
        <f>EXP(-LN(2)/25)*CL167+(1-EXP(-LN(2)/25))/(LN(2)/25)*Calculateur!CG168*Calculateur!CI168*VLOOKUP('Données projet'!$B$12,Paramètres!$A$1:$I$89,3,0)*0.475*44/12</f>
        <v>0.39539607726834886</v>
      </c>
      <c r="CM168" s="21">
        <f>EXP(-LN(2)/2)*CM167+(1-EXP(-LN(2)/2))/(LN(2)/2)*CG168*CJ168*VLOOKUP('Données projet'!$B$12,Paramètres!$A$1:$I$89,3,0)*0.475*44/12</f>
        <v>9.4521049791083732E-12</v>
      </c>
      <c r="CN168" s="22">
        <f t="shared" si="172"/>
        <v>23.294727033954594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-2.8421709430404007E-13</v>
      </c>
      <c r="CU168" s="17">
        <f>CT168*VLOOKUP('Données projet'!$B$13,Paramètres!$A$1:$I$89,3,0)*VLOOKUP('Données projet'!$B$13,Paramètres!$A$1:$I$89,5,0)</f>
        <v>-2.7489477361086758E-13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508.3185483454435</v>
      </c>
      <c r="CZ168" s="59">
        <f t="shared" si="150"/>
        <v>487.08233034004945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27.3030484483454</v>
      </c>
      <c r="DG168" s="21">
        <f>EXP(-LN(2)/25)*DG167+(1-EXP(-LN(2)/25))/(LN(2)/25)*Calculateur!DB168*Calculateur!DD168*VLOOKUP('Données projet'!$B$13,Paramètres!$A$1:$I$89,3,0)*0.475*44/12</f>
        <v>0.47143378443533923</v>
      </c>
      <c r="DH168" s="21">
        <f>EXP(-LN(2)/2)*DH167+(1-EXP(-LN(2)/2))/(LN(2)/2)*DB168*DE168*VLOOKUP('Données projet'!$B$13,Paramètres!$A$1:$I$89,3,0)*0.475*44/12</f>
        <v>1.1269817475090729E-11</v>
      </c>
      <c r="DI168" s="22">
        <f t="shared" si="175"/>
        <v>27.77448223279201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-2.8421709430404007E-13</v>
      </c>
      <c r="DP168" s="17">
        <f>DO168*VLOOKUP('Données projet'!$B$14,Paramètres!$A$1:$I$89,3,0)*VLOOKUP('Données projet'!$B$14,Paramètres!$A$1:$I$89,5,0)</f>
        <v>-2.7489477361086758E-13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508.3185483454435</v>
      </c>
      <c r="DU168" s="59">
        <f t="shared" si="152"/>
        <v>487.08233034004945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27.3030484483454</v>
      </c>
      <c r="EB168" s="21">
        <f>EXP(-LN(2)/25)*EB167+(1-EXP(-LN(2)/25))/(LN(2)/25)*Calculateur!DW168*Calculateur!DY168*VLOOKUP('Données projet'!$B$14,Paramètres!$A$1:$I$89,3,0)*0.475*44/12</f>
        <v>0.47143378443533923</v>
      </c>
      <c r="EC168" s="21">
        <f>EXP(-LN(2)/2)*EC167+(1-EXP(-LN(2)/2))/(LN(2)/2)*DW168*DZ168*VLOOKUP('Données projet'!$B$14,Paramètres!$A$1:$I$89,3,0)*0.475*44/12</f>
        <v>1.1269817475090729E-11</v>
      </c>
      <c r="ED168" s="22">
        <f t="shared" si="178"/>
        <v>27.77448223279201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-7.9580786405131221E-13</v>
      </c>
      <c r="O169" s="13">
        <f>N169*VLOOKUP('Données projet'!$B$9,Paramètres!$A$1:$I$89,3,0)*VLOOKUP('Données projet'!$B$9,Paramètres!$A$1:$I$89,5,0)</f>
        <v>-7.2004695539362725E-13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569.49435820174267</v>
      </c>
      <c r="T169" s="59">
        <f t="shared" si="142"/>
        <v>295.37730858134739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143.88452758255718</v>
      </c>
      <c r="AA169" s="21">
        <f>EXP(-LN(2)/25)*AA168+(1-EXP(-LN(2)/25))/(LN(2)/25)*Calculateur!V169*Calculateur!X169*VLOOKUP('Données projet'!$B$9,Paramètres!$A$1:$I$89,3,0)*0.475*44/12</f>
        <v>22.086138200255228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165.9706657828124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-7.9580786405131221E-13</v>
      </c>
      <c r="AJ169" s="13">
        <f>AI169*VLOOKUP('Données projet'!$B$10,Paramètres!$A$1:$I$89,3,0)*VLOOKUP('Données projet'!$B$10,Paramètres!$A$1:$I$89,5,0)</f>
        <v>-8.0694917414803056E-13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627.83896530587367</v>
      </c>
      <c r="AO169" s="59">
        <f t="shared" si="144"/>
        <v>323.54927030899489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161.24990160114177</v>
      </c>
      <c r="AV169" s="21">
        <f>EXP(-LN(2)/25)*AV168+(1-EXP(-LN(2)/25))/(LN(2)/25)*Calculateur!AQ169*Calculateur!AS169*VLOOKUP('Données projet'!$B$10,Paramètres!$A$1:$I$89,3,0)*0.475*44/12</f>
        <v>24.751706603734313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186.00160820487608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-2.8421709430404007E-13</v>
      </c>
      <c r="BE169" s="13">
        <f>BD169*VLOOKUP('Données projet'!$B$11,Paramètres!$A$1:$I$89,3,0)*VLOOKUP('Données projet'!$B$11,Paramètres!$A$1:$I$89,5,0)</f>
        <v>-2.7489477361086758E-13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508.3185483454435</v>
      </c>
      <c r="BJ169" s="59">
        <f t="shared" si="146"/>
        <v>487.08233034004945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26.767652321488534</v>
      </c>
      <c r="BQ169" s="21">
        <f>EXP(-LN(2)/25)*BQ168+(1-EXP(-LN(2)/25))/(LN(2)/25)*Calculateur!BL169*Calculateur!BN169*VLOOKUP('Données projet'!$B$11,Paramètres!$A$1:$I$89,3,0)*0.475*44/12</f>
        <v>0.45854240280832964</v>
      </c>
      <c r="BR169" s="21">
        <f>EXP(-LN(2)/2)*BR168+(1-EXP(-LN(2)/2))/(LN(2)/2)*BL169*BO169*VLOOKUP('Données projet'!$B$11,Paramètres!$A$1:$I$89,3,0)*0.475*44/12</f>
        <v>7.9689643593713094E-12</v>
      </c>
      <c r="BS169" s="22">
        <f t="shared" si="169"/>
        <v>27.226194724304833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-2.8421709430404007E-13</v>
      </c>
      <c r="BZ169" s="13">
        <f>BY169*VLOOKUP('Données projet'!$B$12,Paramètres!$A$1:$I$89,3,0)*VLOOKUP('Données projet'!$B$12,Paramètres!$A$1:$I$89,5,0)</f>
        <v>-2.3055690689943731E-13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436.50252985867149</v>
      </c>
      <c r="CE169" s="59">
        <f t="shared" si="148"/>
        <v>419.00806288456329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22.450289043829095</v>
      </c>
      <c r="CL169" s="21">
        <f>EXP(-LN(2)/25)*CL168+(1-EXP(-LN(2)/25))/(LN(2)/25)*Calculateur!CG169*Calculateur!CI169*VLOOKUP('Données projet'!$B$12,Paramètres!$A$1:$I$89,3,0)*0.475*44/12</f>
        <v>0.38458395074246982</v>
      </c>
      <c r="CM169" s="21">
        <f>EXP(-LN(2)/2)*CM168+(1-EXP(-LN(2)/2))/(LN(2)/2)*CG169*CJ169*VLOOKUP('Données projet'!$B$12,Paramètres!$A$1:$I$89,3,0)*0.475*44/12</f>
        <v>6.6836475272146609E-12</v>
      </c>
      <c r="CN169" s="22">
        <f t="shared" si="172"/>
        <v>22.834872994578248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-2.8421709430404007E-13</v>
      </c>
      <c r="CU169" s="17">
        <f>CT169*VLOOKUP('Données projet'!$B$13,Paramètres!$A$1:$I$89,3,0)*VLOOKUP('Données projet'!$B$13,Paramètres!$A$1:$I$89,5,0)</f>
        <v>-2.7489477361086758E-13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508.3185483454435</v>
      </c>
      <c r="CZ169" s="59">
        <f t="shared" si="150"/>
        <v>487.08233034004945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26.767652321488534</v>
      </c>
      <c r="DG169" s="21">
        <f>EXP(-LN(2)/25)*DG168+(1-EXP(-LN(2)/25))/(LN(2)/25)*Calculateur!DB169*Calculateur!DD169*VLOOKUP('Données projet'!$B$13,Paramètres!$A$1:$I$89,3,0)*0.475*44/12</f>
        <v>0.45854240280832964</v>
      </c>
      <c r="DH169" s="21">
        <f>EXP(-LN(2)/2)*DH168+(1-EXP(-LN(2)/2))/(LN(2)/2)*DB169*DE169*VLOOKUP('Données projet'!$B$13,Paramètres!$A$1:$I$89,3,0)*0.475*44/12</f>
        <v>7.9689643593713094E-12</v>
      </c>
      <c r="DI169" s="22">
        <f t="shared" si="175"/>
        <v>27.226194724304833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-2.8421709430404007E-13</v>
      </c>
      <c r="DP169" s="17">
        <f>DO169*VLOOKUP('Données projet'!$B$14,Paramètres!$A$1:$I$89,3,0)*VLOOKUP('Données projet'!$B$14,Paramètres!$A$1:$I$89,5,0)</f>
        <v>-2.7489477361086758E-13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508.3185483454435</v>
      </c>
      <c r="DU169" s="59">
        <f t="shared" si="152"/>
        <v>487.08233034004945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26.767652321488534</v>
      </c>
      <c r="EB169" s="21">
        <f>EXP(-LN(2)/25)*EB168+(1-EXP(-LN(2)/25))/(LN(2)/25)*Calculateur!DW169*Calculateur!DY169*VLOOKUP('Données projet'!$B$14,Paramètres!$A$1:$I$89,3,0)*0.475*44/12</f>
        <v>0.45854240280832964</v>
      </c>
      <c r="EC169" s="21">
        <f>EXP(-LN(2)/2)*EC168+(1-EXP(-LN(2)/2))/(LN(2)/2)*DW169*DZ169*VLOOKUP('Données projet'!$B$14,Paramètres!$A$1:$I$89,3,0)*0.475*44/12</f>
        <v>7.9689643593713094E-12</v>
      </c>
      <c r="ED169" s="22">
        <f t="shared" si="178"/>
        <v>27.226194724304833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-7.9580786405131221E-13</v>
      </c>
      <c r="O170" s="13">
        <f>N170*VLOOKUP('Données projet'!$B$9,Paramètres!$A$1:$I$89,3,0)*VLOOKUP('Données projet'!$B$9,Paramètres!$A$1:$I$89,5,0)</f>
        <v>-7.2004695539362725E-13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569.49435820174267</v>
      </c>
      <c r="T170" s="59">
        <f t="shared" si="142"/>
        <v>295.37730858134739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141.06303975755938</v>
      </c>
      <c r="AA170" s="21">
        <f>EXP(-LN(2)/25)*AA169+(1-EXP(-LN(2)/25))/(LN(2)/25)*Calculateur!V170*Calculateur!X170*VLOOKUP('Données projet'!$B$9,Paramètres!$A$1:$I$89,3,0)*0.475*44/12</f>
        <v>21.482191589709718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162.54523134726909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-7.9580786405131221E-13</v>
      </c>
      <c r="AJ170" s="13">
        <f>AI170*VLOOKUP('Données projet'!$B$10,Paramètres!$A$1:$I$89,3,0)*VLOOKUP('Données projet'!$B$10,Paramètres!$A$1:$I$89,5,0)</f>
        <v>-8.0694917414803056E-13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627.83896530587367</v>
      </c>
      <c r="AO170" s="59">
        <f t="shared" si="144"/>
        <v>323.54927030899489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158.08788938347183</v>
      </c>
      <c r="AV170" s="21">
        <f>EXP(-LN(2)/25)*AV169+(1-EXP(-LN(2)/25))/(LN(2)/25)*Calculateur!AQ170*Calculateur!AS170*VLOOKUP('Données projet'!$B$10,Paramètres!$A$1:$I$89,3,0)*0.475*44/12</f>
        <v>24.074869885019517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182.16275926849136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-2.8421709430404007E-13</v>
      </c>
      <c r="BE170" s="13">
        <f>BD170*VLOOKUP('Données projet'!$B$11,Paramètres!$A$1:$I$89,3,0)*VLOOKUP('Données projet'!$B$11,Paramètres!$A$1:$I$89,5,0)</f>
        <v>-2.7489477361086758E-13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508.3185483454435</v>
      </c>
      <c r="BJ170" s="59">
        <f t="shared" si="146"/>
        <v>487.08233034004945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26.242754986119937</v>
      </c>
      <c r="BQ170" s="21">
        <f>EXP(-LN(2)/25)*BQ169+(1-EXP(-LN(2)/25))/(LN(2)/25)*Calculateur!BL170*Calculateur!BN170*VLOOKUP('Données projet'!$B$11,Paramètres!$A$1:$I$89,3,0)*0.475*44/12</f>
        <v>0.44600353668983894</v>
      </c>
      <c r="BR170" s="21">
        <f>EXP(-LN(2)/2)*BR169+(1-EXP(-LN(2)/2))/(LN(2)/2)*BL170*BO170*VLOOKUP('Données projet'!$B$11,Paramètres!$A$1:$I$89,3,0)*0.475*44/12</f>
        <v>5.6349087375453644E-12</v>
      </c>
      <c r="BS170" s="22">
        <f t="shared" si="169"/>
        <v>26.688758522815412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-2.8421709430404007E-13</v>
      </c>
      <c r="BZ170" s="13">
        <f>BY170*VLOOKUP('Données projet'!$B$12,Paramètres!$A$1:$I$89,3,0)*VLOOKUP('Données projet'!$B$12,Paramètres!$A$1:$I$89,5,0)</f>
        <v>-2.3055690689943731E-13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436.50252985867149</v>
      </c>
      <c r="CE170" s="59">
        <f t="shared" si="148"/>
        <v>419.00806288456329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22.010052569003818</v>
      </c>
      <c r="CL170" s="21">
        <f>EXP(-LN(2)/25)*CL169+(1-EXP(-LN(2)/25))/(LN(2)/25)*Calculateur!CG170*Calculateur!CI170*VLOOKUP('Données projet'!$B$12,Paramètres!$A$1:$I$89,3,0)*0.475*44/12</f>
        <v>0.37406748238502596</v>
      </c>
      <c r="CM170" s="21">
        <f>EXP(-LN(2)/2)*CM169+(1-EXP(-LN(2)/2))/(LN(2)/2)*CG170*CJ170*VLOOKUP('Données projet'!$B$12,Paramètres!$A$1:$I$89,3,0)*0.475*44/12</f>
        <v>4.7260524895541866E-12</v>
      </c>
      <c r="CN170" s="22">
        <f t="shared" si="172"/>
        <v>22.38412005139357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-2.8421709430404007E-13</v>
      </c>
      <c r="CU170" s="17">
        <f>CT170*VLOOKUP('Données projet'!$B$13,Paramètres!$A$1:$I$89,3,0)*VLOOKUP('Données projet'!$B$13,Paramètres!$A$1:$I$89,5,0)</f>
        <v>-2.7489477361086758E-13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508.3185483454435</v>
      </c>
      <c r="CZ170" s="59">
        <f t="shared" si="150"/>
        <v>487.08233034004945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26.242754986119937</v>
      </c>
      <c r="DG170" s="21">
        <f>EXP(-LN(2)/25)*DG169+(1-EXP(-LN(2)/25))/(LN(2)/25)*Calculateur!DB170*Calculateur!DD170*VLOOKUP('Données projet'!$B$13,Paramètres!$A$1:$I$89,3,0)*0.475*44/12</f>
        <v>0.44600353668983894</v>
      </c>
      <c r="DH170" s="21">
        <f>EXP(-LN(2)/2)*DH169+(1-EXP(-LN(2)/2))/(LN(2)/2)*DB170*DE170*VLOOKUP('Données projet'!$B$13,Paramètres!$A$1:$I$89,3,0)*0.475*44/12</f>
        <v>5.6349087375453644E-12</v>
      </c>
      <c r="DI170" s="22">
        <f t="shared" si="175"/>
        <v>26.688758522815412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-2.8421709430404007E-13</v>
      </c>
      <c r="DP170" s="17">
        <f>DO170*VLOOKUP('Données projet'!$B$14,Paramètres!$A$1:$I$89,3,0)*VLOOKUP('Données projet'!$B$14,Paramètres!$A$1:$I$89,5,0)</f>
        <v>-2.7489477361086758E-13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508.3185483454435</v>
      </c>
      <c r="DU170" s="59">
        <f t="shared" si="152"/>
        <v>487.08233034004945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26.242754986119937</v>
      </c>
      <c r="EB170" s="21">
        <f>EXP(-LN(2)/25)*EB169+(1-EXP(-LN(2)/25))/(LN(2)/25)*Calculateur!DW170*Calculateur!DY170*VLOOKUP('Données projet'!$B$14,Paramètres!$A$1:$I$89,3,0)*0.475*44/12</f>
        <v>0.44600353668983894</v>
      </c>
      <c r="EC170" s="21">
        <f>EXP(-LN(2)/2)*EC169+(1-EXP(-LN(2)/2))/(LN(2)/2)*DW170*DZ170*VLOOKUP('Données projet'!$B$14,Paramètres!$A$1:$I$89,3,0)*0.475*44/12</f>
        <v>5.6349087375453644E-12</v>
      </c>
      <c r="ED170" s="22">
        <f t="shared" si="178"/>
        <v>26.688758522815412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-7.9580786405131221E-13</v>
      </c>
      <c r="O171" s="13">
        <f>N171*VLOOKUP('Données projet'!$B$9,Paramètres!$A$1:$I$89,3,0)*VLOOKUP('Données projet'!$B$9,Paramètres!$A$1:$I$89,5,0)</f>
        <v>-7.2004695539362725E-13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569.49435820174267</v>
      </c>
      <c r="T171" s="59">
        <f t="shared" si="142"/>
        <v>295.37730858134739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138.29687958787216</v>
      </c>
      <c r="AA171" s="21">
        <f>EXP(-LN(2)/25)*AA170+(1-EXP(-LN(2)/25))/(LN(2)/25)*Calculateur!V171*Calculateur!X171*VLOOKUP('Données projet'!$B$9,Paramètres!$A$1:$I$89,3,0)*0.475*44/12</f>
        <v>20.894759930989746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159.1916395188619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-7.9580786405131221E-13</v>
      </c>
      <c r="AJ171" s="13">
        <f>AI171*VLOOKUP('Données projet'!$B$10,Paramètres!$A$1:$I$89,3,0)*VLOOKUP('Données projet'!$B$10,Paramètres!$A$1:$I$89,5,0)</f>
        <v>-8.0694917414803056E-13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627.83896530587367</v>
      </c>
      <c r="AO171" s="59">
        <f t="shared" si="144"/>
        <v>323.54927030899489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154.98788229675338</v>
      </c>
      <c r="AV171" s="21">
        <f>EXP(-LN(2)/25)*AV170+(1-EXP(-LN(2)/25))/(LN(2)/25)*Calculateur!AQ171*Calculateur!AS171*VLOOKUP('Données projet'!$B$10,Paramètres!$A$1:$I$89,3,0)*0.475*44/12</f>
        <v>23.416541301971275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178.40442359872466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-2.8421709430404007E-13</v>
      </c>
      <c r="BE171" s="13">
        <f>BD171*VLOOKUP('Données projet'!$B$11,Paramètres!$A$1:$I$89,3,0)*VLOOKUP('Données projet'!$B$11,Paramètres!$A$1:$I$89,5,0)</f>
        <v>-2.7489477361086758E-13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508.3185483454435</v>
      </c>
      <c r="BJ171" s="59">
        <f t="shared" si="146"/>
        <v>487.08233034004945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25.728150567342155</v>
      </c>
      <c r="BQ171" s="21">
        <f>EXP(-LN(2)/25)*BQ170+(1-EXP(-LN(2)/25))/(LN(2)/25)*Calculateur!BL171*Calculateur!BN171*VLOOKUP('Données projet'!$B$11,Paramètres!$A$1:$I$89,3,0)*0.475*44/12</f>
        <v>0.43380754652474868</v>
      </c>
      <c r="BR171" s="21">
        <f>EXP(-LN(2)/2)*BR170+(1-EXP(-LN(2)/2))/(LN(2)/2)*BL171*BO171*VLOOKUP('Données projet'!$B$11,Paramètres!$A$1:$I$89,3,0)*0.475*44/12</f>
        <v>3.9844821796856547E-12</v>
      </c>
      <c r="BS171" s="22">
        <f t="shared" si="169"/>
        <v>26.161958113870888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-2.8421709430404007E-13</v>
      </c>
      <c r="BZ171" s="13">
        <f>BY171*VLOOKUP('Données projet'!$B$12,Paramètres!$A$1:$I$89,3,0)*VLOOKUP('Données projet'!$B$12,Paramètres!$A$1:$I$89,5,0)</f>
        <v>-2.3055690689943731E-13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436.50252985867149</v>
      </c>
      <c r="CE171" s="59">
        <f t="shared" si="148"/>
        <v>419.00806288456329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21.578448862932131</v>
      </c>
      <c r="CL171" s="21">
        <f>EXP(-LN(2)/25)*CL170+(1-EXP(-LN(2)/25))/(LN(2)/25)*Calculateur!CG171*Calculateur!CI171*VLOOKUP('Données projet'!$B$12,Paramètres!$A$1:$I$89,3,0)*0.475*44/12</f>
        <v>0.36383858740785346</v>
      </c>
      <c r="CM171" s="21">
        <f>EXP(-LN(2)/2)*CM170+(1-EXP(-LN(2)/2))/(LN(2)/2)*CG171*CJ171*VLOOKUP('Données projet'!$B$12,Paramètres!$A$1:$I$89,3,0)*0.475*44/12</f>
        <v>3.3418237636073304E-12</v>
      </c>
      <c r="CN171" s="22">
        <f t="shared" si="172"/>
        <v>21.942287450343329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-2.8421709430404007E-13</v>
      </c>
      <c r="CU171" s="17">
        <f>CT171*VLOOKUP('Données projet'!$B$13,Paramètres!$A$1:$I$89,3,0)*VLOOKUP('Données projet'!$B$13,Paramètres!$A$1:$I$89,5,0)</f>
        <v>-2.7489477361086758E-13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508.3185483454435</v>
      </c>
      <c r="CZ171" s="59">
        <f t="shared" si="150"/>
        <v>487.08233034004945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25.728150567342155</v>
      </c>
      <c r="DG171" s="21">
        <f>EXP(-LN(2)/25)*DG170+(1-EXP(-LN(2)/25))/(LN(2)/25)*Calculateur!DB171*Calculateur!DD171*VLOOKUP('Données projet'!$B$13,Paramètres!$A$1:$I$89,3,0)*0.475*44/12</f>
        <v>0.43380754652474868</v>
      </c>
      <c r="DH171" s="21">
        <f>EXP(-LN(2)/2)*DH170+(1-EXP(-LN(2)/2))/(LN(2)/2)*DB171*DE171*VLOOKUP('Données projet'!$B$13,Paramètres!$A$1:$I$89,3,0)*0.475*44/12</f>
        <v>3.9844821796856547E-12</v>
      </c>
      <c r="DI171" s="22">
        <f t="shared" si="175"/>
        <v>26.161958113870888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-2.8421709430404007E-13</v>
      </c>
      <c r="DP171" s="17">
        <f>DO171*VLOOKUP('Données projet'!$B$14,Paramètres!$A$1:$I$89,3,0)*VLOOKUP('Données projet'!$B$14,Paramètres!$A$1:$I$89,5,0)</f>
        <v>-2.7489477361086758E-13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508.3185483454435</v>
      </c>
      <c r="DU171" s="59">
        <f t="shared" si="152"/>
        <v>487.08233034004945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25.728150567342155</v>
      </c>
      <c r="EB171" s="21">
        <f>EXP(-LN(2)/25)*EB170+(1-EXP(-LN(2)/25))/(LN(2)/25)*Calculateur!DW171*Calculateur!DY171*VLOOKUP('Données projet'!$B$14,Paramètres!$A$1:$I$89,3,0)*0.475*44/12</f>
        <v>0.43380754652474868</v>
      </c>
      <c r="EC171" s="21">
        <f>EXP(-LN(2)/2)*EC170+(1-EXP(-LN(2)/2))/(LN(2)/2)*DW171*DZ171*VLOOKUP('Données projet'!$B$14,Paramètres!$A$1:$I$89,3,0)*0.475*44/12</f>
        <v>3.9844821796856547E-12</v>
      </c>
      <c r="ED171" s="22">
        <f t="shared" si="178"/>
        <v>26.161958113870888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-7.9580786405131221E-13</v>
      </c>
      <c r="O172" s="13">
        <f>N172*VLOOKUP('Données projet'!$B$9,Paramètres!$A$1:$I$89,3,0)*VLOOKUP('Données projet'!$B$9,Paramètres!$A$1:$I$89,5,0)</f>
        <v>-7.2004695539362725E-13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569.49435820174267</v>
      </c>
      <c r="T172" s="59">
        <f t="shared" si="142"/>
        <v>295.37730858134739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135.5849621319214</v>
      </c>
      <c r="AA172" s="21">
        <f>EXP(-LN(2)/25)*AA171+(1-EXP(-LN(2)/25))/(LN(2)/25)*Calculateur!V172*Calculateur!X172*VLOOKUP('Données projet'!$B$9,Paramètres!$A$1:$I$89,3,0)*0.475*44/12</f>
        <v>20.323391621869163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155.90835375379055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-7.9580786405131221E-13</v>
      </c>
      <c r="AJ172" s="13">
        <f>AI172*VLOOKUP('Données projet'!$B$10,Paramètres!$A$1:$I$89,3,0)*VLOOKUP('Données projet'!$B$10,Paramètres!$A$1:$I$89,5,0)</f>
        <v>-8.0694917414803056E-13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627.83896530587367</v>
      </c>
      <c r="AO172" s="59">
        <f t="shared" si="144"/>
        <v>323.54927030899489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151.94866445818786</v>
      </c>
      <c r="AV172" s="21">
        <f>EXP(-LN(2)/25)*AV171+(1-EXP(-LN(2)/25))/(LN(2)/25)*Calculateur!AQ172*Calculateur!AS172*VLOOKUP('Données projet'!$B$10,Paramètres!$A$1:$I$89,3,0)*0.475*44/12</f>
        <v>22.776214748646481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174.72487920683434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-2.8421709430404007E-13</v>
      </c>
      <c r="BE172" s="13">
        <f>BD172*VLOOKUP('Données projet'!$B$11,Paramètres!$A$1:$I$89,3,0)*VLOOKUP('Données projet'!$B$11,Paramètres!$A$1:$I$89,5,0)</f>
        <v>-2.7489477361086758E-13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508.3185483454435</v>
      </c>
      <c r="BJ172" s="59">
        <f t="shared" si="146"/>
        <v>487.08233034004945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25.223637227338905</v>
      </c>
      <c r="BQ172" s="21">
        <f>EXP(-LN(2)/25)*BQ171+(1-EXP(-LN(2)/25))/(LN(2)/25)*Calculateur!BL172*Calculateur!BN172*VLOOKUP('Données projet'!$B$11,Paramètres!$A$1:$I$89,3,0)*0.475*44/12</f>
        <v>0.42194505635208202</v>
      </c>
      <c r="BR172" s="21">
        <f>EXP(-LN(2)/2)*BR171+(1-EXP(-LN(2)/2))/(LN(2)/2)*BL172*BO172*VLOOKUP('Données projet'!$B$11,Paramètres!$A$1:$I$89,3,0)*0.475*44/12</f>
        <v>2.8174543687726822E-12</v>
      </c>
      <c r="BS172" s="22">
        <f t="shared" si="169"/>
        <v>25.645582283693805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-2.8421709430404007E-13</v>
      </c>
      <c r="BZ172" s="13">
        <f>BY172*VLOOKUP('Données projet'!$B$12,Paramètres!$A$1:$I$89,3,0)*VLOOKUP('Données projet'!$B$12,Paramètres!$A$1:$I$89,5,0)</f>
        <v>-2.3055690689943731E-13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436.50252985867149</v>
      </c>
      <c r="CE172" s="59">
        <f t="shared" si="148"/>
        <v>419.00806288456329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21.155308642284243</v>
      </c>
      <c r="CL172" s="21">
        <f>EXP(-LN(2)/25)*CL171+(1-EXP(-LN(2)/25))/(LN(2)/25)*Calculateur!CG172*Calculateur!CI172*VLOOKUP('Données projet'!$B$12,Paramètres!$A$1:$I$89,3,0)*0.475*44/12</f>
        <v>0.35388940210174596</v>
      </c>
      <c r="CM172" s="21">
        <f>EXP(-LN(2)/2)*CM171+(1-EXP(-LN(2)/2))/(LN(2)/2)*CG172*CJ172*VLOOKUP('Données projet'!$B$12,Paramètres!$A$1:$I$89,3,0)*0.475*44/12</f>
        <v>2.3630262447770933E-12</v>
      </c>
      <c r="CN172" s="22">
        <f t="shared" si="172"/>
        <v>21.509198044388352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-2.8421709430404007E-13</v>
      </c>
      <c r="CU172" s="17">
        <f>CT172*VLOOKUP('Données projet'!$B$13,Paramètres!$A$1:$I$89,3,0)*VLOOKUP('Données projet'!$B$13,Paramètres!$A$1:$I$89,5,0)</f>
        <v>-2.7489477361086758E-13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508.3185483454435</v>
      </c>
      <c r="CZ172" s="59">
        <f t="shared" si="150"/>
        <v>487.08233034004945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25.223637227338905</v>
      </c>
      <c r="DG172" s="21">
        <f>EXP(-LN(2)/25)*DG171+(1-EXP(-LN(2)/25))/(LN(2)/25)*Calculateur!DB172*Calculateur!DD172*VLOOKUP('Données projet'!$B$13,Paramètres!$A$1:$I$89,3,0)*0.475*44/12</f>
        <v>0.42194505635208202</v>
      </c>
      <c r="DH172" s="21">
        <f>EXP(-LN(2)/2)*DH171+(1-EXP(-LN(2)/2))/(LN(2)/2)*DB172*DE172*VLOOKUP('Données projet'!$B$13,Paramètres!$A$1:$I$89,3,0)*0.475*44/12</f>
        <v>2.8174543687726822E-12</v>
      </c>
      <c r="DI172" s="22">
        <f t="shared" si="175"/>
        <v>25.645582283693805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-2.8421709430404007E-13</v>
      </c>
      <c r="DP172" s="17">
        <f>DO172*VLOOKUP('Données projet'!$B$14,Paramètres!$A$1:$I$89,3,0)*VLOOKUP('Données projet'!$B$14,Paramètres!$A$1:$I$89,5,0)</f>
        <v>-2.7489477361086758E-13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508.3185483454435</v>
      </c>
      <c r="DU172" s="59">
        <f t="shared" si="152"/>
        <v>487.08233034004945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25.223637227338905</v>
      </c>
      <c r="EB172" s="21">
        <f>EXP(-LN(2)/25)*EB171+(1-EXP(-LN(2)/25))/(LN(2)/25)*Calculateur!DW172*Calculateur!DY172*VLOOKUP('Données projet'!$B$14,Paramètres!$A$1:$I$89,3,0)*0.475*44/12</f>
        <v>0.42194505635208202</v>
      </c>
      <c r="EC172" s="21">
        <f>EXP(-LN(2)/2)*EC171+(1-EXP(-LN(2)/2))/(LN(2)/2)*DW172*DZ172*VLOOKUP('Données projet'!$B$14,Paramètres!$A$1:$I$89,3,0)*0.475*44/12</f>
        <v>2.8174543687726822E-12</v>
      </c>
      <c r="ED172" s="22">
        <f t="shared" si="178"/>
        <v>25.645582283693805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-7.9580786405131221E-13</v>
      </c>
      <c r="O173" s="13">
        <f>N173*VLOOKUP('Données projet'!$B$9,Paramètres!$A$1:$I$89,3,0)*VLOOKUP('Données projet'!$B$9,Paramètres!$A$1:$I$89,5,0)</f>
        <v>-7.2004695539362725E-13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569.49435820174267</v>
      </c>
      <c r="T173" s="59">
        <f t="shared" si="142"/>
        <v>295.37730858134739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132.9262237231755</v>
      </c>
      <c r="AA173" s="21">
        <f>EXP(-LN(2)/25)*AA172+(1-EXP(-LN(2)/25))/(LN(2)/25)*Calculateur!V173*Calculateur!X173*VLOOKUP('Données projet'!$B$9,Paramètres!$A$1:$I$89,3,0)*0.475*44/12</f>
        <v>19.767647409208436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152.69387113238395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-7.9580786405131221E-13</v>
      </c>
      <c r="AJ173" s="13">
        <f>AI173*VLOOKUP('Données projet'!$B$10,Paramètres!$A$1:$I$89,3,0)*VLOOKUP('Données projet'!$B$10,Paramètres!$A$1:$I$89,5,0)</f>
        <v>-8.0694917414803056E-13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627.83896530587367</v>
      </c>
      <c r="AO173" s="59">
        <f t="shared" si="144"/>
        <v>323.54927030899489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148.96904382769677</v>
      </c>
      <c r="AV173" s="21">
        <f>EXP(-LN(2)/25)*AV172+(1-EXP(-LN(2)/25))/(LN(2)/25)*Calculateur!AQ173*Calculateur!AS173*VLOOKUP('Données projet'!$B$10,Paramètres!$A$1:$I$89,3,0)*0.475*44/12</f>
        <v>22.153397958595665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171.12244178629243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-2.8421709430404007E-13</v>
      </c>
      <c r="BE173" s="13">
        <f>BD173*VLOOKUP('Données projet'!$B$11,Paramètres!$A$1:$I$89,3,0)*VLOOKUP('Données projet'!$B$11,Paramètres!$A$1:$I$89,5,0)</f>
        <v>-2.7489477361086758E-13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508.3185483454435</v>
      </c>
      <c r="BJ173" s="59">
        <f t="shared" si="146"/>
        <v>487.08233034004945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24.729017086210366</v>
      </c>
      <c r="BQ173" s="21">
        <f>EXP(-LN(2)/25)*BQ172+(1-EXP(-LN(2)/25))/(LN(2)/25)*Calculateur!BL173*Calculateur!BN173*VLOOKUP('Données projet'!$B$11,Paramètres!$A$1:$I$89,3,0)*0.475*44/12</f>
        <v>0.41040694659700816</v>
      </c>
      <c r="BR173" s="21">
        <f>EXP(-LN(2)/2)*BR172+(1-EXP(-LN(2)/2))/(LN(2)/2)*BL173*BO173*VLOOKUP('Données projet'!$B$11,Paramètres!$A$1:$I$89,3,0)*0.475*44/12</f>
        <v>1.9922410898428273E-12</v>
      </c>
      <c r="BS173" s="22">
        <f t="shared" si="169"/>
        <v>25.139424032809366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-2.8421709430404007E-13</v>
      </c>
      <c r="BZ173" s="13">
        <f>BY173*VLOOKUP('Données projet'!$B$12,Paramètres!$A$1:$I$89,3,0)*VLOOKUP('Données projet'!$B$12,Paramètres!$A$1:$I$89,5,0)</f>
        <v>-2.3055690689943731E-13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436.50252985867149</v>
      </c>
      <c r="CE173" s="59">
        <f t="shared" si="148"/>
        <v>419.00806288456329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20.740465943273211</v>
      </c>
      <c r="CL173" s="21">
        <f>EXP(-LN(2)/25)*CL172+(1-EXP(-LN(2)/25))/(LN(2)/25)*Calculateur!CG173*Calculateur!CI173*VLOOKUP('Données projet'!$B$12,Paramètres!$A$1:$I$89,3,0)*0.475*44/12</f>
        <v>0.34421227779103891</v>
      </c>
      <c r="CM173" s="21">
        <f>EXP(-LN(2)/2)*CM172+(1-EXP(-LN(2)/2))/(LN(2)/2)*CG173*CJ173*VLOOKUP('Données projet'!$B$12,Paramètres!$A$1:$I$89,3,0)*0.475*44/12</f>
        <v>1.6709118818036652E-12</v>
      </c>
      <c r="CN173" s="22">
        <f t="shared" si="172"/>
        <v>21.084678221065921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-2.8421709430404007E-13</v>
      </c>
      <c r="CU173" s="17">
        <f>CT173*VLOOKUP('Données projet'!$B$13,Paramètres!$A$1:$I$89,3,0)*VLOOKUP('Données projet'!$B$13,Paramètres!$A$1:$I$89,5,0)</f>
        <v>-2.7489477361086758E-13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508.3185483454435</v>
      </c>
      <c r="CZ173" s="59">
        <f t="shared" si="150"/>
        <v>487.08233034004945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24.729017086210366</v>
      </c>
      <c r="DG173" s="21">
        <f>EXP(-LN(2)/25)*DG172+(1-EXP(-LN(2)/25))/(LN(2)/25)*Calculateur!DB173*Calculateur!DD173*VLOOKUP('Données projet'!$B$13,Paramètres!$A$1:$I$89,3,0)*0.475*44/12</f>
        <v>0.41040694659700816</v>
      </c>
      <c r="DH173" s="21">
        <f>EXP(-LN(2)/2)*DH172+(1-EXP(-LN(2)/2))/(LN(2)/2)*DB173*DE173*VLOOKUP('Données projet'!$B$13,Paramètres!$A$1:$I$89,3,0)*0.475*44/12</f>
        <v>1.9922410898428273E-12</v>
      </c>
      <c r="DI173" s="22">
        <f t="shared" si="175"/>
        <v>25.139424032809366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-2.8421709430404007E-13</v>
      </c>
      <c r="DP173" s="17">
        <f>DO173*VLOOKUP('Données projet'!$B$14,Paramètres!$A$1:$I$89,3,0)*VLOOKUP('Données projet'!$B$14,Paramètres!$A$1:$I$89,5,0)</f>
        <v>-2.7489477361086758E-13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508.3185483454435</v>
      </c>
      <c r="DU173" s="59">
        <f t="shared" si="152"/>
        <v>487.08233034004945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24.729017086210366</v>
      </c>
      <c r="EB173" s="21">
        <f>EXP(-LN(2)/25)*EB172+(1-EXP(-LN(2)/25))/(LN(2)/25)*Calculateur!DW173*Calculateur!DY173*VLOOKUP('Données projet'!$B$14,Paramètres!$A$1:$I$89,3,0)*0.475*44/12</f>
        <v>0.41040694659700816</v>
      </c>
      <c r="EC173" s="21">
        <f>EXP(-LN(2)/2)*EC172+(1-EXP(-LN(2)/2))/(LN(2)/2)*DW173*DZ173*VLOOKUP('Données projet'!$B$14,Paramètres!$A$1:$I$89,3,0)*0.475*44/12</f>
        <v>1.9922410898428273E-12</v>
      </c>
      <c r="ED173" s="22">
        <f t="shared" si="178"/>
        <v>25.139424032809366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-7.9580786405131221E-13</v>
      </c>
      <c r="O174" s="13">
        <f>N174*VLOOKUP('Données projet'!$B$9,Paramètres!$A$1:$I$89,3,0)*VLOOKUP('Données projet'!$B$9,Paramètres!$A$1:$I$89,5,0)</f>
        <v>-7.2004695539362725E-13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569.49435820174267</v>
      </c>
      <c r="T174" s="59">
        <f t="shared" si="142"/>
        <v>295.37730858134739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130.3196215529548</v>
      </c>
      <c r="AA174" s="21">
        <f>EXP(-LN(2)/25)*AA173+(1-EXP(-LN(2)/25))/(LN(2)/25)*Calculateur!V174*Calculateur!X174*VLOOKUP('Données projet'!$B$9,Paramètres!$A$1:$I$89,3,0)*0.475*44/12</f>
        <v>19.227100051268234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149.54672160422302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-7.9580786405131221E-13</v>
      </c>
      <c r="AJ174" s="13">
        <f>AI174*VLOOKUP('Données projet'!$B$10,Paramètres!$A$1:$I$89,3,0)*VLOOKUP('Données projet'!$B$10,Paramètres!$A$1:$I$89,5,0)</f>
        <v>-8.0694917414803056E-13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627.83896530587367</v>
      </c>
      <c r="AO174" s="59">
        <f t="shared" si="144"/>
        <v>323.54927030899489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146.04785174038048</v>
      </c>
      <c r="AV174" s="21">
        <f>EXP(-LN(2)/25)*AV173+(1-EXP(-LN(2)/25))/(LN(2)/25)*Calculateur!AQ174*Calculateur!AS174*VLOOKUP('Données projet'!$B$10,Paramètres!$A$1:$I$89,3,0)*0.475*44/12</f>
        <v>21.547612126421299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167.59546386680177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-2.8421709430404007E-13</v>
      </c>
      <c r="BE174" s="13">
        <f>BD174*VLOOKUP('Données projet'!$B$11,Paramètres!$A$1:$I$89,3,0)*VLOOKUP('Données projet'!$B$11,Paramètres!$A$1:$I$89,5,0)</f>
        <v>-2.7489477361086758E-13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508.3185483454435</v>
      </c>
      <c r="BJ174" s="59">
        <f t="shared" si="146"/>
        <v>487.08233034004945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24.24409614436086</v>
      </c>
      <c r="BQ174" s="21">
        <f>EXP(-LN(2)/25)*BQ173+(1-EXP(-LN(2)/25))/(LN(2)/25)*Calculateur!BL174*Calculateur!BN174*VLOOKUP('Données projet'!$B$11,Paramètres!$A$1:$I$89,3,0)*0.475*44/12</f>
        <v>0.39918434705994965</v>
      </c>
      <c r="BR174" s="21">
        <f>EXP(-LN(2)/2)*BR173+(1-EXP(-LN(2)/2))/(LN(2)/2)*BL174*BO174*VLOOKUP('Données projet'!$B$11,Paramètres!$A$1:$I$89,3,0)*0.475*44/12</f>
        <v>1.4087271843863411E-12</v>
      </c>
      <c r="BS174" s="22">
        <f t="shared" si="169"/>
        <v>24.643280491422221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-2.8421709430404007E-13</v>
      </c>
      <c r="BZ174" s="13">
        <f>BY174*VLOOKUP('Données projet'!$B$12,Paramètres!$A$1:$I$89,3,0)*VLOOKUP('Données projet'!$B$12,Paramètres!$A$1:$I$89,5,0)</f>
        <v>-2.3055690689943731E-13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436.50252985867149</v>
      </c>
      <c r="CE174" s="59">
        <f t="shared" si="148"/>
        <v>419.00806288456329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20.333758056560722</v>
      </c>
      <c r="CL174" s="21">
        <f>EXP(-LN(2)/25)*CL173+(1-EXP(-LN(2)/25))/(LN(2)/25)*Calculateur!CG174*Calculateur!CI174*VLOOKUP('Données projet'!$B$12,Paramètres!$A$1:$I$89,3,0)*0.475*44/12</f>
        <v>0.33479977495350599</v>
      </c>
      <c r="CM174" s="21">
        <f>EXP(-LN(2)/2)*CM173+(1-EXP(-LN(2)/2))/(LN(2)/2)*CG174*CJ174*VLOOKUP('Données projet'!$B$12,Paramètres!$A$1:$I$89,3,0)*0.475*44/12</f>
        <v>1.1815131223885466E-12</v>
      </c>
      <c r="CN174" s="22">
        <f t="shared" si="172"/>
        <v>20.668557831515411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-2.8421709430404007E-13</v>
      </c>
      <c r="CU174" s="17">
        <f>CT174*VLOOKUP('Données projet'!$B$13,Paramètres!$A$1:$I$89,3,0)*VLOOKUP('Données projet'!$B$13,Paramètres!$A$1:$I$89,5,0)</f>
        <v>-2.7489477361086758E-13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508.3185483454435</v>
      </c>
      <c r="CZ174" s="59">
        <f t="shared" si="150"/>
        <v>487.08233034004945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24.24409614436086</v>
      </c>
      <c r="DG174" s="21">
        <f>EXP(-LN(2)/25)*DG173+(1-EXP(-LN(2)/25))/(LN(2)/25)*Calculateur!DB174*Calculateur!DD174*VLOOKUP('Données projet'!$B$13,Paramètres!$A$1:$I$89,3,0)*0.475*44/12</f>
        <v>0.39918434705994965</v>
      </c>
      <c r="DH174" s="21">
        <f>EXP(-LN(2)/2)*DH173+(1-EXP(-LN(2)/2))/(LN(2)/2)*DB174*DE174*VLOOKUP('Données projet'!$B$13,Paramètres!$A$1:$I$89,3,0)*0.475*44/12</f>
        <v>1.4087271843863411E-12</v>
      </c>
      <c r="DI174" s="22">
        <f t="shared" si="175"/>
        <v>24.643280491422221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-2.8421709430404007E-13</v>
      </c>
      <c r="DP174" s="17">
        <f>DO174*VLOOKUP('Données projet'!$B$14,Paramètres!$A$1:$I$89,3,0)*VLOOKUP('Données projet'!$B$14,Paramètres!$A$1:$I$89,5,0)</f>
        <v>-2.7489477361086758E-13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508.3185483454435</v>
      </c>
      <c r="DU174" s="59">
        <f t="shared" si="152"/>
        <v>487.08233034004945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24.24409614436086</v>
      </c>
      <c r="EB174" s="21">
        <f>EXP(-LN(2)/25)*EB173+(1-EXP(-LN(2)/25))/(LN(2)/25)*Calculateur!DW174*Calculateur!DY174*VLOOKUP('Données projet'!$B$14,Paramètres!$A$1:$I$89,3,0)*0.475*44/12</f>
        <v>0.39918434705994965</v>
      </c>
      <c r="EC174" s="21">
        <f>EXP(-LN(2)/2)*EC173+(1-EXP(-LN(2)/2))/(LN(2)/2)*DW174*DZ174*VLOOKUP('Données projet'!$B$14,Paramètres!$A$1:$I$89,3,0)*0.475*44/12</f>
        <v>1.4087271843863411E-12</v>
      </c>
      <c r="ED174" s="22">
        <f t="shared" si="178"/>
        <v>24.643280491422221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-7.9580786405131221E-13</v>
      </c>
      <c r="O175" s="13">
        <f>N175*VLOOKUP('Données projet'!$B$9,Paramètres!$A$1:$I$89,3,0)*VLOOKUP('Données projet'!$B$9,Paramètres!$A$1:$I$89,5,0)</f>
        <v>-7.2004695539362725E-13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569.49435820174267</v>
      </c>
      <c r="T175" s="59">
        <f t="shared" si="142"/>
        <v>295.37730858134739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127.7641332614218</v>
      </c>
      <c r="AA175" s="21">
        <f>EXP(-LN(2)/25)*AA174+(1-EXP(-LN(2)/25))/(LN(2)/25)*Calculateur!V175*Calculateur!X175*VLOOKUP('Données projet'!$B$9,Paramètres!$A$1:$I$89,3,0)*0.475*44/12</f>
        <v>18.701333989257058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146.46546725067887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-7.9580786405131221E-13</v>
      </c>
      <c r="AJ175" s="13">
        <f>AI175*VLOOKUP('Données projet'!$B$10,Paramètres!$A$1:$I$89,3,0)*VLOOKUP('Données projet'!$B$10,Paramètres!$A$1:$I$89,5,0)</f>
        <v>-8.0694917414803056E-13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627.83896530587367</v>
      </c>
      <c r="AO175" s="59">
        <f t="shared" si="144"/>
        <v>323.54927030899489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143.18394244814522</v>
      </c>
      <c r="AV175" s="21">
        <f>EXP(-LN(2)/25)*AV174+(1-EXP(-LN(2)/25))/(LN(2)/25)*Calculateur!AQ175*Calculateur!AS175*VLOOKUP('Données projet'!$B$10,Paramètres!$A$1:$I$89,3,0)*0.475*44/12</f>
        <v>20.958391539684634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164.14233398782986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-2.8421709430404007E-13</v>
      </c>
      <c r="BE175" s="13">
        <f>BD175*VLOOKUP('Données projet'!$B$11,Paramètres!$A$1:$I$89,3,0)*VLOOKUP('Données projet'!$B$11,Paramètres!$A$1:$I$89,5,0)</f>
        <v>-2.7489477361086758E-13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508.3185483454435</v>
      </c>
      <c r="BJ175" s="59">
        <f t="shared" si="146"/>
        <v>487.08233034004945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23.768684206408452</v>
      </c>
      <c r="BQ175" s="21">
        <f>EXP(-LN(2)/25)*BQ174+(1-EXP(-LN(2)/25))/(LN(2)/25)*Calculateur!BL175*Calculateur!BN175*VLOOKUP('Données projet'!$B$11,Paramètres!$A$1:$I$89,3,0)*0.475*44/12</f>
        <v>0.38826863009740287</v>
      </c>
      <c r="BR175" s="21">
        <f>EXP(-LN(2)/2)*BR174+(1-EXP(-LN(2)/2))/(LN(2)/2)*BL175*BO175*VLOOKUP('Données projet'!$B$11,Paramètres!$A$1:$I$89,3,0)*0.475*44/12</f>
        <v>9.9612054492141367E-13</v>
      </c>
      <c r="BS175" s="22">
        <f t="shared" si="169"/>
        <v>24.15695283650685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-2.8421709430404007E-13</v>
      </c>
      <c r="BZ175" s="13">
        <f>BY175*VLOOKUP('Données projet'!$B$12,Paramètres!$A$1:$I$89,3,0)*VLOOKUP('Données projet'!$B$12,Paramètres!$A$1:$I$89,5,0)</f>
        <v>-2.3055690689943731E-13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436.50252985867149</v>
      </c>
      <c r="CE175" s="59">
        <f t="shared" si="148"/>
        <v>419.00806288456329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19.935025463439349</v>
      </c>
      <c r="CL175" s="21">
        <f>EXP(-LN(2)/25)*CL174+(1-EXP(-LN(2)/25))/(LN(2)/25)*Calculateur!CG175*Calculateur!CI175*VLOOKUP('Données projet'!$B$12,Paramètres!$A$1:$I$89,3,0)*0.475*44/12</f>
        <v>0.32564465750104737</v>
      </c>
      <c r="CM175" s="21">
        <f>EXP(-LN(2)/2)*CM174+(1-EXP(-LN(2)/2))/(LN(2)/2)*CG175*CJ175*VLOOKUP('Données projet'!$B$12,Paramètres!$A$1:$I$89,3,0)*0.475*44/12</f>
        <v>8.3545594090183261E-13</v>
      </c>
      <c r="CN175" s="22">
        <f t="shared" si="172"/>
        <v>20.260670120941231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-2.8421709430404007E-13</v>
      </c>
      <c r="CU175" s="17">
        <f>CT175*VLOOKUP('Données projet'!$B$13,Paramètres!$A$1:$I$89,3,0)*VLOOKUP('Données projet'!$B$13,Paramètres!$A$1:$I$89,5,0)</f>
        <v>-2.7489477361086758E-13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508.3185483454435</v>
      </c>
      <c r="CZ175" s="59">
        <f t="shared" si="150"/>
        <v>487.08233034004945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23.768684206408452</v>
      </c>
      <c r="DG175" s="21">
        <f>EXP(-LN(2)/25)*DG174+(1-EXP(-LN(2)/25))/(LN(2)/25)*Calculateur!DB175*Calculateur!DD175*VLOOKUP('Données projet'!$B$13,Paramètres!$A$1:$I$89,3,0)*0.475*44/12</f>
        <v>0.38826863009740287</v>
      </c>
      <c r="DH175" s="21">
        <f>EXP(-LN(2)/2)*DH174+(1-EXP(-LN(2)/2))/(LN(2)/2)*DB175*DE175*VLOOKUP('Données projet'!$B$13,Paramètres!$A$1:$I$89,3,0)*0.475*44/12</f>
        <v>9.9612054492141367E-13</v>
      </c>
      <c r="DI175" s="22">
        <f t="shared" si="175"/>
        <v>24.15695283650685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-2.8421709430404007E-13</v>
      </c>
      <c r="DP175" s="17">
        <f>DO175*VLOOKUP('Données projet'!$B$14,Paramètres!$A$1:$I$89,3,0)*VLOOKUP('Données projet'!$B$14,Paramètres!$A$1:$I$89,5,0)</f>
        <v>-2.7489477361086758E-13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508.3185483454435</v>
      </c>
      <c r="DU175" s="59">
        <f t="shared" si="152"/>
        <v>487.08233034004945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23.768684206408452</v>
      </c>
      <c r="EB175" s="21">
        <f>EXP(-LN(2)/25)*EB174+(1-EXP(-LN(2)/25))/(LN(2)/25)*Calculateur!DW175*Calculateur!DY175*VLOOKUP('Données projet'!$B$14,Paramètres!$A$1:$I$89,3,0)*0.475*44/12</f>
        <v>0.38826863009740287</v>
      </c>
      <c r="EC175" s="21">
        <f>EXP(-LN(2)/2)*EC174+(1-EXP(-LN(2)/2))/(LN(2)/2)*DW175*DZ175*VLOOKUP('Données projet'!$B$14,Paramètres!$A$1:$I$89,3,0)*0.475*44/12</f>
        <v>9.9612054492141367E-13</v>
      </c>
      <c r="ED175" s="22">
        <f t="shared" si="178"/>
        <v>24.15695283650685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-7.9580786405131221E-13</v>
      </c>
      <c r="O176" s="13">
        <f>N176*VLOOKUP('Données projet'!$B$9,Paramètres!$A$1:$I$89,3,0)*VLOOKUP('Données projet'!$B$9,Paramètres!$A$1:$I$89,5,0)</f>
        <v>-7.2004695539362725E-13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569.49435820174267</v>
      </c>
      <c r="T176" s="59">
        <f t="shared" si="142"/>
        <v>295.37730858134739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125.25875653659182</v>
      </c>
      <c r="AA176" s="21">
        <f>EXP(-LN(2)/25)*AA175+(1-EXP(-LN(2)/25))/(LN(2)/25)*Calculateur!V176*Calculateur!X176*VLOOKUP('Données projet'!$B$9,Paramètres!$A$1:$I$89,3,0)*0.475*44/12</f>
        <v>18.189945027860411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143.44870156445222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-7.9580786405131221E-13</v>
      </c>
      <c r="AJ176" s="13">
        <f>AI176*VLOOKUP('Données projet'!$B$10,Paramètres!$A$1:$I$89,3,0)*VLOOKUP('Données projet'!$B$10,Paramètres!$A$1:$I$89,5,0)</f>
        <v>-8.0694917414803056E-13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627.83896530587367</v>
      </c>
      <c r="AO176" s="59">
        <f t="shared" si="144"/>
        <v>323.54927030899489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140.37619267031852</v>
      </c>
      <c r="AV176" s="21">
        <f>EXP(-LN(2)/25)*AV175+(1-EXP(-LN(2)/25))/(LN(2)/25)*Calculateur!AQ176*Calculateur!AS176*VLOOKUP('Données projet'!$B$10,Paramètres!$A$1:$I$89,3,0)*0.475*44/12</f>
        <v>20.385283220878048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160.76147589119657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-2.8421709430404007E-13</v>
      </c>
      <c r="BE176" s="13">
        <f>BD176*VLOOKUP('Données projet'!$B$11,Paramètres!$A$1:$I$89,3,0)*VLOOKUP('Données projet'!$B$11,Paramètres!$A$1:$I$89,5,0)</f>
        <v>-2.7489477361086758E-13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508.3185483454435</v>
      </c>
      <c r="BJ176" s="59">
        <f t="shared" si="146"/>
        <v>487.08233034004945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23.30259480658664</v>
      </c>
      <c r="BQ176" s="21">
        <f>EXP(-LN(2)/25)*BQ175+(1-EXP(-LN(2)/25))/(LN(2)/25)*Calculateur!BL176*Calculateur!BN176*VLOOKUP('Données projet'!$B$11,Paramètres!$A$1:$I$89,3,0)*0.475*44/12</f>
        <v>0.37765140398922953</v>
      </c>
      <c r="BR176" s="21">
        <f>EXP(-LN(2)/2)*BR175+(1-EXP(-LN(2)/2))/(LN(2)/2)*BL176*BO176*VLOOKUP('Données projet'!$B$11,Paramètres!$A$1:$I$89,3,0)*0.475*44/12</f>
        <v>7.0436359219317055E-13</v>
      </c>
      <c r="BS176" s="22">
        <f t="shared" si="169"/>
        <v>23.680246210576573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-2.8421709430404007E-13</v>
      </c>
      <c r="BZ176" s="13">
        <f>BY176*VLOOKUP('Données projet'!$B$12,Paramètres!$A$1:$I$89,3,0)*VLOOKUP('Données projet'!$B$12,Paramètres!$A$1:$I$89,5,0)</f>
        <v>-2.3055690689943731E-13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436.50252985867149</v>
      </c>
      <c r="CE176" s="59">
        <f t="shared" si="148"/>
        <v>419.00806288456329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19.544111773266216</v>
      </c>
      <c r="CL176" s="21">
        <f>EXP(-LN(2)/25)*CL175+(1-EXP(-LN(2)/25))/(LN(2)/25)*Calculateur!CG176*Calculateur!CI176*VLOOKUP('Données projet'!$B$12,Paramètres!$A$1:$I$89,3,0)*0.475*44/12</f>
        <v>0.31673988721677299</v>
      </c>
      <c r="CM176" s="21">
        <f>EXP(-LN(2)/2)*CM175+(1-EXP(-LN(2)/2))/(LN(2)/2)*CG176*CJ176*VLOOKUP('Données projet'!$B$12,Paramètres!$A$1:$I$89,3,0)*0.475*44/12</f>
        <v>5.9075656119427332E-13</v>
      </c>
      <c r="CN176" s="22">
        <f t="shared" si="172"/>
        <v>19.860851660483579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-2.8421709430404007E-13</v>
      </c>
      <c r="CU176" s="17">
        <f>CT176*VLOOKUP('Données projet'!$B$13,Paramètres!$A$1:$I$89,3,0)*VLOOKUP('Données projet'!$B$13,Paramètres!$A$1:$I$89,5,0)</f>
        <v>-2.7489477361086758E-13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508.3185483454435</v>
      </c>
      <c r="CZ176" s="59">
        <f t="shared" si="150"/>
        <v>487.08233034004945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23.30259480658664</v>
      </c>
      <c r="DG176" s="21">
        <f>EXP(-LN(2)/25)*DG175+(1-EXP(-LN(2)/25))/(LN(2)/25)*Calculateur!DB176*Calculateur!DD176*VLOOKUP('Données projet'!$B$13,Paramètres!$A$1:$I$89,3,0)*0.475*44/12</f>
        <v>0.37765140398922953</v>
      </c>
      <c r="DH176" s="21">
        <f>EXP(-LN(2)/2)*DH175+(1-EXP(-LN(2)/2))/(LN(2)/2)*DB176*DE176*VLOOKUP('Données projet'!$B$13,Paramètres!$A$1:$I$89,3,0)*0.475*44/12</f>
        <v>7.0436359219317055E-13</v>
      </c>
      <c r="DI176" s="22">
        <f t="shared" si="175"/>
        <v>23.680246210576573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-2.8421709430404007E-13</v>
      </c>
      <c r="DP176" s="17">
        <f>DO176*VLOOKUP('Données projet'!$B$14,Paramètres!$A$1:$I$89,3,0)*VLOOKUP('Données projet'!$B$14,Paramètres!$A$1:$I$89,5,0)</f>
        <v>-2.7489477361086758E-13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508.3185483454435</v>
      </c>
      <c r="DU176" s="59">
        <f t="shared" si="152"/>
        <v>487.08233034004945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23.30259480658664</v>
      </c>
      <c r="EB176" s="21">
        <f>EXP(-LN(2)/25)*EB175+(1-EXP(-LN(2)/25))/(LN(2)/25)*Calculateur!DW176*Calculateur!DY176*VLOOKUP('Données projet'!$B$14,Paramètres!$A$1:$I$89,3,0)*0.475*44/12</f>
        <v>0.37765140398922953</v>
      </c>
      <c r="EC176" s="21">
        <f>EXP(-LN(2)/2)*EC175+(1-EXP(-LN(2)/2))/(LN(2)/2)*DW176*DZ176*VLOOKUP('Données projet'!$B$14,Paramètres!$A$1:$I$89,3,0)*0.475*44/12</f>
        <v>7.0436359219317055E-13</v>
      </c>
      <c r="ED176" s="22">
        <f t="shared" si="178"/>
        <v>23.680246210576573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-7.9580786405131221E-13</v>
      </c>
      <c r="O177" s="13">
        <f>N177*VLOOKUP('Données projet'!$B$9,Paramètres!$A$1:$I$89,3,0)*VLOOKUP('Données projet'!$B$9,Paramètres!$A$1:$I$89,5,0)</f>
        <v>-7.2004695539362725E-13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569.49435820174267</v>
      </c>
      <c r="T177" s="59">
        <f t="shared" si="142"/>
        <v>295.37730858134739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122.80250872120683</v>
      </c>
      <c r="AA177" s="21">
        <f>EXP(-LN(2)/25)*AA176+(1-EXP(-LN(2)/25))/(LN(2)/25)*Calculateur!V177*Calculateur!X177*VLOOKUP('Données projet'!$B$9,Paramètres!$A$1:$I$89,3,0)*0.475*44/12</f>
        <v>17.692540024505931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140.49504874571278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-7.9580786405131221E-13</v>
      </c>
      <c r="AJ177" s="13">
        <f>AI177*VLOOKUP('Données projet'!$B$10,Paramètres!$A$1:$I$89,3,0)*VLOOKUP('Données projet'!$B$10,Paramètres!$A$1:$I$89,5,0)</f>
        <v>-8.0694917414803056E-13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627.83896530587367</v>
      </c>
      <c r="AO177" s="59">
        <f t="shared" si="144"/>
        <v>323.54927030899489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137.62350115307672</v>
      </c>
      <c r="AV177" s="21">
        <f>EXP(-LN(2)/25)*AV176+(1-EXP(-LN(2)/25))/(LN(2)/25)*Calculateur!AQ177*Calculateur!AS177*VLOOKUP('Données projet'!$B$10,Paramètres!$A$1:$I$89,3,0)*0.475*44/12</f>
        <v>19.827846579187685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157.4513477322644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-2.8421709430404007E-13</v>
      </c>
      <c r="BE177" s="13">
        <f>BD177*VLOOKUP('Données projet'!$B$11,Paramètres!$A$1:$I$89,3,0)*VLOOKUP('Données projet'!$B$11,Paramètres!$A$1:$I$89,5,0)</f>
        <v>-2.7489477361086758E-13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508.3185483454435</v>
      </c>
      <c r="BJ177" s="59">
        <f t="shared" si="146"/>
        <v>487.08233034004945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22.845645135608873</v>
      </c>
      <c r="BQ177" s="21">
        <f>EXP(-LN(2)/25)*BQ176+(1-EXP(-LN(2)/25))/(LN(2)/25)*Calculateur!BL177*Calculateur!BN177*VLOOKUP('Données projet'!$B$11,Paramètres!$A$1:$I$89,3,0)*0.475*44/12</f>
        <v>0.36732450648731985</v>
      </c>
      <c r="BR177" s="21">
        <f>EXP(-LN(2)/2)*BR176+(1-EXP(-LN(2)/2))/(LN(2)/2)*BL177*BO177*VLOOKUP('Données projet'!$B$11,Paramètres!$A$1:$I$89,3,0)*0.475*44/12</f>
        <v>4.9806027246070684E-13</v>
      </c>
      <c r="BS177" s="22">
        <f t="shared" si="169"/>
        <v>23.212969642096692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-2.8421709430404007E-13</v>
      </c>
      <c r="BZ177" s="13">
        <f>BY177*VLOOKUP('Données projet'!$B$12,Paramètres!$A$1:$I$89,3,0)*VLOOKUP('Données projet'!$B$12,Paramètres!$A$1:$I$89,5,0)</f>
        <v>-2.3055690689943731E-13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436.50252985867149</v>
      </c>
      <c r="CE177" s="59">
        <f t="shared" si="148"/>
        <v>419.00806288456329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19.160863662123575</v>
      </c>
      <c r="CL177" s="21">
        <f>EXP(-LN(2)/25)*CL176+(1-EXP(-LN(2)/25))/(LN(2)/25)*Calculateur!CG177*Calculateur!CI177*VLOOKUP('Données projet'!$B$12,Paramètres!$A$1:$I$89,3,0)*0.475*44/12</f>
        <v>0.30807861834420358</v>
      </c>
      <c r="CM177" s="21">
        <f>EXP(-LN(2)/2)*CM176+(1-EXP(-LN(2)/2))/(LN(2)/2)*CG177*CJ177*VLOOKUP('Données projet'!$B$12,Paramètres!$A$1:$I$89,3,0)*0.475*44/12</f>
        <v>4.177279704509163E-13</v>
      </c>
      <c r="CN177" s="22">
        <f t="shared" si="172"/>
        <v>19.468942280468198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-2.8421709430404007E-13</v>
      </c>
      <c r="CU177" s="17">
        <f>CT177*VLOOKUP('Données projet'!$B$13,Paramètres!$A$1:$I$89,3,0)*VLOOKUP('Données projet'!$B$13,Paramètres!$A$1:$I$89,5,0)</f>
        <v>-2.7489477361086758E-13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508.3185483454435</v>
      </c>
      <c r="CZ177" s="59">
        <f t="shared" si="150"/>
        <v>487.08233034004945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22.845645135608873</v>
      </c>
      <c r="DG177" s="21">
        <f>EXP(-LN(2)/25)*DG176+(1-EXP(-LN(2)/25))/(LN(2)/25)*Calculateur!DB177*Calculateur!DD177*VLOOKUP('Données projet'!$B$13,Paramètres!$A$1:$I$89,3,0)*0.475*44/12</f>
        <v>0.36732450648731985</v>
      </c>
      <c r="DH177" s="21">
        <f>EXP(-LN(2)/2)*DH176+(1-EXP(-LN(2)/2))/(LN(2)/2)*DB177*DE177*VLOOKUP('Données projet'!$B$13,Paramètres!$A$1:$I$89,3,0)*0.475*44/12</f>
        <v>4.9806027246070684E-13</v>
      </c>
      <c r="DI177" s="22">
        <f t="shared" si="175"/>
        <v>23.212969642096692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-2.8421709430404007E-13</v>
      </c>
      <c r="DP177" s="17">
        <f>DO177*VLOOKUP('Données projet'!$B$14,Paramètres!$A$1:$I$89,3,0)*VLOOKUP('Données projet'!$B$14,Paramètres!$A$1:$I$89,5,0)</f>
        <v>-2.7489477361086758E-13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508.3185483454435</v>
      </c>
      <c r="DU177" s="59">
        <f t="shared" si="152"/>
        <v>487.08233034004945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22.845645135608873</v>
      </c>
      <c r="EB177" s="21">
        <f>EXP(-LN(2)/25)*EB176+(1-EXP(-LN(2)/25))/(LN(2)/25)*Calculateur!DW177*Calculateur!DY177*VLOOKUP('Données projet'!$B$14,Paramètres!$A$1:$I$89,3,0)*0.475*44/12</f>
        <v>0.36732450648731985</v>
      </c>
      <c r="EC177" s="21">
        <f>EXP(-LN(2)/2)*EC176+(1-EXP(-LN(2)/2))/(LN(2)/2)*DW177*DZ177*VLOOKUP('Données projet'!$B$14,Paramètres!$A$1:$I$89,3,0)*0.475*44/12</f>
        <v>4.9806027246070684E-13</v>
      </c>
      <c r="ED177" s="22">
        <f t="shared" si="178"/>
        <v>23.212969642096692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-7.9580786405131221E-13</v>
      </c>
      <c r="O178" s="13">
        <f>N178*VLOOKUP('Données projet'!$B$9,Paramètres!$A$1:$I$89,3,0)*VLOOKUP('Données projet'!$B$9,Paramètres!$A$1:$I$89,5,0)</f>
        <v>-7.2004695539362725E-13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569.49435820174267</v>
      </c>
      <c r="T178" s="59">
        <f t="shared" si="142"/>
        <v>295.37730858134739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120.39442642731832</v>
      </c>
      <c r="AA178" s="21">
        <f>EXP(-LN(2)/25)*AA177+(1-EXP(-LN(2)/25))/(LN(2)/25)*Calculateur!V178*Calculateur!X178*VLOOKUP('Données projet'!$B$9,Paramètres!$A$1:$I$89,3,0)*0.475*44/12</f>
        <v>17.208736587125571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137.60316301444391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-7.9580786405131221E-13</v>
      </c>
      <c r="AJ178" s="13">
        <f>AI178*VLOOKUP('Données projet'!$B$10,Paramètres!$A$1:$I$89,3,0)*VLOOKUP('Données projet'!$B$10,Paramètres!$A$1:$I$89,5,0)</f>
        <v>-8.0694917414803056E-13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627.83896530587367</v>
      </c>
      <c r="AO178" s="59">
        <f t="shared" si="144"/>
        <v>323.54927030899489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134.92478823751199</v>
      </c>
      <c r="AV178" s="21">
        <f>EXP(-LN(2)/25)*AV177+(1-EXP(-LN(2)/25))/(LN(2)/25)*Calculateur!AQ178*Calculateur!AS178*VLOOKUP('Données projet'!$B$10,Paramètres!$A$1:$I$89,3,0)*0.475*44/12</f>
        <v>19.285653071778665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154.21044130929064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-2.8421709430404007E-13</v>
      </c>
      <c r="BE178" s="13">
        <f>BD178*VLOOKUP('Données projet'!$B$11,Paramètres!$A$1:$I$89,3,0)*VLOOKUP('Données projet'!$B$11,Paramètres!$A$1:$I$89,5,0)</f>
        <v>-2.7489477361086758E-13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508.3185483454435</v>
      </c>
      <c r="BJ178" s="59">
        <f t="shared" si="146"/>
        <v>487.08233034004945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22.3976559689672</v>
      </c>
      <c r="BQ178" s="21">
        <f>EXP(-LN(2)/25)*BQ177+(1-EXP(-LN(2)/25))/(LN(2)/25)*Calculateur!BL178*Calculateur!BN178*VLOOKUP('Données projet'!$B$11,Paramètres!$A$1:$I$89,3,0)*0.475*44/12</f>
        <v>0.35727999854066783</v>
      </c>
      <c r="BR178" s="21">
        <f>EXP(-LN(2)/2)*BR177+(1-EXP(-LN(2)/2))/(LN(2)/2)*BL178*BO178*VLOOKUP('Données projet'!$B$11,Paramètres!$A$1:$I$89,3,0)*0.475*44/12</f>
        <v>3.5218179609658528E-13</v>
      </c>
      <c r="BS178" s="22">
        <f t="shared" si="169"/>
        <v>22.754935967508221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-2.8421709430404007E-13</v>
      </c>
      <c r="BZ178" s="13">
        <f>BY178*VLOOKUP('Données projet'!$B$12,Paramètres!$A$1:$I$89,3,0)*VLOOKUP('Données projet'!$B$12,Paramètres!$A$1:$I$89,5,0)</f>
        <v>-2.3055690689943731E-13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436.50252985867149</v>
      </c>
      <c r="CE178" s="59">
        <f t="shared" si="148"/>
        <v>419.00806288456329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18.785130812682173</v>
      </c>
      <c r="CL178" s="21">
        <f>EXP(-LN(2)/25)*CL177+(1-EXP(-LN(2)/25))/(LN(2)/25)*Calculateur!CG178*Calculateur!CI178*VLOOKUP('Données projet'!$B$12,Paramètres!$A$1:$I$89,3,0)*0.475*44/12</f>
        <v>0.29965419232443091</v>
      </c>
      <c r="CM178" s="21">
        <f>EXP(-LN(2)/2)*CM177+(1-EXP(-LN(2)/2))/(LN(2)/2)*CG178*CJ178*VLOOKUP('Données projet'!$B$12,Paramètres!$A$1:$I$89,3,0)*0.475*44/12</f>
        <v>2.9537828059713666E-13</v>
      </c>
      <c r="CN178" s="22">
        <f t="shared" si="172"/>
        <v>19.0847850050069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-2.8421709430404007E-13</v>
      </c>
      <c r="CU178" s="17">
        <f>CT178*VLOOKUP('Données projet'!$B$13,Paramètres!$A$1:$I$89,3,0)*VLOOKUP('Données projet'!$B$13,Paramètres!$A$1:$I$89,5,0)</f>
        <v>-2.7489477361086758E-13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508.3185483454435</v>
      </c>
      <c r="CZ178" s="59">
        <f t="shared" si="150"/>
        <v>487.08233034004945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22.3976559689672</v>
      </c>
      <c r="DG178" s="21">
        <f>EXP(-LN(2)/25)*DG177+(1-EXP(-LN(2)/25))/(LN(2)/25)*Calculateur!DB178*Calculateur!DD178*VLOOKUP('Données projet'!$B$13,Paramètres!$A$1:$I$89,3,0)*0.475*44/12</f>
        <v>0.35727999854066783</v>
      </c>
      <c r="DH178" s="21">
        <f>EXP(-LN(2)/2)*DH177+(1-EXP(-LN(2)/2))/(LN(2)/2)*DB178*DE178*VLOOKUP('Données projet'!$B$13,Paramètres!$A$1:$I$89,3,0)*0.475*44/12</f>
        <v>3.5218179609658528E-13</v>
      </c>
      <c r="DI178" s="22">
        <f t="shared" si="175"/>
        <v>22.754935967508221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-2.8421709430404007E-13</v>
      </c>
      <c r="DP178" s="17">
        <f>DO178*VLOOKUP('Données projet'!$B$14,Paramètres!$A$1:$I$89,3,0)*VLOOKUP('Données projet'!$B$14,Paramètres!$A$1:$I$89,5,0)</f>
        <v>-2.7489477361086758E-13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508.3185483454435</v>
      </c>
      <c r="DU178" s="59">
        <f t="shared" si="152"/>
        <v>487.08233034004945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22.3976559689672</v>
      </c>
      <c r="EB178" s="21">
        <f>EXP(-LN(2)/25)*EB177+(1-EXP(-LN(2)/25))/(LN(2)/25)*Calculateur!DW178*Calculateur!DY178*VLOOKUP('Données projet'!$B$14,Paramètres!$A$1:$I$89,3,0)*0.475*44/12</f>
        <v>0.35727999854066783</v>
      </c>
      <c r="EC178" s="21">
        <f>EXP(-LN(2)/2)*EC177+(1-EXP(-LN(2)/2))/(LN(2)/2)*DW178*DZ178*VLOOKUP('Données projet'!$B$14,Paramètres!$A$1:$I$89,3,0)*0.475*44/12</f>
        <v>3.5218179609658528E-13</v>
      </c>
      <c r="ED178" s="22">
        <f t="shared" si="178"/>
        <v>22.754935967508221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-7.9580786405131221E-13</v>
      </c>
      <c r="O179" s="13">
        <f>N179*VLOOKUP('Données projet'!$B$9,Paramètres!$A$1:$I$89,3,0)*VLOOKUP('Données projet'!$B$9,Paramètres!$A$1:$I$89,5,0)</f>
        <v>-7.2004695539362725E-13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569.49435820174267</v>
      </c>
      <c r="T179" s="59">
        <f t="shared" si="142"/>
        <v>295.37730858134739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118.03356515842779</v>
      </c>
      <c r="AA179" s="21">
        <f>EXP(-LN(2)/25)*AA178+(1-EXP(-LN(2)/25))/(LN(2)/25)*Calculateur!V179*Calculateur!X179*VLOOKUP('Données projet'!$B$9,Paramètres!$A$1:$I$89,3,0)*0.475*44/12</f>
        <v>16.738162780182495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134.7717279386103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-7.9580786405131221E-13</v>
      </c>
      <c r="AJ179" s="13">
        <f>AI179*VLOOKUP('Données projet'!$B$10,Paramètres!$A$1:$I$89,3,0)*VLOOKUP('Données projet'!$B$10,Paramètres!$A$1:$I$89,5,0)</f>
        <v>-8.0694917414803056E-13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627.83896530587367</v>
      </c>
      <c r="AO179" s="59">
        <f t="shared" si="144"/>
        <v>323.54927030899489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132.27899543616914</v>
      </c>
      <c r="AV179" s="21">
        <f>EXP(-LN(2)/25)*AV178+(1-EXP(-LN(2)/25))/(LN(2)/25)*Calculateur!AQ179*Calculateur!AS179*VLOOKUP('Données projet'!$B$10,Paramètres!$A$1:$I$89,3,0)*0.475*44/12</f>
        <v>18.758285874342459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151.03728131051159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-2.8421709430404007E-13</v>
      </c>
      <c r="BE179" s="13">
        <f>BD179*VLOOKUP('Données projet'!$B$11,Paramètres!$A$1:$I$89,3,0)*VLOOKUP('Données projet'!$B$11,Paramètres!$A$1:$I$89,5,0)</f>
        <v>-2.7489477361086758E-13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508.3185483454435</v>
      </c>
      <c r="BJ179" s="59">
        <f t="shared" si="146"/>
        <v>487.08233034004945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21.958451596636962</v>
      </c>
      <c r="BQ179" s="21">
        <f>EXP(-LN(2)/25)*BQ178+(1-EXP(-LN(2)/25))/(LN(2)/25)*Calculateur!BL179*Calculateur!BN179*VLOOKUP('Données projet'!$B$11,Paramètres!$A$1:$I$89,3,0)*0.475*44/12</f>
        <v>0.34751015819203473</v>
      </c>
      <c r="BR179" s="21">
        <f>EXP(-LN(2)/2)*BR178+(1-EXP(-LN(2)/2))/(LN(2)/2)*BL179*BO179*VLOOKUP('Données projet'!$B$11,Paramètres!$A$1:$I$89,3,0)*0.475*44/12</f>
        <v>2.4903013623035342E-13</v>
      </c>
      <c r="BS179" s="22">
        <f t="shared" si="169"/>
        <v>22.305961754829244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-2.8421709430404007E-13</v>
      </c>
      <c r="BZ179" s="13">
        <f>BY179*VLOOKUP('Données projet'!$B$12,Paramètres!$A$1:$I$89,3,0)*VLOOKUP('Données projet'!$B$12,Paramètres!$A$1:$I$89,5,0)</f>
        <v>-2.3055690689943731E-13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436.50252985867149</v>
      </c>
      <c r="CE179" s="59">
        <f t="shared" si="148"/>
        <v>419.00806288456329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18.416765855243906</v>
      </c>
      <c r="CL179" s="21">
        <f>EXP(-LN(2)/25)*CL178+(1-EXP(-LN(2)/25))/(LN(2)/25)*Calculateur!CG179*Calculateur!CI179*VLOOKUP('Données projet'!$B$12,Paramètres!$A$1:$I$89,3,0)*0.475*44/12</f>
        <v>0.29146013267719023</v>
      </c>
      <c r="CM179" s="21">
        <f>EXP(-LN(2)/2)*CM178+(1-EXP(-LN(2)/2))/(LN(2)/2)*CG179*CJ179*VLOOKUP('Données projet'!$B$12,Paramètres!$A$1:$I$89,3,0)*0.475*44/12</f>
        <v>2.0886398522545815E-13</v>
      </c>
      <c r="CN179" s="22">
        <f t="shared" si="172"/>
        <v>18.708225987921306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-2.8421709430404007E-13</v>
      </c>
      <c r="CU179" s="17">
        <f>CT179*VLOOKUP('Données projet'!$B$13,Paramètres!$A$1:$I$89,3,0)*VLOOKUP('Données projet'!$B$13,Paramètres!$A$1:$I$89,5,0)</f>
        <v>-2.7489477361086758E-13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508.3185483454435</v>
      </c>
      <c r="CZ179" s="59">
        <f t="shared" si="150"/>
        <v>487.08233034004945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21.958451596636962</v>
      </c>
      <c r="DG179" s="21">
        <f>EXP(-LN(2)/25)*DG178+(1-EXP(-LN(2)/25))/(LN(2)/25)*Calculateur!DB179*Calculateur!DD179*VLOOKUP('Données projet'!$B$13,Paramètres!$A$1:$I$89,3,0)*0.475*44/12</f>
        <v>0.34751015819203473</v>
      </c>
      <c r="DH179" s="21">
        <f>EXP(-LN(2)/2)*DH178+(1-EXP(-LN(2)/2))/(LN(2)/2)*DB179*DE179*VLOOKUP('Données projet'!$B$13,Paramètres!$A$1:$I$89,3,0)*0.475*44/12</f>
        <v>2.4903013623035342E-13</v>
      </c>
      <c r="DI179" s="22">
        <f t="shared" si="175"/>
        <v>22.305961754829244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-2.8421709430404007E-13</v>
      </c>
      <c r="DP179" s="17">
        <f>DO179*VLOOKUP('Données projet'!$B$14,Paramètres!$A$1:$I$89,3,0)*VLOOKUP('Données projet'!$B$14,Paramètres!$A$1:$I$89,5,0)</f>
        <v>-2.7489477361086758E-13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508.3185483454435</v>
      </c>
      <c r="DU179" s="59">
        <f t="shared" si="152"/>
        <v>487.08233034004945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21.958451596636962</v>
      </c>
      <c r="EB179" s="21">
        <f>EXP(-LN(2)/25)*EB178+(1-EXP(-LN(2)/25))/(LN(2)/25)*Calculateur!DW179*Calculateur!DY179*VLOOKUP('Données projet'!$B$14,Paramètres!$A$1:$I$89,3,0)*0.475*44/12</f>
        <v>0.34751015819203473</v>
      </c>
      <c r="EC179" s="21">
        <f>EXP(-LN(2)/2)*EC178+(1-EXP(-LN(2)/2))/(LN(2)/2)*DW179*DZ179*VLOOKUP('Données projet'!$B$14,Paramètres!$A$1:$I$89,3,0)*0.475*44/12</f>
        <v>2.4903013623035342E-13</v>
      </c>
      <c r="ED179" s="22">
        <f t="shared" si="178"/>
        <v>22.305961754829244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-7.9580786405131221E-13</v>
      </c>
      <c r="O180" s="13">
        <f>N180*VLOOKUP('Données projet'!$B$9,Paramètres!$A$1:$I$89,3,0)*VLOOKUP('Données projet'!$B$9,Paramètres!$A$1:$I$89,5,0)</f>
        <v>-7.2004695539362725E-13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569.49435820174267</v>
      </c>
      <c r="T180" s="59">
        <f t="shared" si="142"/>
        <v>295.37730858134739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115.71899893903701</v>
      </c>
      <c r="AA180" s="21">
        <f>EXP(-LN(2)/25)*AA179+(1-EXP(-LN(2)/25))/(LN(2)/25)*Calculateur!V180*Calculateur!X180*VLOOKUP('Données projet'!$B$9,Paramètres!$A$1:$I$89,3,0)*0.475*44/12</f>
        <v>16.280456838736679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131.99945577777368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-7.9580786405131221E-13</v>
      </c>
      <c r="AJ180" s="13">
        <f>AI180*VLOOKUP('Données projet'!$B$10,Paramètres!$A$1:$I$89,3,0)*VLOOKUP('Données projet'!$B$10,Paramètres!$A$1:$I$89,5,0)</f>
        <v>-8.0694917414803056E-13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627.83896530587367</v>
      </c>
      <c r="AO180" s="59">
        <f t="shared" si="144"/>
        <v>323.54927030899489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129.68508501788637</v>
      </c>
      <c r="AV180" s="21">
        <f>EXP(-LN(2)/25)*AV179+(1-EXP(-LN(2)/25))/(LN(2)/25)*Calculateur!AQ180*Calculateur!AS180*VLOOKUP('Données projet'!$B$10,Paramètres!$A$1:$I$89,3,0)*0.475*44/12</f>
        <v>18.245339560653182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147.93042457853954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-2.8421709430404007E-13</v>
      </c>
      <c r="BE180" s="13">
        <f>BD180*VLOOKUP('Données projet'!$B$11,Paramètres!$A$1:$I$89,3,0)*VLOOKUP('Données projet'!$B$11,Paramètres!$A$1:$I$89,5,0)</f>
        <v>-2.7489477361086758E-13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508.3185483454435</v>
      </c>
      <c r="BJ180" s="59">
        <f t="shared" si="146"/>
        <v>487.08233034004945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21.527859754159902</v>
      </c>
      <c r="BQ180" s="21">
        <f>EXP(-LN(2)/25)*BQ179+(1-EXP(-LN(2)/25))/(LN(2)/25)*Calculateur!BL180*Calculateur!BN180*VLOOKUP('Données projet'!$B$11,Paramètres!$A$1:$I$89,3,0)*0.475*44/12</f>
        <v>0.3380074746415086</v>
      </c>
      <c r="BR180" s="21">
        <f>EXP(-LN(2)/2)*BR179+(1-EXP(-LN(2)/2))/(LN(2)/2)*BL180*BO180*VLOOKUP('Données projet'!$B$11,Paramètres!$A$1:$I$89,3,0)*0.475*44/12</f>
        <v>1.7609089804829264E-13</v>
      </c>
      <c r="BS180" s="22">
        <f t="shared" si="169"/>
        <v>21.865867228801587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-2.8421709430404007E-13</v>
      </c>
      <c r="BZ180" s="13">
        <f>BY180*VLOOKUP('Données projet'!$B$12,Paramètres!$A$1:$I$89,3,0)*VLOOKUP('Données projet'!$B$12,Paramètres!$A$1:$I$89,5,0)</f>
        <v>-2.3055690689943731E-13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436.50252985867149</v>
      </c>
      <c r="CE180" s="59">
        <f t="shared" si="148"/>
        <v>419.00806288456329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18.055624309940566</v>
      </c>
      <c r="CL180" s="21">
        <f>EXP(-LN(2)/25)*CL179+(1-EXP(-LN(2)/25))/(LN(2)/25)*Calculateur!CG180*Calculateur!CI180*VLOOKUP('Données projet'!$B$12,Paramètres!$A$1:$I$89,3,0)*0.475*44/12</f>
        <v>0.28349014002191025</v>
      </c>
      <c r="CM180" s="21">
        <f>EXP(-LN(2)/2)*CM179+(1-EXP(-LN(2)/2))/(LN(2)/2)*CG180*CJ180*VLOOKUP('Données projet'!$B$12,Paramètres!$A$1:$I$89,3,0)*0.475*44/12</f>
        <v>1.4768914029856833E-13</v>
      </c>
      <c r="CN180" s="22">
        <f t="shared" si="172"/>
        <v>18.339114449962626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-2.8421709430404007E-13</v>
      </c>
      <c r="CU180" s="17">
        <f>CT180*VLOOKUP('Données projet'!$B$13,Paramètres!$A$1:$I$89,3,0)*VLOOKUP('Données projet'!$B$13,Paramètres!$A$1:$I$89,5,0)</f>
        <v>-2.7489477361086758E-13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508.3185483454435</v>
      </c>
      <c r="CZ180" s="59">
        <f t="shared" si="150"/>
        <v>487.08233034004945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21.527859754159902</v>
      </c>
      <c r="DG180" s="21">
        <f>EXP(-LN(2)/25)*DG179+(1-EXP(-LN(2)/25))/(LN(2)/25)*Calculateur!DB180*Calculateur!DD180*VLOOKUP('Données projet'!$B$13,Paramètres!$A$1:$I$89,3,0)*0.475*44/12</f>
        <v>0.3380074746415086</v>
      </c>
      <c r="DH180" s="21">
        <f>EXP(-LN(2)/2)*DH179+(1-EXP(-LN(2)/2))/(LN(2)/2)*DB180*DE180*VLOOKUP('Données projet'!$B$13,Paramètres!$A$1:$I$89,3,0)*0.475*44/12</f>
        <v>1.7609089804829264E-13</v>
      </c>
      <c r="DI180" s="22">
        <f t="shared" si="175"/>
        <v>21.865867228801587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-2.8421709430404007E-13</v>
      </c>
      <c r="DP180" s="17">
        <f>DO180*VLOOKUP('Données projet'!$B$14,Paramètres!$A$1:$I$89,3,0)*VLOOKUP('Données projet'!$B$14,Paramètres!$A$1:$I$89,5,0)</f>
        <v>-2.7489477361086758E-13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508.3185483454435</v>
      </c>
      <c r="DU180" s="59">
        <f t="shared" si="152"/>
        <v>487.08233034004945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21.527859754159902</v>
      </c>
      <c r="EB180" s="21">
        <f>EXP(-LN(2)/25)*EB179+(1-EXP(-LN(2)/25))/(LN(2)/25)*Calculateur!DW180*Calculateur!DY180*VLOOKUP('Données projet'!$B$14,Paramètres!$A$1:$I$89,3,0)*0.475*44/12</f>
        <v>0.3380074746415086</v>
      </c>
      <c r="EC180" s="21">
        <f>EXP(-LN(2)/2)*EC179+(1-EXP(-LN(2)/2))/(LN(2)/2)*DW180*DZ180*VLOOKUP('Données projet'!$B$14,Paramètres!$A$1:$I$89,3,0)*0.475*44/12</f>
        <v>1.7609089804829264E-13</v>
      </c>
      <c r="ED180" s="22">
        <f t="shared" si="178"/>
        <v>21.865867228801587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-7.9580786405131221E-13</v>
      </c>
      <c r="O181" s="13">
        <f>N181*VLOOKUP('Données projet'!$B$9,Paramètres!$A$1:$I$89,3,0)*VLOOKUP('Données projet'!$B$9,Paramètres!$A$1:$I$89,5,0)</f>
        <v>-7.2004695539362725E-13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569.49435820174267</v>
      </c>
      <c r="T181" s="59">
        <f t="shared" si="142"/>
        <v>295.37730858134739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113.44981995146249</v>
      </c>
      <c r="AA181" s="21">
        <f>EXP(-LN(2)/25)*AA180+(1-EXP(-LN(2)/25))/(LN(2)/25)*Calculateur!V181*Calculateur!X181*VLOOKUP('Données projet'!$B$9,Paramètres!$A$1:$I$89,3,0)*0.475*44/12</f>
        <v>15.835266890329409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129.28508684179189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-7.9580786405131221E-13</v>
      </c>
      <c r="AJ181" s="13">
        <f>AI181*VLOOKUP('Données projet'!$B$10,Paramètres!$A$1:$I$89,3,0)*VLOOKUP('Données projet'!$B$10,Paramètres!$A$1:$I$89,5,0)</f>
        <v>-8.0694917414803056E-13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627.83896530587367</v>
      </c>
      <c r="AO181" s="59">
        <f t="shared" si="144"/>
        <v>323.54927030899489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127.14203960077698</v>
      </c>
      <c r="AV181" s="21">
        <f>EXP(-LN(2)/25)*AV180+(1-EXP(-LN(2)/25))/(LN(2)/25)*Calculateur!AQ181*Calculateur!AS181*VLOOKUP('Données projet'!$B$10,Paramètres!$A$1:$I$89,3,0)*0.475*44/12</f>
        <v>17.746419790886414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144.88845939166339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-2.8421709430404007E-13</v>
      </c>
      <c r="BE181" s="13">
        <f>BD181*VLOOKUP('Données projet'!$B$11,Paramètres!$A$1:$I$89,3,0)*VLOOKUP('Données projet'!$B$11,Paramètres!$A$1:$I$89,5,0)</f>
        <v>-2.7489477361086758E-13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508.3185483454435</v>
      </c>
      <c r="BJ181" s="59">
        <f t="shared" si="146"/>
        <v>487.08233034004945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21.105711555078727</v>
      </c>
      <c r="BQ181" s="21">
        <f>EXP(-LN(2)/25)*BQ180+(1-EXP(-LN(2)/25))/(LN(2)/25)*Calculateur!BL181*Calculateur!BN181*VLOOKUP('Données projet'!$B$11,Paramètres!$A$1:$I$89,3,0)*0.475*44/12</f>
        <v>0.32876464247239601</v>
      </c>
      <c r="BR181" s="21">
        <f>EXP(-LN(2)/2)*BR180+(1-EXP(-LN(2)/2))/(LN(2)/2)*BL181*BO181*VLOOKUP('Données projet'!$B$11,Paramètres!$A$1:$I$89,3,0)*0.475*44/12</f>
        <v>1.2451506811517671E-13</v>
      </c>
      <c r="BS181" s="22">
        <f t="shared" si="169"/>
        <v>21.434476197551248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-2.8421709430404007E-13</v>
      </c>
      <c r="BZ181" s="13">
        <f>BY181*VLOOKUP('Données projet'!$B$12,Paramètres!$A$1:$I$89,3,0)*VLOOKUP('Données projet'!$B$12,Paramètres!$A$1:$I$89,5,0)</f>
        <v>-2.3055690689943731E-13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436.50252985867149</v>
      </c>
      <c r="CE181" s="59">
        <f t="shared" si="148"/>
        <v>419.00806288456329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17.701564530066033</v>
      </c>
      <c r="CL181" s="21">
        <f>EXP(-LN(2)/25)*CL180+(1-EXP(-LN(2)/25))/(LN(2)/25)*Calculateur!CG181*Calculateur!CI181*VLOOKUP('Données projet'!$B$12,Paramètres!$A$1:$I$89,3,0)*0.475*44/12</f>
        <v>0.27573808723491255</v>
      </c>
      <c r="CM181" s="21">
        <f>EXP(-LN(2)/2)*CM180+(1-EXP(-LN(2)/2))/(LN(2)/2)*CG181*CJ181*VLOOKUP('Données projet'!$B$12,Paramètres!$A$1:$I$89,3,0)*0.475*44/12</f>
        <v>1.0443199261272908E-13</v>
      </c>
      <c r="CN181" s="22">
        <f t="shared" si="172"/>
        <v>17.977302617301049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-2.8421709430404007E-13</v>
      </c>
      <c r="CU181" s="17">
        <f>CT181*VLOOKUP('Données projet'!$B$13,Paramètres!$A$1:$I$89,3,0)*VLOOKUP('Données projet'!$B$13,Paramètres!$A$1:$I$89,5,0)</f>
        <v>-2.7489477361086758E-13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508.3185483454435</v>
      </c>
      <c r="CZ181" s="59">
        <f t="shared" si="150"/>
        <v>487.08233034004945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21.105711555078727</v>
      </c>
      <c r="DG181" s="21">
        <f>EXP(-LN(2)/25)*DG180+(1-EXP(-LN(2)/25))/(LN(2)/25)*Calculateur!DB181*Calculateur!DD181*VLOOKUP('Données projet'!$B$13,Paramètres!$A$1:$I$89,3,0)*0.475*44/12</f>
        <v>0.32876464247239601</v>
      </c>
      <c r="DH181" s="21">
        <f>EXP(-LN(2)/2)*DH180+(1-EXP(-LN(2)/2))/(LN(2)/2)*DB181*DE181*VLOOKUP('Données projet'!$B$13,Paramètres!$A$1:$I$89,3,0)*0.475*44/12</f>
        <v>1.2451506811517671E-13</v>
      </c>
      <c r="DI181" s="22">
        <f t="shared" si="175"/>
        <v>21.434476197551248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-2.8421709430404007E-13</v>
      </c>
      <c r="DP181" s="17">
        <f>DO181*VLOOKUP('Données projet'!$B$14,Paramètres!$A$1:$I$89,3,0)*VLOOKUP('Données projet'!$B$14,Paramètres!$A$1:$I$89,5,0)</f>
        <v>-2.7489477361086758E-13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508.3185483454435</v>
      </c>
      <c r="DU181" s="59">
        <f t="shared" si="152"/>
        <v>487.08233034004945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21.105711555078727</v>
      </c>
      <c r="EB181" s="21">
        <f>EXP(-LN(2)/25)*EB180+(1-EXP(-LN(2)/25))/(LN(2)/25)*Calculateur!DW181*Calculateur!DY181*VLOOKUP('Données projet'!$B$14,Paramètres!$A$1:$I$89,3,0)*0.475*44/12</f>
        <v>0.32876464247239601</v>
      </c>
      <c r="EC181" s="21">
        <f>EXP(-LN(2)/2)*EC180+(1-EXP(-LN(2)/2))/(LN(2)/2)*DW181*DZ181*VLOOKUP('Données projet'!$B$14,Paramètres!$A$1:$I$89,3,0)*0.475*44/12</f>
        <v>1.2451506811517671E-13</v>
      </c>
      <c r="ED181" s="22">
        <f t="shared" si="178"/>
        <v>21.434476197551248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-7.9580786405131221E-13</v>
      </c>
      <c r="O182" s="13">
        <f>N182*VLOOKUP('Données projet'!$B$9,Paramètres!$A$1:$I$89,3,0)*VLOOKUP('Données projet'!$B$9,Paramètres!$A$1:$I$89,5,0)</f>
        <v>-7.2004695539362725E-13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569.49435820174267</v>
      </c>
      <c r="T182" s="59">
        <f t="shared" si="142"/>
        <v>295.37730858134739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111.22513817977179</v>
      </c>
      <c r="AA182" s="21">
        <f>EXP(-LN(2)/25)*AA181+(1-EXP(-LN(2)/25))/(LN(2)/25)*Calculateur!V182*Calculateur!X182*VLOOKUP('Données projet'!$B$9,Paramètres!$A$1:$I$89,3,0)*0.475*44/12</f>
        <v>15.402250684472858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126.62738886424465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-7.9580786405131221E-13</v>
      </c>
      <c r="AJ182" s="13">
        <f>AI182*VLOOKUP('Données projet'!$B$10,Paramètres!$A$1:$I$89,3,0)*VLOOKUP('Données projet'!$B$10,Paramètres!$A$1:$I$89,5,0)</f>
        <v>-8.0694917414803056E-13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627.83896530587367</v>
      </c>
      <c r="AO182" s="59">
        <f t="shared" si="144"/>
        <v>323.54927030899489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124.64886175319258</v>
      </c>
      <c r="AV182" s="21">
        <f>EXP(-LN(2)/25)*AV181+(1-EXP(-LN(2)/25))/(LN(2)/25)*Calculateur!AQ182*Calculateur!AS182*VLOOKUP('Données projet'!$B$10,Paramètres!$A$1:$I$89,3,0)*0.475*44/12</f>
        <v>17.261143008460969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141.91000476165354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-2.8421709430404007E-13</v>
      </c>
      <c r="BE182" s="13">
        <f>BD182*VLOOKUP('Données projet'!$B$11,Paramètres!$A$1:$I$89,3,0)*VLOOKUP('Données projet'!$B$11,Paramètres!$A$1:$I$89,5,0)</f>
        <v>-2.7489477361086758E-13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508.3185483454435</v>
      </c>
      <c r="BJ182" s="59">
        <f t="shared" si="146"/>
        <v>487.08233034004945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20.691841424696559</v>
      </c>
      <c r="BQ182" s="21">
        <f>EXP(-LN(2)/25)*BQ181+(1-EXP(-LN(2)/25))/(LN(2)/25)*Calculateur!BL182*Calculateur!BN182*VLOOKUP('Données projet'!$B$11,Paramètres!$A$1:$I$89,3,0)*0.475*44/12</f>
        <v>0.31977455603500721</v>
      </c>
      <c r="BR182" s="21">
        <f>EXP(-LN(2)/2)*BR181+(1-EXP(-LN(2)/2))/(LN(2)/2)*BL182*BO182*VLOOKUP('Données projet'!$B$11,Paramètres!$A$1:$I$89,3,0)*0.475*44/12</f>
        <v>8.8045449024146319E-14</v>
      </c>
      <c r="BS182" s="22">
        <f t="shared" si="169"/>
        <v>21.011615980731655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-2.8421709430404007E-13</v>
      </c>
      <c r="BZ182" s="13">
        <f>BY182*VLOOKUP('Données projet'!$B$12,Paramètres!$A$1:$I$89,3,0)*VLOOKUP('Données projet'!$B$12,Paramètres!$A$1:$I$89,5,0)</f>
        <v>-2.3055690689943731E-13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436.50252985867149</v>
      </c>
      <c r="CE182" s="59">
        <f t="shared" si="148"/>
        <v>419.00806288456329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17.354447646519699</v>
      </c>
      <c r="CL182" s="21">
        <f>EXP(-LN(2)/25)*CL181+(1-EXP(-LN(2)/25))/(LN(2)/25)*Calculateur!CG182*Calculateur!CI182*VLOOKUP('Données projet'!$B$12,Paramètres!$A$1:$I$89,3,0)*0.475*44/12</f>
        <v>0.26819801473903809</v>
      </c>
      <c r="CM182" s="21">
        <f>EXP(-LN(2)/2)*CM181+(1-EXP(-LN(2)/2))/(LN(2)/2)*CG182*CJ182*VLOOKUP('Données projet'!$B$12,Paramètres!$A$1:$I$89,3,0)*0.475*44/12</f>
        <v>7.3844570149284165E-14</v>
      </c>
      <c r="CN182" s="22">
        <f t="shared" si="172"/>
        <v>17.622645661258812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-2.8421709430404007E-13</v>
      </c>
      <c r="CU182" s="17">
        <f>CT182*VLOOKUP('Données projet'!$B$13,Paramètres!$A$1:$I$89,3,0)*VLOOKUP('Données projet'!$B$13,Paramètres!$A$1:$I$89,5,0)</f>
        <v>-2.7489477361086758E-13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508.3185483454435</v>
      </c>
      <c r="CZ182" s="59">
        <f t="shared" si="150"/>
        <v>487.08233034004945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20.691841424696559</v>
      </c>
      <c r="DG182" s="21">
        <f>EXP(-LN(2)/25)*DG181+(1-EXP(-LN(2)/25))/(LN(2)/25)*Calculateur!DB182*Calculateur!DD182*VLOOKUP('Données projet'!$B$13,Paramètres!$A$1:$I$89,3,0)*0.475*44/12</f>
        <v>0.31977455603500721</v>
      </c>
      <c r="DH182" s="21">
        <f>EXP(-LN(2)/2)*DH181+(1-EXP(-LN(2)/2))/(LN(2)/2)*DB182*DE182*VLOOKUP('Données projet'!$B$13,Paramètres!$A$1:$I$89,3,0)*0.475*44/12</f>
        <v>8.8045449024146319E-14</v>
      </c>
      <c r="DI182" s="22">
        <f t="shared" si="175"/>
        <v>21.011615980731655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-2.8421709430404007E-13</v>
      </c>
      <c r="DP182" s="17">
        <f>DO182*VLOOKUP('Données projet'!$B$14,Paramètres!$A$1:$I$89,3,0)*VLOOKUP('Données projet'!$B$14,Paramètres!$A$1:$I$89,5,0)</f>
        <v>-2.7489477361086758E-13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508.3185483454435</v>
      </c>
      <c r="DU182" s="59">
        <f t="shared" si="152"/>
        <v>487.08233034004945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20.691841424696559</v>
      </c>
      <c r="EB182" s="21">
        <f>EXP(-LN(2)/25)*EB181+(1-EXP(-LN(2)/25))/(LN(2)/25)*Calculateur!DW182*Calculateur!DY182*VLOOKUP('Données projet'!$B$14,Paramètres!$A$1:$I$89,3,0)*0.475*44/12</f>
        <v>0.31977455603500721</v>
      </c>
      <c r="EC182" s="21">
        <f>EXP(-LN(2)/2)*EC181+(1-EXP(-LN(2)/2))/(LN(2)/2)*DW182*DZ182*VLOOKUP('Données projet'!$B$14,Paramètres!$A$1:$I$89,3,0)*0.475*44/12</f>
        <v>8.8045449024146319E-14</v>
      </c>
      <c r="ED182" s="22">
        <f t="shared" si="178"/>
        <v>21.011615980731655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-7.9580786405131221E-13</v>
      </c>
      <c r="O183" s="13">
        <f>N183*VLOOKUP('Données projet'!$B$9,Paramètres!$A$1:$I$89,3,0)*VLOOKUP('Données projet'!$B$9,Paramètres!$A$1:$I$89,5,0)</f>
        <v>-7.2004695539362725E-13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569.49435820174267</v>
      </c>
      <c r="T183" s="59">
        <f t="shared" si="142"/>
        <v>295.37730858134739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109.04408106070206</v>
      </c>
      <c r="AA183" s="21">
        <f>EXP(-LN(2)/25)*AA182+(1-EXP(-LN(2)/25))/(LN(2)/25)*Calculateur!V183*Calculateur!X183*VLOOKUP('Données projet'!$B$9,Paramètres!$A$1:$I$89,3,0)*0.475*44/12</f>
        <v>14.981075329536786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124.02515639023883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-7.9580786405131221E-13</v>
      </c>
      <c r="AJ183" s="13">
        <f>AI183*VLOOKUP('Données projet'!$B$10,Paramètres!$A$1:$I$89,3,0)*VLOOKUP('Données projet'!$B$10,Paramètres!$A$1:$I$89,5,0)</f>
        <v>-8.0694917414803056E-13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627.83896530587367</v>
      </c>
      <c r="AO183" s="59">
        <f t="shared" si="144"/>
        <v>323.54927030899489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122.20457360251096</v>
      </c>
      <c r="AV183" s="21">
        <f>EXP(-LN(2)/25)*AV182+(1-EXP(-LN(2)/25))/(LN(2)/25)*Calculateur!AQ183*Calculateur!AS183*VLOOKUP('Données projet'!$B$10,Paramètres!$A$1:$I$89,3,0)*0.475*44/12</f>
        <v>16.789136145170545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138.99370974768152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-2.8421709430404007E-13</v>
      </c>
      <c r="BE183" s="13">
        <f>BD183*VLOOKUP('Données projet'!$B$11,Paramètres!$A$1:$I$89,3,0)*VLOOKUP('Données projet'!$B$11,Paramètres!$A$1:$I$89,5,0)</f>
        <v>-2.7489477361086758E-13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508.3185483454435</v>
      </c>
      <c r="BJ183" s="59">
        <f t="shared" si="146"/>
        <v>487.08233034004945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20.286087035135331</v>
      </c>
      <c r="BQ183" s="21">
        <f>EXP(-LN(2)/25)*BQ182+(1-EXP(-LN(2)/25))/(LN(2)/25)*Calculateur!BL183*Calculateur!BN183*VLOOKUP('Données projet'!$B$11,Paramètres!$A$1:$I$89,3,0)*0.475*44/12</f>
        <v>0.31103030398401688</v>
      </c>
      <c r="BR183" s="21">
        <f>EXP(-LN(2)/2)*BR182+(1-EXP(-LN(2)/2))/(LN(2)/2)*BL183*BO183*VLOOKUP('Données projet'!$B$11,Paramètres!$A$1:$I$89,3,0)*0.475*44/12</f>
        <v>6.2257534057588355E-14</v>
      </c>
      <c r="BS183" s="22">
        <f t="shared" si="169"/>
        <v>20.597117339119411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-2.8421709430404007E-13</v>
      </c>
      <c r="BZ183" s="13">
        <f>BY183*VLOOKUP('Données projet'!$B$12,Paramètres!$A$1:$I$89,3,0)*VLOOKUP('Données projet'!$B$12,Paramètres!$A$1:$I$89,5,0)</f>
        <v>-2.3055690689943731E-13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436.50252985867149</v>
      </c>
      <c r="CE183" s="59">
        <f t="shared" si="148"/>
        <v>419.00806288456329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17.014137513339314</v>
      </c>
      <c r="CL183" s="21">
        <f>EXP(-LN(2)/25)*CL182+(1-EXP(-LN(2)/25))/(LN(2)/25)*Calculateur!CG183*Calculateur!CI183*VLOOKUP('Données projet'!$B$12,Paramètres!$A$1:$I$89,3,0)*0.475*44/12</f>
        <v>0.26086412592207847</v>
      </c>
      <c r="CM183" s="21">
        <f>EXP(-LN(2)/2)*CM182+(1-EXP(-LN(2)/2))/(LN(2)/2)*CG183*CJ183*VLOOKUP('Données projet'!$B$12,Paramètres!$A$1:$I$89,3,0)*0.475*44/12</f>
        <v>5.2215996306364538E-14</v>
      </c>
      <c r="CN183" s="22">
        <f t="shared" si="172"/>
        <v>17.275001639261447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-2.8421709430404007E-13</v>
      </c>
      <c r="CU183" s="17">
        <f>CT183*VLOOKUP('Données projet'!$B$13,Paramètres!$A$1:$I$89,3,0)*VLOOKUP('Données projet'!$B$13,Paramètres!$A$1:$I$89,5,0)</f>
        <v>-2.7489477361086758E-13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508.3185483454435</v>
      </c>
      <c r="CZ183" s="59">
        <f t="shared" si="150"/>
        <v>487.08233034004945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20.286087035135331</v>
      </c>
      <c r="DG183" s="21">
        <f>EXP(-LN(2)/25)*DG182+(1-EXP(-LN(2)/25))/(LN(2)/25)*Calculateur!DB183*Calculateur!DD183*VLOOKUP('Données projet'!$B$13,Paramètres!$A$1:$I$89,3,0)*0.475*44/12</f>
        <v>0.31103030398401688</v>
      </c>
      <c r="DH183" s="21">
        <f>EXP(-LN(2)/2)*DH182+(1-EXP(-LN(2)/2))/(LN(2)/2)*DB183*DE183*VLOOKUP('Données projet'!$B$13,Paramètres!$A$1:$I$89,3,0)*0.475*44/12</f>
        <v>6.2257534057588355E-14</v>
      </c>
      <c r="DI183" s="22">
        <f t="shared" si="175"/>
        <v>20.597117339119411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-2.8421709430404007E-13</v>
      </c>
      <c r="DP183" s="17">
        <f>DO183*VLOOKUP('Données projet'!$B$14,Paramètres!$A$1:$I$89,3,0)*VLOOKUP('Données projet'!$B$14,Paramètres!$A$1:$I$89,5,0)</f>
        <v>-2.7489477361086758E-13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508.3185483454435</v>
      </c>
      <c r="DU183" s="59">
        <f t="shared" si="152"/>
        <v>487.08233034004945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20.286087035135331</v>
      </c>
      <c r="EB183" s="21">
        <f>EXP(-LN(2)/25)*EB182+(1-EXP(-LN(2)/25))/(LN(2)/25)*Calculateur!DW183*Calculateur!DY183*VLOOKUP('Données projet'!$B$14,Paramètres!$A$1:$I$89,3,0)*0.475*44/12</f>
        <v>0.31103030398401688</v>
      </c>
      <c r="EC183" s="21">
        <f>EXP(-LN(2)/2)*EC182+(1-EXP(-LN(2)/2))/(LN(2)/2)*DW183*DZ183*VLOOKUP('Données projet'!$B$14,Paramètres!$A$1:$I$89,3,0)*0.475*44/12</f>
        <v>6.2257534057588355E-14</v>
      </c>
      <c r="ED183" s="22">
        <f t="shared" si="178"/>
        <v>20.597117339119411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-7.9580786405131221E-13</v>
      </c>
      <c r="O184" s="13">
        <f>N184*VLOOKUP('Données projet'!$B$9,Paramètres!$A$1:$I$89,3,0)*VLOOKUP('Données projet'!$B$9,Paramètres!$A$1:$I$89,5,0)</f>
        <v>-7.2004695539362725E-13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569.49435820174267</v>
      </c>
      <c r="T184" s="59">
        <f t="shared" si="142"/>
        <v>295.37730858134739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106.90579314142379</v>
      </c>
      <c r="AA184" s="21">
        <f>EXP(-LN(2)/25)*AA183+(1-EXP(-LN(2)/25))/(LN(2)/25)*Calculateur!V184*Calculateur!X184*VLOOKUP('Données projet'!$B$9,Paramètres!$A$1:$I$89,3,0)*0.475*44/12</f>
        <v>14.571417036830091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121.47721017825387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-7.9580786405131221E-13</v>
      </c>
      <c r="AJ184" s="13">
        <f>AI184*VLOOKUP('Données projet'!$B$10,Paramètres!$A$1:$I$89,3,0)*VLOOKUP('Données projet'!$B$10,Paramètres!$A$1:$I$89,5,0)</f>
        <v>-8.0694917414803056E-13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627.83896530587367</v>
      </c>
      <c r="AO184" s="59">
        <f t="shared" si="144"/>
        <v>323.54927030899489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119.80821645159565</v>
      </c>
      <c r="AV184" s="21">
        <f>EXP(-LN(2)/25)*AV183+(1-EXP(-LN(2)/25))/(LN(2)/25)*Calculateur!AQ184*Calculateur!AS184*VLOOKUP('Données projet'!$B$10,Paramètres!$A$1:$I$89,3,0)*0.475*44/12</f>
        <v>16.330036334378558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136.1382527859742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-2.8421709430404007E-13</v>
      </c>
      <c r="BE184" s="13">
        <f>BD184*VLOOKUP('Données projet'!$B$11,Paramètres!$A$1:$I$89,3,0)*VLOOKUP('Données projet'!$B$11,Paramètres!$A$1:$I$89,5,0)</f>
        <v>-2.7489477361086758E-13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508.3185483454435</v>
      </c>
      <c r="BJ184" s="59">
        <f t="shared" si="146"/>
        <v>487.08233034004945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19.888289241667657</v>
      </c>
      <c r="BQ184" s="21">
        <f>EXP(-LN(2)/25)*BQ183+(1-EXP(-LN(2)/25))/(LN(2)/25)*Calculateur!BL184*Calculateur!BN184*VLOOKUP('Données projet'!$B$11,Paramètres!$A$1:$I$89,3,0)*0.475*44/12</f>
        <v>0.30252516396520113</v>
      </c>
      <c r="BR184" s="21">
        <f>EXP(-LN(2)/2)*BR183+(1-EXP(-LN(2)/2))/(LN(2)/2)*BL184*BO184*VLOOKUP('Données projet'!$B$11,Paramètres!$A$1:$I$89,3,0)*0.475*44/12</f>
        <v>4.402272451207316E-14</v>
      </c>
      <c r="BS184" s="22">
        <f t="shared" si="169"/>
        <v>20.190814405632899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-2.8421709430404007E-13</v>
      </c>
      <c r="BZ184" s="13">
        <f>BY184*VLOOKUP('Données projet'!$B$12,Paramètres!$A$1:$I$89,3,0)*VLOOKUP('Données projet'!$B$12,Paramètres!$A$1:$I$89,5,0)</f>
        <v>-2.3055690689943731E-13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436.50252985867149</v>
      </c>
      <c r="CE184" s="59">
        <f t="shared" si="148"/>
        <v>419.00806288456329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16.680500654301909</v>
      </c>
      <c r="CL184" s="21">
        <f>EXP(-LN(2)/25)*CL183+(1-EXP(-LN(2)/25))/(LN(2)/25)*Calculateur!CG184*Calculateur!CI184*VLOOKUP('Données projet'!$B$12,Paramètres!$A$1:$I$89,3,0)*0.475*44/12</f>
        <v>0.25373078268049104</v>
      </c>
      <c r="CM184" s="21">
        <f>EXP(-LN(2)/2)*CM183+(1-EXP(-LN(2)/2))/(LN(2)/2)*CG184*CJ184*VLOOKUP('Données projet'!$B$12,Paramètres!$A$1:$I$89,3,0)*0.475*44/12</f>
        <v>3.6922285074642083E-14</v>
      </c>
      <c r="CN184" s="22">
        <f t="shared" si="172"/>
        <v>16.934231436982436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-2.8421709430404007E-13</v>
      </c>
      <c r="CU184" s="17">
        <f>CT184*VLOOKUP('Données projet'!$B$13,Paramètres!$A$1:$I$89,3,0)*VLOOKUP('Données projet'!$B$13,Paramètres!$A$1:$I$89,5,0)</f>
        <v>-2.7489477361086758E-13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508.3185483454435</v>
      </c>
      <c r="CZ184" s="59">
        <f t="shared" si="150"/>
        <v>487.08233034004945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19.888289241667657</v>
      </c>
      <c r="DG184" s="21">
        <f>EXP(-LN(2)/25)*DG183+(1-EXP(-LN(2)/25))/(LN(2)/25)*Calculateur!DB184*Calculateur!DD184*VLOOKUP('Données projet'!$B$13,Paramètres!$A$1:$I$89,3,0)*0.475*44/12</f>
        <v>0.30252516396520113</v>
      </c>
      <c r="DH184" s="21">
        <f>EXP(-LN(2)/2)*DH183+(1-EXP(-LN(2)/2))/(LN(2)/2)*DB184*DE184*VLOOKUP('Données projet'!$B$13,Paramètres!$A$1:$I$89,3,0)*0.475*44/12</f>
        <v>4.402272451207316E-14</v>
      </c>
      <c r="DI184" s="22">
        <f t="shared" si="175"/>
        <v>20.190814405632899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-2.8421709430404007E-13</v>
      </c>
      <c r="DP184" s="17">
        <f>DO184*VLOOKUP('Données projet'!$B$14,Paramètres!$A$1:$I$89,3,0)*VLOOKUP('Données projet'!$B$14,Paramètres!$A$1:$I$89,5,0)</f>
        <v>-2.7489477361086758E-13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508.3185483454435</v>
      </c>
      <c r="DU184" s="59">
        <f t="shared" si="152"/>
        <v>487.08233034004945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19.888289241667657</v>
      </c>
      <c r="EB184" s="21">
        <f>EXP(-LN(2)/25)*EB183+(1-EXP(-LN(2)/25))/(LN(2)/25)*Calculateur!DW184*Calculateur!DY184*VLOOKUP('Données projet'!$B$14,Paramètres!$A$1:$I$89,3,0)*0.475*44/12</f>
        <v>0.30252516396520113</v>
      </c>
      <c r="EC184" s="21">
        <f>EXP(-LN(2)/2)*EC183+(1-EXP(-LN(2)/2))/(LN(2)/2)*DW184*DZ184*VLOOKUP('Données projet'!$B$14,Paramètres!$A$1:$I$89,3,0)*0.475*44/12</f>
        <v>4.402272451207316E-14</v>
      </c>
      <c r="ED184" s="22">
        <f t="shared" si="178"/>
        <v>20.190814405632899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-7.9580786405131221E-13</v>
      </c>
      <c r="O185" s="13">
        <f>N185*VLOOKUP('Données projet'!$B$9,Paramètres!$A$1:$I$89,3,0)*VLOOKUP('Données projet'!$B$9,Paramètres!$A$1:$I$89,5,0)</f>
        <v>-7.2004695539362725E-13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569.49435820174267</v>
      </c>
      <c r="T185" s="59">
        <f t="shared" si="142"/>
        <v>295.37730858134739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104.80943574401572</v>
      </c>
      <c r="AA185" s="21">
        <f>EXP(-LN(2)/25)*AA184+(1-EXP(-LN(2)/25))/(LN(2)/25)*Calculateur!V185*Calculateur!X185*VLOOKUP('Données projet'!$B$9,Paramètres!$A$1:$I$89,3,0)*0.475*44/12</f>
        <v>14.172960871680454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118.98239661569617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-7.9580786405131221E-13</v>
      </c>
      <c r="AJ185" s="13">
        <f>AI185*VLOOKUP('Données projet'!$B$10,Paramètres!$A$1:$I$89,3,0)*VLOOKUP('Données projet'!$B$10,Paramètres!$A$1:$I$89,5,0)</f>
        <v>-8.0694917414803056E-13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627.83896530587367</v>
      </c>
      <c r="AO185" s="59">
        <f t="shared" si="144"/>
        <v>323.54927030899489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117.45885040277626</v>
      </c>
      <c r="AV185" s="21">
        <f>EXP(-LN(2)/25)*AV184+(1-EXP(-LN(2)/25))/(LN(2)/25)*Calculateur!AQ185*Calculateur!AS185*VLOOKUP('Données projet'!$B$10,Paramètres!$A$1:$I$89,3,0)*0.475*44/12</f>
        <v>15.883490632055688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133.34234103483195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-2.8421709430404007E-13</v>
      </c>
      <c r="BE185" s="13">
        <f>BD185*VLOOKUP('Données projet'!$B$11,Paramètres!$A$1:$I$89,3,0)*VLOOKUP('Données projet'!$B$11,Paramètres!$A$1:$I$89,5,0)</f>
        <v>-2.7489477361086758E-13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508.3185483454435</v>
      </c>
      <c r="BJ185" s="59">
        <f t="shared" si="146"/>
        <v>487.08233034004945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19.498292020297189</v>
      </c>
      <c r="BQ185" s="21">
        <f>EXP(-LN(2)/25)*BQ184+(1-EXP(-LN(2)/25))/(LN(2)/25)*Calculateur!BL185*Calculateur!BN185*VLOOKUP('Données projet'!$B$11,Paramètres!$A$1:$I$89,3,0)*0.475*44/12</f>
        <v>0.29425259744746574</v>
      </c>
      <c r="BR185" s="21">
        <f>EXP(-LN(2)/2)*BR184+(1-EXP(-LN(2)/2))/(LN(2)/2)*BL185*BO185*VLOOKUP('Données projet'!$B$11,Paramètres!$A$1:$I$89,3,0)*0.475*44/12</f>
        <v>3.1128767028794177E-14</v>
      </c>
      <c r="BS185" s="22">
        <f t="shared" si="169"/>
        <v>19.792544617744685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-2.8421709430404007E-13</v>
      </c>
      <c r="BZ185" s="13">
        <f>BY185*VLOOKUP('Données projet'!$B$12,Paramètres!$A$1:$I$89,3,0)*VLOOKUP('Données projet'!$B$12,Paramètres!$A$1:$I$89,5,0)</f>
        <v>-2.3055690689943731E-13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436.50252985867149</v>
      </c>
      <c r="CE185" s="59">
        <f t="shared" si="148"/>
        <v>419.00806288456329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16.353406210571837</v>
      </c>
      <c r="CL185" s="21">
        <f>EXP(-LN(2)/25)*CL184+(1-EXP(-LN(2)/25))/(LN(2)/25)*Calculateur!CG185*Calculateur!CI185*VLOOKUP('Données projet'!$B$12,Paramètres!$A$1:$I$89,3,0)*0.475*44/12</f>
        <v>0.24679250108497106</v>
      </c>
      <c r="CM185" s="21">
        <f>EXP(-LN(2)/2)*CM184+(1-EXP(-LN(2)/2))/(LN(2)/2)*CG185*CJ185*VLOOKUP('Données projet'!$B$12,Paramètres!$A$1:$I$89,3,0)*0.475*44/12</f>
        <v>2.6107998153182269E-14</v>
      </c>
      <c r="CN185" s="22">
        <f t="shared" si="172"/>
        <v>16.600198711656834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-2.8421709430404007E-13</v>
      </c>
      <c r="CU185" s="17">
        <f>CT185*VLOOKUP('Données projet'!$B$13,Paramètres!$A$1:$I$89,3,0)*VLOOKUP('Données projet'!$B$13,Paramètres!$A$1:$I$89,5,0)</f>
        <v>-2.7489477361086758E-13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508.3185483454435</v>
      </c>
      <c r="CZ185" s="59">
        <f t="shared" si="150"/>
        <v>487.08233034004945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19.498292020297189</v>
      </c>
      <c r="DG185" s="21">
        <f>EXP(-LN(2)/25)*DG184+(1-EXP(-LN(2)/25))/(LN(2)/25)*Calculateur!DB185*Calculateur!DD185*VLOOKUP('Données projet'!$B$13,Paramètres!$A$1:$I$89,3,0)*0.475*44/12</f>
        <v>0.29425259744746574</v>
      </c>
      <c r="DH185" s="21">
        <f>EXP(-LN(2)/2)*DH184+(1-EXP(-LN(2)/2))/(LN(2)/2)*DB185*DE185*VLOOKUP('Données projet'!$B$13,Paramètres!$A$1:$I$89,3,0)*0.475*44/12</f>
        <v>3.1128767028794177E-14</v>
      </c>
      <c r="DI185" s="22">
        <f t="shared" si="175"/>
        <v>19.792544617744685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-2.8421709430404007E-13</v>
      </c>
      <c r="DP185" s="17">
        <f>DO185*VLOOKUP('Données projet'!$B$14,Paramètres!$A$1:$I$89,3,0)*VLOOKUP('Données projet'!$B$14,Paramètres!$A$1:$I$89,5,0)</f>
        <v>-2.7489477361086758E-13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508.3185483454435</v>
      </c>
      <c r="DU185" s="59">
        <f t="shared" si="152"/>
        <v>487.08233034004945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19.498292020297189</v>
      </c>
      <c r="EB185" s="21">
        <f>EXP(-LN(2)/25)*EB184+(1-EXP(-LN(2)/25))/(LN(2)/25)*Calculateur!DW185*Calculateur!DY185*VLOOKUP('Données projet'!$B$14,Paramètres!$A$1:$I$89,3,0)*0.475*44/12</f>
        <v>0.29425259744746574</v>
      </c>
      <c r="EC185" s="21">
        <f>EXP(-LN(2)/2)*EC184+(1-EXP(-LN(2)/2))/(LN(2)/2)*DW185*DZ185*VLOOKUP('Données projet'!$B$14,Paramètres!$A$1:$I$89,3,0)*0.475*44/12</f>
        <v>3.1128767028794177E-14</v>
      </c>
      <c r="ED185" s="22">
        <f t="shared" si="178"/>
        <v>19.792544617744685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-7.9580786405131221E-13</v>
      </c>
      <c r="O186" s="13">
        <f>N186*VLOOKUP('Données projet'!$B$9,Paramètres!$A$1:$I$89,3,0)*VLOOKUP('Données projet'!$B$9,Paramètres!$A$1:$I$89,5,0)</f>
        <v>-7.2004695539362725E-13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569.49435820174267</v>
      </c>
      <c r="T186" s="59">
        <f t="shared" si="142"/>
        <v>295.37730858134739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102.75418663651907</v>
      </c>
      <c r="AA186" s="21">
        <f>EXP(-LN(2)/25)*AA185+(1-EXP(-LN(2)/25))/(LN(2)/25)*Calculateur!V186*Calculateur!X186*VLOOKUP('Données projet'!$B$9,Paramètres!$A$1:$I$89,3,0)*0.475*44/12</f>
        <v>13.785400511320733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116.5395871478398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-7.9580786405131221E-13</v>
      </c>
      <c r="AJ186" s="13">
        <f>AI186*VLOOKUP('Données projet'!$B$10,Paramètres!$A$1:$I$89,3,0)*VLOOKUP('Données projet'!$B$10,Paramètres!$A$1:$I$89,5,0)</f>
        <v>-8.0694917414803056E-13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627.83896530587367</v>
      </c>
      <c r="AO186" s="59">
        <f t="shared" si="144"/>
        <v>323.54927030899489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115.15555398920243</v>
      </c>
      <c r="AV186" s="21">
        <f>EXP(-LN(2)/25)*AV185+(1-EXP(-LN(2)/25))/(LN(2)/25)*Calculateur!AQ186*Calculateur!AS186*VLOOKUP('Données projet'!$B$10,Paramètres!$A$1:$I$89,3,0)*0.475*44/12</f>
        <v>15.449155745445655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130.60470973464808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-2.8421709430404007E-13</v>
      </c>
      <c r="BE186" s="13">
        <f>BD186*VLOOKUP('Données projet'!$B$11,Paramètres!$A$1:$I$89,3,0)*VLOOKUP('Données projet'!$B$11,Paramètres!$A$1:$I$89,5,0)</f>
        <v>-2.7489477361086758E-13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508.3185483454435</v>
      </c>
      <c r="BJ186" s="59">
        <f t="shared" si="146"/>
        <v>487.08233034004945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19.115942406562979</v>
      </c>
      <c r="BQ186" s="21">
        <f>EXP(-LN(2)/25)*BQ185+(1-EXP(-LN(2)/25))/(LN(2)/25)*Calculateur!BL186*Calculateur!BN186*VLOOKUP('Données projet'!$B$11,Paramètres!$A$1:$I$89,3,0)*0.475*44/12</f>
        <v>0.28620624469619321</v>
      </c>
      <c r="BR186" s="21">
        <f>EXP(-LN(2)/2)*BR185+(1-EXP(-LN(2)/2))/(LN(2)/2)*BL186*BO186*VLOOKUP('Données projet'!$B$11,Paramètres!$A$1:$I$89,3,0)*0.475*44/12</f>
        <v>2.201136225603658E-14</v>
      </c>
      <c r="BS186" s="22">
        <f t="shared" si="169"/>
        <v>19.402148651259193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-2.8421709430404007E-13</v>
      </c>
      <c r="BZ186" s="13">
        <f>BY186*VLOOKUP('Données projet'!$B$12,Paramètres!$A$1:$I$89,3,0)*VLOOKUP('Données projet'!$B$12,Paramètres!$A$1:$I$89,5,0)</f>
        <v>-2.3055690689943731E-13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436.50252985867149</v>
      </c>
      <c r="CE186" s="59">
        <f t="shared" si="148"/>
        <v>419.00806288456329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16.032725889375403</v>
      </c>
      <c r="CL186" s="21">
        <f>EXP(-LN(2)/25)*CL185+(1-EXP(-LN(2)/25))/(LN(2)/25)*Calculateur!CG186*Calculateur!CI186*VLOOKUP('Données projet'!$B$12,Paramètres!$A$1:$I$89,3,0)*0.475*44/12</f>
        <v>0.24004394716454894</v>
      </c>
      <c r="CM186" s="21">
        <f>EXP(-LN(2)/2)*CM185+(1-EXP(-LN(2)/2))/(LN(2)/2)*CG186*CJ186*VLOOKUP('Données projet'!$B$12,Paramètres!$A$1:$I$89,3,0)*0.475*44/12</f>
        <v>1.8461142537321041E-14</v>
      </c>
      <c r="CN186" s="22">
        <f t="shared" si="172"/>
        <v>16.272769836539968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-2.8421709430404007E-13</v>
      </c>
      <c r="CU186" s="17">
        <f>CT186*VLOOKUP('Données projet'!$B$13,Paramètres!$A$1:$I$89,3,0)*VLOOKUP('Données projet'!$B$13,Paramètres!$A$1:$I$89,5,0)</f>
        <v>-2.7489477361086758E-13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508.3185483454435</v>
      </c>
      <c r="CZ186" s="59">
        <f t="shared" si="150"/>
        <v>487.08233034004945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19.115942406562979</v>
      </c>
      <c r="DG186" s="21">
        <f>EXP(-LN(2)/25)*DG185+(1-EXP(-LN(2)/25))/(LN(2)/25)*Calculateur!DB186*Calculateur!DD186*VLOOKUP('Données projet'!$B$13,Paramètres!$A$1:$I$89,3,0)*0.475*44/12</f>
        <v>0.28620624469619321</v>
      </c>
      <c r="DH186" s="21">
        <f>EXP(-LN(2)/2)*DH185+(1-EXP(-LN(2)/2))/(LN(2)/2)*DB186*DE186*VLOOKUP('Données projet'!$B$13,Paramètres!$A$1:$I$89,3,0)*0.475*44/12</f>
        <v>2.201136225603658E-14</v>
      </c>
      <c r="DI186" s="22">
        <f t="shared" si="175"/>
        <v>19.402148651259193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-2.8421709430404007E-13</v>
      </c>
      <c r="DP186" s="17">
        <f>DO186*VLOOKUP('Données projet'!$B$14,Paramètres!$A$1:$I$89,3,0)*VLOOKUP('Données projet'!$B$14,Paramètres!$A$1:$I$89,5,0)</f>
        <v>-2.7489477361086758E-13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508.3185483454435</v>
      </c>
      <c r="DU186" s="59">
        <f t="shared" si="152"/>
        <v>487.08233034004945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19.115942406562979</v>
      </c>
      <c r="EB186" s="21">
        <f>EXP(-LN(2)/25)*EB185+(1-EXP(-LN(2)/25))/(LN(2)/25)*Calculateur!DW186*Calculateur!DY186*VLOOKUP('Données projet'!$B$14,Paramètres!$A$1:$I$89,3,0)*0.475*44/12</f>
        <v>0.28620624469619321</v>
      </c>
      <c r="EC186" s="21">
        <f>EXP(-LN(2)/2)*EC185+(1-EXP(-LN(2)/2))/(LN(2)/2)*DW186*DZ186*VLOOKUP('Données projet'!$B$14,Paramètres!$A$1:$I$89,3,0)*0.475*44/12</f>
        <v>2.201136225603658E-14</v>
      </c>
      <c r="ED186" s="22">
        <f t="shared" si="178"/>
        <v>19.402148651259193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-7.9580786405131221E-13</v>
      </c>
      <c r="O187" s="13">
        <f>N187*VLOOKUP('Données projet'!$B$9,Paramètres!$A$1:$I$89,3,0)*VLOOKUP('Données projet'!$B$9,Paramètres!$A$1:$I$89,5,0)</f>
        <v>-7.2004695539362725E-13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569.49435820174267</v>
      </c>
      <c r="T187" s="59">
        <f t="shared" si="142"/>
        <v>295.37730858134739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100.73923971044225</v>
      </c>
      <c r="AA187" s="21">
        <f>EXP(-LN(2)/25)*AA186+(1-EXP(-LN(2)/25))/(LN(2)/25)*Calculateur!V187*Calculateur!X187*VLOOKUP('Données projet'!$B$9,Paramètres!$A$1:$I$89,3,0)*0.475*44/12</f>
        <v>13.408438009395962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114.14767771983821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-7.9580786405131221E-13</v>
      </c>
      <c r="AJ187" s="13">
        <f>AI187*VLOOKUP('Données projet'!$B$10,Paramètres!$A$1:$I$89,3,0)*VLOOKUP('Données projet'!$B$10,Paramètres!$A$1:$I$89,5,0)</f>
        <v>-8.0694917414803056E-13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627.83896530587367</v>
      </c>
      <c r="AO187" s="59">
        <f t="shared" si="144"/>
        <v>323.54927030899489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112.89742381342668</v>
      </c>
      <c r="AV187" s="21">
        <f>EXP(-LN(2)/25)*AV186+(1-EXP(-LN(2)/25))/(LN(2)/25)*Calculateur!AQ187*Calculateur!AS187*VLOOKUP('Données projet'!$B$10,Paramètres!$A$1:$I$89,3,0)*0.475*44/12</f>
        <v>15.026697769150653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127.92412158257734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-2.8421709430404007E-13</v>
      </c>
      <c r="BE187" s="13">
        <f>BD187*VLOOKUP('Données projet'!$B$11,Paramètres!$A$1:$I$89,3,0)*VLOOKUP('Données projet'!$B$11,Paramètres!$A$1:$I$89,5,0)</f>
        <v>-2.7489477361086758E-13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508.3185483454435</v>
      </c>
      <c r="BJ187" s="59">
        <f t="shared" si="146"/>
        <v>487.08233034004945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18.74109043554386</v>
      </c>
      <c r="BQ187" s="21">
        <f>EXP(-LN(2)/25)*BQ186+(1-EXP(-LN(2)/25))/(LN(2)/25)*Calculateur!BL187*Calculateur!BN187*VLOOKUP('Données projet'!$B$11,Paramètres!$A$1:$I$89,3,0)*0.475*44/12</f>
        <v>0.27837991988404354</v>
      </c>
      <c r="BR187" s="21">
        <f>EXP(-LN(2)/2)*BR186+(1-EXP(-LN(2)/2))/(LN(2)/2)*BL187*BO187*VLOOKUP('Données projet'!$B$11,Paramètres!$A$1:$I$89,3,0)*0.475*44/12</f>
        <v>1.5564383514397089E-14</v>
      </c>
      <c r="BS187" s="22">
        <f t="shared" si="169"/>
        <v>19.019470355427917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-2.8421709430404007E-13</v>
      </c>
      <c r="BZ187" s="13">
        <f>BY187*VLOOKUP('Données projet'!$B$12,Paramètres!$A$1:$I$89,3,0)*VLOOKUP('Données projet'!$B$12,Paramètres!$A$1:$I$89,5,0)</f>
        <v>-2.3055690689943731E-13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436.50252985867149</v>
      </c>
      <c r="CE187" s="59">
        <f t="shared" si="148"/>
        <v>419.00806288456329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15.718333913681947</v>
      </c>
      <c r="CL187" s="21">
        <f>EXP(-LN(2)/25)*CL186+(1-EXP(-LN(2)/25))/(LN(2)/25)*Calculateur!CG187*Calculateur!CI187*VLOOKUP('Données projet'!$B$12,Paramètres!$A$1:$I$89,3,0)*0.475*44/12</f>
        <v>0.23347993280597179</v>
      </c>
      <c r="CM187" s="21">
        <f>EXP(-LN(2)/2)*CM186+(1-EXP(-LN(2)/2))/(LN(2)/2)*CG187*CJ187*VLOOKUP('Données projet'!$B$12,Paramètres!$A$1:$I$89,3,0)*0.475*44/12</f>
        <v>1.3053999076591135E-14</v>
      </c>
      <c r="CN187" s="22">
        <f t="shared" si="172"/>
        <v>15.951813846487932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-2.8421709430404007E-13</v>
      </c>
      <c r="CU187" s="17">
        <f>CT187*VLOOKUP('Données projet'!$B$13,Paramètres!$A$1:$I$89,3,0)*VLOOKUP('Données projet'!$B$13,Paramètres!$A$1:$I$89,5,0)</f>
        <v>-2.7489477361086758E-13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508.3185483454435</v>
      </c>
      <c r="CZ187" s="59">
        <f t="shared" si="150"/>
        <v>487.08233034004945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18.74109043554386</v>
      </c>
      <c r="DG187" s="21">
        <f>EXP(-LN(2)/25)*DG186+(1-EXP(-LN(2)/25))/(LN(2)/25)*Calculateur!DB187*Calculateur!DD187*VLOOKUP('Données projet'!$B$13,Paramètres!$A$1:$I$89,3,0)*0.475*44/12</f>
        <v>0.27837991988404354</v>
      </c>
      <c r="DH187" s="21">
        <f>EXP(-LN(2)/2)*DH186+(1-EXP(-LN(2)/2))/(LN(2)/2)*DB187*DE187*VLOOKUP('Données projet'!$B$13,Paramètres!$A$1:$I$89,3,0)*0.475*44/12</f>
        <v>1.5564383514397089E-14</v>
      </c>
      <c r="DI187" s="22">
        <f t="shared" si="175"/>
        <v>19.019470355427917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-2.8421709430404007E-13</v>
      </c>
      <c r="DP187" s="17">
        <f>DO187*VLOOKUP('Données projet'!$B$14,Paramètres!$A$1:$I$89,3,0)*VLOOKUP('Données projet'!$B$14,Paramètres!$A$1:$I$89,5,0)</f>
        <v>-2.7489477361086758E-13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508.3185483454435</v>
      </c>
      <c r="DU187" s="59">
        <f t="shared" si="152"/>
        <v>487.08233034004945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18.74109043554386</v>
      </c>
      <c r="EB187" s="21">
        <f>EXP(-LN(2)/25)*EB186+(1-EXP(-LN(2)/25))/(LN(2)/25)*Calculateur!DW187*Calculateur!DY187*VLOOKUP('Données projet'!$B$14,Paramètres!$A$1:$I$89,3,0)*0.475*44/12</f>
        <v>0.27837991988404354</v>
      </c>
      <c r="EC187" s="21">
        <f>EXP(-LN(2)/2)*EC186+(1-EXP(-LN(2)/2))/(LN(2)/2)*DW187*DZ187*VLOOKUP('Données projet'!$B$14,Paramètres!$A$1:$I$89,3,0)*0.475*44/12</f>
        <v>1.5564383514397089E-14</v>
      </c>
      <c r="ED187" s="22">
        <f t="shared" si="178"/>
        <v>19.019470355427917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-7.9580786405131221E-13</v>
      </c>
      <c r="O188" s="13">
        <f>N188*VLOOKUP('Données projet'!$B$9,Paramètres!$A$1:$I$89,3,0)*VLOOKUP('Données projet'!$B$9,Paramètres!$A$1:$I$89,5,0)</f>
        <v>-7.2004695539362725E-13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569.49435820174267</v>
      </c>
      <c r="T188" s="59">
        <f t="shared" si="142"/>
        <v>295.37730858134739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98.763804664589529</v>
      </c>
      <c r="AA188" s="21">
        <f>EXP(-LN(2)/25)*AA187+(1-EXP(-LN(2)/25))/(LN(2)/25)*Calculateur!V188*Calculateur!X188*VLOOKUP('Données projet'!$B$9,Paramètres!$A$1:$I$89,3,0)*0.475*44/12</f>
        <v>13.041783566909919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111.80558823149944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-7.9580786405131221E-13</v>
      </c>
      <c r="AJ188" s="13">
        <f>AI188*VLOOKUP('Données projet'!$B$10,Paramètres!$A$1:$I$89,3,0)*VLOOKUP('Données projet'!$B$10,Paramètres!$A$1:$I$89,5,0)</f>
        <v>-8.0694917414803056E-13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627.83896530587367</v>
      </c>
      <c r="AO188" s="59">
        <f t="shared" si="144"/>
        <v>323.54927030899489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110.68357419307449</v>
      </c>
      <c r="AV188" s="21">
        <f>EXP(-LN(2)/25)*AV187+(1-EXP(-LN(2)/25))/(LN(2)/25)*Calculateur!AQ188*Calculateur!AS188*VLOOKUP('Données projet'!$B$10,Paramètres!$A$1:$I$89,3,0)*0.475*44/12</f>
        <v>14.615791928433536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125.29936612150803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-2.8421709430404007E-13</v>
      </c>
      <c r="BE188" s="13">
        <f>BD188*VLOOKUP('Données projet'!$B$11,Paramètres!$A$1:$I$89,3,0)*VLOOKUP('Données projet'!$B$11,Paramètres!$A$1:$I$89,5,0)</f>
        <v>-2.7489477361086758E-13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508.3185483454435</v>
      </c>
      <c r="BJ188" s="59">
        <f t="shared" si="146"/>
        <v>487.08233034004945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18.373589083039299</v>
      </c>
      <c r="BQ188" s="21">
        <f>EXP(-LN(2)/25)*BQ187+(1-EXP(-LN(2)/25))/(LN(2)/25)*Calculateur!BL188*Calculateur!BN188*VLOOKUP('Données projet'!$B$11,Paramètres!$A$1:$I$89,3,0)*0.475*44/12</f>
        <v>0.27076760633545061</v>
      </c>
      <c r="BR188" s="21">
        <f>EXP(-LN(2)/2)*BR187+(1-EXP(-LN(2)/2))/(LN(2)/2)*BL188*BO188*VLOOKUP('Données projet'!$B$11,Paramètres!$A$1:$I$89,3,0)*0.475*44/12</f>
        <v>1.100568112801829E-14</v>
      </c>
      <c r="BS188" s="22">
        <f t="shared" si="169"/>
        <v>18.64435668937476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-2.8421709430404007E-13</v>
      </c>
      <c r="BZ188" s="13">
        <f>BY188*VLOOKUP('Données projet'!$B$12,Paramètres!$A$1:$I$89,3,0)*VLOOKUP('Données projet'!$B$12,Paramètres!$A$1:$I$89,5,0)</f>
        <v>-2.3055690689943731E-13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436.50252985867149</v>
      </c>
      <c r="CE188" s="59">
        <f t="shared" si="148"/>
        <v>419.00806288456329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15.41010697287167</v>
      </c>
      <c r="CL188" s="21">
        <f>EXP(-LN(2)/25)*CL187+(1-EXP(-LN(2)/25))/(LN(2)/25)*Calculateur!CG188*Calculateur!CI188*VLOOKUP('Données projet'!$B$12,Paramètres!$A$1:$I$89,3,0)*0.475*44/12</f>
        <v>0.22709541176521644</v>
      </c>
      <c r="CM188" s="21">
        <f>EXP(-LN(2)/2)*CM187+(1-EXP(-LN(2)/2))/(LN(2)/2)*CG188*CJ188*VLOOKUP('Données projet'!$B$12,Paramètres!$A$1:$I$89,3,0)*0.475*44/12</f>
        <v>9.2305712686605207E-15</v>
      </c>
      <c r="CN188" s="22">
        <f t="shared" si="172"/>
        <v>15.637202384636895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-2.8421709430404007E-13</v>
      </c>
      <c r="CU188" s="17">
        <f>CT188*VLOOKUP('Données projet'!$B$13,Paramètres!$A$1:$I$89,3,0)*VLOOKUP('Données projet'!$B$13,Paramètres!$A$1:$I$89,5,0)</f>
        <v>-2.7489477361086758E-13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508.3185483454435</v>
      </c>
      <c r="CZ188" s="59">
        <f t="shared" si="150"/>
        <v>487.08233034004945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18.373589083039299</v>
      </c>
      <c r="DG188" s="21">
        <f>EXP(-LN(2)/25)*DG187+(1-EXP(-LN(2)/25))/(LN(2)/25)*Calculateur!DB188*Calculateur!DD188*VLOOKUP('Données projet'!$B$13,Paramètres!$A$1:$I$89,3,0)*0.475*44/12</f>
        <v>0.27076760633545061</v>
      </c>
      <c r="DH188" s="21">
        <f>EXP(-LN(2)/2)*DH187+(1-EXP(-LN(2)/2))/(LN(2)/2)*DB188*DE188*VLOOKUP('Données projet'!$B$13,Paramètres!$A$1:$I$89,3,0)*0.475*44/12</f>
        <v>1.100568112801829E-14</v>
      </c>
      <c r="DI188" s="22">
        <f t="shared" si="175"/>
        <v>18.64435668937476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-2.8421709430404007E-13</v>
      </c>
      <c r="DP188" s="17">
        <f>DO188*VLOOKUP('Données projet'!$B$14,Paramètres!$A$1:$I$89,3,0)*VLOOKUP('Données projet'!$B$14,Paramètres!$A$1:$I$89,5,0)</f>
        <v>-2.7489477361086758E-13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508.3185483454435</v>
      </c>
      <c r="DU188" s="59">
        <f t="shared" si="152"/>
        <v>487.08233034004945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18.373589083039299</v>
      </c>
      <c r="EB188" s="21">
        <f>EXP(-LN(2)/25)*EB187+(1-EXP(-LN(2)/25))/(LN(2)/25)*Calculateur!DW188*Calculateur!DY188*VLOOKUP('Données projet'!$B$14,Paramètres!$A$1:$I$89,3,0)*0.475*44/12</f>
        <v>0.27076760633545061</v>
      </c>
      <c r="EC188" s="21">
        <f>EXP(-LN(2)/2)*EC187+(1-EXP(-LN(2)/2))/(LN(2)/2)*DW188*DZ188*VLOOKUP('Données projet'!$B$14,Paramètres!$A$1:$I$89,3,0)*0.475*44/12</f>
        <v>1.100568112801829E-14</v>
      </c>
      <c r="ED188" s="22">
        <f t="shared" si="178"/>
        <v>18.64435668937476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-7.9580786405131221E-13</v>
      </c>
      <c r="O189" s="13">
        <f>N189*VLOOKUP('Données projet'!$B$9,Paramètres!$A$1:$I$89,3,0)*VLOOKUP('Données projet'!$B$9,Paramètres!$A$1:$I$89,5,0)</f>
        <v>-7.2004695539362725E-13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569.49435820174267</v>
      </c>
      <c r="T189" s="59">
        <f t="shared" si="142"/>
        <v>295.37730858134739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96.827106695089569</v>
      </c>
      <c r="AA189" s="21">
        <f>EXP(-LN(2)/25)*AA188+(1-EXP(-LN(2)/25))/(LN(2)/25)*Calculateur!V189*Calculateur!X189*VLOOKUP('Données projet'!$B$9,Paramètres!$A$1:$I$89,3,0)*0.475*44/12</f>
        <v>12.685155309435176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109.51226200452474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-7.9580786405131221E-13</v>
      </c>
      <c r="AJ189" s="13">
        <f>AI189*VLOOKUP('Données projet'!$B$10,Paramètres!$A$1:$I$89,3,0)*VLOOKUP('Données projet'!$B$10,Paramètres!$A$1:$I$89,5,0)</f>
        <v>-8.0694917414803056E-13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627.83896530587367</v>
      </c>
      <c r="AO189" s="59">
        <f t="shared" si="144"/>
        <v>323.54927030899489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108.51313681346247</v>
      </c>
      <c r="AV189" s="21">
        <f>EXP(-LN(2)/25)*AV188+(1-EXP(-LN(2)/25))/(LN(2)/25)*Calculateur!AQ189*Calculateur!AS189*VLOOKUP('Données projet'!$B$10,Paramètres!$A$1:$I$89,3,0)*0.475*44/12</f>
        <v>14.216122329539429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122.7292591430019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-2.8421709430404007E-13</v>
      </c>
      <c r="BE189" s="13">
        <f>BD189*VLOOKUP('Données projet'!$B$11,Paramètres!$A$1:$I$89,3,0)*VLOOKUP('Données projet'!$B$11,Paramètres!$A$1:$I$89,5,0)</f>
        <v>-2.7489477361086758E-13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508.3185483454435</v>
      </c>
      <c r="BJ189" s="59">
        <f t="shared" si="146"/>
        <v>487.08233034004945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18.013294207903662</v>
      </c>
      <c r="BQ189" s="21">
        <f>EXP(-LN(2)/25)*BQ188+(1-EXP(-LN(2)/25))/(LN(2)/25)*Calculateur!BL189*Calculateur!BN189*VLOOKUP('Données projet'!$B$11,Paramètres!$A$1:$I$89,3,0)*0.475*44/12</f>
        <v>0.26336345190115812</v>
      </c>
      <c r="BR189" s="21">
        <f>EXP(-LN(2)/2)*BR188+(1-EXP(-LN(2)/2))/(LN(2)/2)*BL189*BO189*VLOOKUP('Données projet'!$B$11,Paramètres!$A$1:$I$89,3,0)*0.475*44/12</f>
        <v>7.7821917571985443E-15</v>
      </c>
      <c r="BS189" s="22">
        <f t="shared" si="169"/>
        <v>18.276657659804826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-2.8421709430404007E-13</v>
      </c>
      <c r="BZ189" s="13">
        <f>BY189*VLOOKUP('Données projet'!$B$12,Paramètres!$A$1:$I$89,3,0)*VLOOKUP('Données projet'!$B$12,Paramètres!$A$1:$I$89,5,0)</f>
        <v>-2.3055690689943731E-13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436.50252985867149</v>
      </c>
      <c r="CE189" s="59">
        <f t="shared" si="148"/>
        <v>419.00806288456329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15.107924174370813</v>
      </c>
      <c r="CL189" s="21">
        <f>EXP(-LN(2)/25)*CL188+(1-EXP(-LN(2)/25))/(LN(2)/25)*Calculateur!CG189*Calculateur!CI189*VLOOKUP('Données projet'!$B$12,Paramètres!$A$1:$I$89,3,0)*0.475*44/12</f>
        <v>0.22088547578806791</v>
      </c>
      <c r="CM189" s="21">
        <f>EXP(-LN(2)/2)*CM188+(1-EXP(-LN(2)/2))/(LN(2)/2)*CG189*CJ189*VLOOKUP('Données projet'!$B$12,Paramètres!$A$1:$I$89,3,0)*0.475*44/12</f>
        <v>6.5269995382955673E-15</v>
      </c>
      <c r="CN189" s="22">
        <f t="shared" si="172"/>
        <v>15.328809650158888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-2.8421709430404007E-13</v>
      </c>
      <c r="CU189" s="17">
        <f>CT189*VLOOKUP('Données projet'!$B$13,Paramètres!$A$1:$I$89,3,0)*VLOOKUP('Données projet'!$B$13,Paramètres!$A$1:$I$89,5,0)</f>
        <v>-2.7489477361086758E-13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508.3185483454435</v>
      </c>
      <c r="CZ189" s="59">
        <f t="shared" si="150"/>
        <v>487.08233034004945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18.013294207903662</v>
      </c>
      <c r="DG189" s="21">
        <f>EXP(-LN(2)/25)*DG188+(1-EXP(-LN(2)/25))/(LN(2)/25)*Calculateur!DB189*Calculateur!DD189*VLOOKUP('Données projet'!$B$13,Paramètres!$A$1:$I$89,3,0)*0.475*44/12</f>
        <v>0.26336345190115812</v>
      </c>
      <c r="DH189" s="21">
        <f>EXP(-LN(2)/2)*DH188+(1-EXP(-LN(2)/2))/(LN(2)/2)*DB189*DE189*VLOOKUP('Données projet'!$B$13,Paramètres!$A$1:$I$89,3,0)*0.475*44/12</f>
        <v>7.7821917571985443E-15</v>
      </c>
      <c r="DI189" s="22">
        <f t="shared" si="175"/>
        <v>18.276657659804826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-2.8421709430404007E-13</v>
      </c>
      <c r="DP189" s="17">
        <f>DO189*VLOOKUP('Données projet'!$B$14,Paramètres!$A$1:$I$89,3,0)*VLOOKUP('Données projet'!$B$14,Paramètres!$A$1:$I$89,5,0)</f>
        <v>-2.7489477361086758E-13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508.3185483454435</v>
      </c>
      <c r="DU189" s="59">
        <f t="shared" si="152"/>
        <v>487.08233034004945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18.013294207903662</v>
      </c>
      <c r="EB189" s="21">
        <f>EXP(-LN(2)/25)*EB188+(1-EXP(-LN(2)/25))/(LN(2)/25)*Calculateur!DW189*Calculateur!DY189*VLOOKUP('Données projet'!$B$14,Paramètres!$A$1:$I$89,3,0)*0.475*44/12</f>
        <v>0.26336345190115812</v>
      </c>
      <c r="EC189" s="21">
        <f>EXP(-LN(2)/2)*EC188+(1-EXP(-LN(2)/2))/(LN(2)/2)*DW189*DZ189*VLOOKUP('Données projet'!$B$14,Paramètres!$A$1:$I$89,3,0)*0.475*44/12</f>
        <v>7.7821917571985443E-15</v>
      </c>
      <c r="ED189" s="22">
        <f t="shared" si="178"/>
        <v>18.276657659804826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-7.9580786405131221E-13</v>
      </c>
      <c r="O190" s="13">
        <f>N190*VLOOKUP('Données projet'!$B$9,Paramètres!$A$1:$I$89,3,0)*VLOOKUP('Données projet'!$B$9,Paramètres!$A$1:$I$89,5,0)</f>
        <v>-7.2004695539362725E-13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569.49435820174267</v>
      </c>
      <c r="T190" s="59">
        <f t="shared" si="142"/>
        <v>295.37730858134739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94.928386191502383</v>
      </c>
      <c r="AA190" s="21">
        <f>EXP(-LN(2)/25)*AA189+(1-EXP(-LN(2)/25))/(LN(2)/25)*Calculateur!V190*Calculateur!X190*VLOOKUP('Données projet'!$B$9,Paramètres!$A$1:$I$89,3,0)*0.475*44/12</f>
        <v>12.338279070415346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107.26666526191772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-7.9580786405131221E-13</v>
      </c>
      <c r="AJ190" s="13">
        <f>AI190*VLOOKUP('Données projet'!$B$10,Paramètres!$A$1:$I$89,3,0)*VLOOKUP('Données projet'!$B$10,Paramètres!$A$1:$I$89,5,0)</f>
        <v>-8.0694917414803056E-13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627.83896530587367</v>
      </c>
      <c r="AO190" s="59">
        <f t="shared" si="144"/>
        <v>323.54927030899489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106.38526038702855</v>
      </c>
      <c r="AV190" s="21">
        <f>EXP(-LN(2)/25)*AV189+(1-EXP(-LN(2)/25))/(LN(2)/25)*Calculateur!AQ190*Calculateur!AS190*VLOOKUP('Données projet'!$B$10,Paramètres!$A$1:$I$89,3,0)*0.475*44/12</f>
        <v>13.827381716844791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120.21264210387335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-2.8421709430404007E-13</v>
      </c>
      <c r="BE190" s="13">
        <f>BD190*VLOOKUP('Données projet'!$B$11,Paramètres!$A$1:$I$89,3,0)*VLOOKUP('Données projet'!$B$11,Paramètres!$A$1:$I$89,5,0)</f>
        <v>-2.7489477361086758E-13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508.3185483454435</v>
      </c>
      <c r="BJ190" s="59">
        <f t="shared" si="146"/>
        <v>487.08233034004945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17.660064495511261</v>
      </c>
      <c r="BQ190" s="21">
        <f>EXP(-LN(2)/25)*BQ189+(1-EXP(-LN(2)/25))/(LN(2)/25)*Calculateur!BL190*Calculateur!BN190*VLOOKUP('Données projet'!$B$11,Paramètres!$A$1:$I$89,3,0)*0.475*44/12</f>
        <v>0.25616176445923894</v>
      </c>
      <c r="BR190" s="21">
        <f>EXP(-LN(2)/2)*BR189+(1-EXP(-LN(2)/2))/(LN(2)/2)*BL190*BO190*VLOOKUP('Données projet'!$B$11,Paramètres!$A$1:$I$89,3,0)*0.475*44/12</f>
        <v>5.5028405640091449E-15</v>
      </c>
      <c r="BS190" s="22">
        <f t="shared" si="169"/>
        <v>17.916226259970507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-2.8421709430404007E-13</v>
      </c>
      <c r="BZ190" s="13">
        <f>BY190*VLOOKUP('Données projet'!$B$12,Paramètres!$A$1:$I$89,3,0)*VLOOKUP('Données projet'!$B$12,Paramètres!$A$1:$I$89,5,0)</f>
        <v>-2.3055690689943731E-13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436.50252985867149</v>
      </c>
      <c r="CE190" s="59">
        <f t="shared" si="148"/>
        <v>419.00806288456329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14.81166699623525</v>
      </c>
      <c r="CL190" s="21">
        <f>EXP(-LN(2)/25)*CL189+(1-EXP(-LN(2)/25))/(LN(2)/25)*Calculateur!CG190*Calculateur!CI190*VLOOKUP('Données projet'!$B$12,Paramètres!$A$1:$I$89,3,0)*0.475*44/12</f>
        <v>0.21484535083678086</v>
      </c>
      <c r="CM190" s="21">
        <f>EXP(-LN(2)/2)*CM189+(1-EXP(-LN(2)/2))/(LN(2)/2)*CG190*CJ190*VLOOKUP('Données projet'!$B$12,Paramètres!$A$1:$I$89,3,0)*0.475*44/12</f>
        <v>4.6152856343302603E-15</v>
      </c>
      <c r="CN190" s="22">
        <f t="shared" si="172"/>
        <v>15.026512347072035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-2.8421709430404007E-13</v>
      </c>
      <c r="CU190" s="17">
        <f>CT190*VLOOKUP('Données projet'!$B$13,Paramètres!$A$1:$I$89,3,0)*VLOOKUP('Données projet'!$B$13,Paramètres!$A$1:$I$89,5,0)</f>
        <v>-2.7489477361086758E-13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508.3185483454435</v>
      </c>
      <c r="CZ190" s="59">
        <f t="shared" si="150"/>
        <v>487.08233034004945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17.660064495511261</v>
      </c>
      <c r="DG190" s="21">
        <f>EXP(-LN(2)/25)*DG189+(1-EXP(-LN(2)/25))/(LN(2)/25)*Calculateur!DB190*Calculateur!DD190*VLOOKUP('Données projet'!$B$13,Paramètres!$A$1:$I$89,3,0)*0.475*44/12</f>
        <v>0.25616176445923894</v>
      </c>
      <c r="DH190" s="21">
        <f>EXP(-LN(2)/2)*DH189+(1-EXP(-LN(2)/2))/(LN(2)/2)*DB190*DE190*VLOOKUP('Données projet'!$B$13,Paramètres!$A$1:$I$89,3,0)*0.475*44/12</f>
        <v>5.5028405640091449E-15</v>
      </c>
      <c r="DI190" s="22">
        <f t="shared" si="175"/>
        <v>17.916226259970507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-2.8421709430404007E-13</v>
      </c>
      <c r="DP190" s="17">
        <f>DO190*VLOOKUP('Données projet'!$B$14,Paramètres!$A$1:$I$89,3,0)*VLOOKUP('Données projet'!$B$14,Paramètres!$A$1:$I$89,5,0)</f>
        <v>-2.7489477361086758E-13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508.3185483454435</v>
      </c>
      <c r="DU190" s="59">
        <f t="shared" si="152"/>
        <v>487.08233034004945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17.660064495511261</v>
      </c>
      <c r="EB190" s="21">
        <f>EXP(-LN(2)/25)*EB189+(1-EXP(-LN(2)/25))/(LN(2)/25)*Calculateur!DW190*Calculateur!DY190*VLOOKUP('Données projet'!$B$14,Paramètres!$A$1:$I$89,3,0)*0.475*44/12</f>
        <v>0.25616176445923894</v>
      </c>
      <c r="EC190" s="21">
        <f>EXP(-LN(2)/2)*EC189+(1-EXP(-LN(2)/2))/(LN(2)/2)*DW190*DZ190*VLOOKUP('Données projet'!$B$14,Paramètres!$A$1:$I$89,3,0)*0.475*44/12</f>
        <v>5.5028405640091449E-15</v>
      </c>
      <c r="ED190" s="22">
        <f t="shared" si="178"/>
        <v>17.916226259970507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-7.9580786405131221E-13</v>
      </c>
      <c r="O191" s="13">
        <f>N191*VLOOKUP('Données projet'!$B$9,Paramètres!$A$1:$I$89,3,0)*VLOOKUP('Données projet'!$B$9,Paramètres!$A$1:$I$89,5,0)</f>
        <v>-7.2004695539362725E-13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569.49435820174267</v>
      </c>
      <c r="T191" s="59">
        <f t="shared" si="142"/>
        <v>295.37730858134739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93.066898438885389</v>
      </c>
      <c r="AA191" s="21">
        <f>EXP(-LN(2)/25)*AA190+(1-EXP(-LN(2)/25))/(LN(2)/25)*Calculateur!V191*Calculateur!X191*VLOOKUP('Données projet'!$B$9,Paramètres!$A$1:$I$89,3,0)*0.475*44/12</f>
        <v>12.000888180392941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105.06778661927834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-7.9580786405131221E-13</v>
      </c>
      <c r="AJ191" s="13">
        <f>AI191*VLOOKUP('Données projet'!$B$10,Paramètres!$A$1:$I$89,3,0)*VLOOKUP('Données projet'!$B$10,Paramètres!$A$1:$I$89,5,0)</f>
        <v>-8.0694917414803056E-13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627.83896530587367</v>
      </c>
      <c r="AO191" s="59">
        <f t="shared" si="144"/>
        <v>323.54927030899489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104.29911031944054</v>
      </c>
      <c r="AV191" s="21">
        <f>EXP(-LN(2)/25)*AV190+(1-EXP(-LN(2)/25))/(LN(2)/25)*Calculateur!AQ191*Calculateur!AS191*VLOOKUP('Données projet'!$B$10,Paramètres!$A$1:$I$89,3,0)*0.475*44/12</f>
        <v>13.449271236647268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117.74838155608781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-2.8421709430404007E-13</v>
      </c>
      <c r="BE191" s="13">
        <f>BD191*VLOOKUP('Données projet'!$B$11,Paramètres!$A$1:$I$89,3,0)*VLOOKUP('Données projet'!$B$11,Paramètres!$A$1:$I$89,5,0)</f>
        <v>-2.7489477361086758E-13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508.3185483454435</v>
      </c>
      <c r="BJ191" s="59">
        <f t="shared" si="146"/>
        <v>487.08233034004945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17.313761402330023</v>
      </c>
      <c r="BQ191" s="21">
        <f>EXP(-LN(2)/25)*BQ190+(1-EXP(-LN(2)/25))/(LN(2)/25)*Calculateur!BL191*Calculateur!BN191*VLOOKUP('Données projet'!$B$11,Paramètres!$A$1:$I$89,3,0)*0.475*44/12</f>
        <v>0.24915700753913933</v>
      </c>
      <c r="BR191" s="21">
        <f>EXP(-LN(2)/2)*BR190+(1-EXP(-LN(2)/2))/(LN(2)/2)*BL191*BO191*VLOOKUP('Données projet'!$B$11,Paramètres!$A$1:$I$89,3,0)*0.475*44/12</f>
        <v>3.8910958785992722E-15</v>
      </c>
      <c r="BS191" s="22">
        <f t="shared" si="169"/>
        <v>17.562918409869166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-2.8421709430404007E-13</v>
      </c>
      <c r="BZ191" s="13">
        <f>BY191*VLOOKUP('Données projet'!$B$12,Paramètres!$A$1:$I$89,3,0)*VLOOKUP('Données projet'!$B$12,Paramètres!$A$1:$I$89,5,0)</f>
        <v>-2.3055690689943731E-13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436.50252985867149</v>
      </c>
      <c r="CE191" s="59">
        <f t="shared" si="148"/>
        <v>419.00806288456329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14.521219240663889</v>
      </c>
      <c r="CL191" s="21">
        <f>EXP(-LN(2)/25)*CL190+(1-EXP(-LN(2)/25))/(LN(2)/25)*Calculateur!CG191*Calculateur!CI191*VLOOKUP('Données projet'!$B$12,Paramètres!$A$1:$I$89,3,0)*0.475*44/12</f>
        <v>0.20897039341992313</v>
      </c>
      <c r="CM191" s="21">
        <f>EXP(-LN(2)/2)*CM190+(1-EXP(-LN(2)/2))/(LN(2)/2)*CG191*CJ191*VLOOKUP('Données projet'!$B$12,Paramètres!$A$1:$I$89,3,0)*0.475*44/12</f>
        <v>3.2634997691477836E-15</v>
      </c>
      <c r="CN191" s="22">
        <f t="shared" si="172"/>
        <v>14.730189634083816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-2.8421709430404007E-13</v>
      </c>
      <c r="CU191" s="17">
        <f>CT191*VLOOKUP('Données projet'!$B$13,Paramètres!$A$1:$I$89,3,0)*VLOOKUP('Données projet'!$B$13,Paramètres!$A$1:$I$89,5,0)</f>
        <v>-2.7489477361086758E-13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508.3185483454435</v>
      </c>
      <c r="CZ191" s="59">
        <f t="shared" si="150"/>
        <v>487.08233034004945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17.313761402330023</v>
      </c>
      <c r="DG191" s="21">
        <f>EXP(-LN(2)/25)*DG190+(1-EXP(-LN(2)/25))/(LN(2)/25)*Calculateur!DB191*Calculateur!DD191*VLOOKUP('Données projet'!$B$13,Paramètres!$A$1:$I$89,3,0)*0.475*44/12</f>
        <v>0.24915700753913933</v>
      </c>
      <c r="DH191" s="21">
        <f>EXP(-LN(2)/2)*DH190+(1-EXP(-LN(2)/2))/(LN(2)/2)*DB191*DE191*VLOOKUP('Données projet'!$B$13,Paramètres!$A$1:$I$89,3,0)*0.475*44/12</f>
        <v>3.8910958785992722E-15</v>
      </c>
      <c r="DI191" s="22">
        <f t="shared" si="175"/>
        <v>17.562918409869166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-2.8421709430404007E-13</v>
      </c>
      <c r="DP191" s="17">
        <f>DO191*VLOOKUP('Données projet'!$B$14,Paramètres!$A$1:$I$89,3,0)*VLOOKUP('Données projet'!$B$14,Paramètres!$A$1:$I$89,5,0)</f>
        <v>-2.7489477361086758E-13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508.3185483454435</v>
      </c>
      <c r="DU191" s="59">
        <f t="shared" si="152"/>
        <v>487.08233034004945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17.313761402330023</v>
      </c>
      <c r="EB191" s="21">
        <f>EXP(-LN(2)/25)*EB190+(1-EXP(-LN(2)/25))/(LN(2)/25)*Calculateur!DW191*Calculateur!DY191*VLOOKUP('Données projet'!$B$14,Paramètres!$A$1:$I$89,3,0)*0.475*44/12</f>
        <v>0.24915700753913933</v>
      </c>
      <c r="EC191" s="21">
        <f>EXP(-LN(2)/2)*EC190+(1-EXP(-LN(2)/2))/(LN(2)/2)*DW191*DZ191*VLOOKUP('Données projet'!$B$14,Paramètres!$A$1:$I$89,3,0)*0.475*44/12</f>
        <v>3.8910958785992722E-15</v>
      </c>
      <c r="ED191" s="22">
        <f t="shared" si="178"/>
        <v>17.562918409869166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-7.9580786405131221E-13</v>
      </c>
      <c r="O192" s="13">
        <f>N192*VLOOKUP('Données projet'!$B$9,Paramètres!$A$1:$I$89,3,0)*VLOOKUP('Données projet'!$B$9,Paramètres!$A$1:$I$89,5,0)</f>
        <v>-7.2004695539362725E-13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569.49435820174267</v>
      </c>
      <c r="T192" s="59">
        <f t="shared" si="142"/>
        <v>295.37730858134739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91.241913325701802</v>
      </c>
      <c r="AA192" s="21">
        <f>EXP(-LN(2)/25)*AA191+(1-EXP(-LN(2)/25))/(LN(2)/25)*Calculateur!V192*Calculateur!X192*VLOOKUP('Données projet'!$B$9,Paramètres!$A$1:$I$89,3,0)*0.475*44/12</f>
        <v>11.672723262000815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102.91463658770262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-7.9580786405131221E-13</v>
      </c>
      <c r="AJ192" s="13">
        <f>AI192*VLOOKUP('Données projet'!$B$10,Paramètres!$A$1:$I$89,3,0)*VLOOKUP('Données projet'!$B$10,Paramètres!$A$1:$I$89,5,0)</f>
        <v>-8.0694917414803056E-13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627.83896530587367</v>
      </c>
      <c r="AO192" s="59">
        <f t="shared" si="144"/>
        <v>323.54927030899489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102.25386838225204</v>
      </c>
      <c r="AV192" s="21">
        <f>EXP(-LN(2)/25)*AV191+(1-EXP(-LN(2)/25))/(LN(2)/25)*Calculateur!AQ192*Calculateur!AS192*VLOOKUP('Données projet'!$B$10,Paramètres!$A$1:$I$89,3,0)*0.475*44/12</f>
        <v>13.081500207414713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115.33536858966676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-2.8421709430404007E-13</v>
      </c>
      <c r="BE192" s="13">
        <f>BD192*VLOOKUP('Données projet'!$B$11,Paramètres!$A$1:$I$89,3,0)*VLOOKUP('Données projet'!$B$11,Paramètres!$A$1:$I$89,5,0)</f>
        <v>-2.7489477361086758E-13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508.3185483454435</v>
      </c>
      <c r="BJ192" s="59">
        <f t="shared" si="146"/>
        <v>487.08233034004945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16.974249101582039</v>
      </c>
      <c r="BQ192" s="21">
        <f>EXP(-LN(2)/25)*BQ191+(1-EXP(-LN(2)/25))/(LN(2)/25)*Calculateur!BL192*Calculateur!BN192*VLOOKUP('Données projet'!$B$11,Paramètres!$A$1:$I$89,3,0)*0.475*44/12</f>
        <v>0.242343796065384</v>
      </c>
      <c r="BR192" s="21">
        <f>EXP(-LN(2)/2)*BR191+(1-EXP(-LN(2)/2))/(LN(2)/2)*BL192*BO192*VLOOKUP('Données projet'!$B$11,Paramètres!$A$1:$I$89,3,0)*0.475*44/12</f>
        <v>2.7514202820045725E-15</v>
      </c>
      <c r="BS192" s="22">
        <f t="shared" si="169"/>
        <v>17.216592897647427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-2.8421709430404007E-13</v>
      </c>
      <c r="BZ192" s="13">
        <f>BY192*VLOOKUP('Données projet'!$B$12,Paramètres!$A$1:$I$89,3,0)*VLOOKUP('Données projet'!$B$12,Paramètres!$A$1:$I$89,5,0)</f>
        <v>-2.3055690689943731E-13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436.50252985867149</v>
      </c>
      <c r="CE192" s="59">
        <f t="shared" si="148"/>
        <v>419.00806288456329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14.236466988423643</v>
      </c>
      <c r="CL192" s="21">
        <f>EXP(-LN(2)/25)*CL191+(1-EXP(-LN(2)/25))/(LN(2)/25)*Calculateur!CG192*Calculateur!CI192*VLOOKUP('Données projet'!$B$12,Paramètres!$A$1:$I$89,3,0)*0.475*44/12</f>
        <v>0.20325608702257994</v>
      </c>
      <c r="CM192" s="21">
        <f>EXP(-LN(2)/2)*CM191+(1-EXP(-LN(2)/2))/(LN(2)/2)*CG192*CJ192*VLOOKUP('Données projet'!$B$12,Paramètres!$A$1:$I$89,3,0)*0.475*44/12</f>
        <v>2.3076428171651302E-15</v>
      </c>
      <c r="CN192" s="22">
        <f t="shared" si="172"/>
        <v>14.439723075446226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-2.8421709430404007E-13</v>
      </c>
      <c r="CU192" s="17">
        <f>CT192*VLOOKUP('Données projet'!$B$13,Paramètres!$A$1:$I$89,3,0)*VLOOKUP('Données projet'!$B$13,Paramètres!$A$1:$I$89,5,0)</f>
        <v>-2.7489477361086758E-13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508.3185483454435</v>
      </c>
      <c r="CZ192" s="59">
        <f t="shared" si="150"/>
        <v>487.08233034004945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16.974249101582039</v>
      </c>
      <c r="DG192" s="21">
        <f>EXP(-LN(2)/25)*DG191+(1-EXP(-LN(2)/25))/(LN(2)/25)*Calculateur!DB192*Calculateur!DD192*VLOOKUP('Données projet'!$B$13,Paramètres!$A$1:$I$89,3,0)*0.475*44/12</f>
        <v>0.242343796065384</v>
      </c>
      <c r="DH192" s="21">
        <f>EXP(-LN(2)/2)*DH191+(1-EXP(-LN(2)/2))/(LN(2)/2)*DB192*DE192*VLOOKUP('Données projet'!$B$13,Paramètres!$A$1:$I$89,3,0)*0.475*44/12</f>
        <v>2.7514202820045725E-15</v>
      </c>
      <c r="DI192" s="22">
        <f t="shared" si="175"/>
        <v>17.216592897647427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-2.8421709430404007E-13</v>
      </c>
      <c r="DP192" s="17">
        <f>DO192*VLOOKUP('Données projet'!$B$14,Paramètres!$A$1:$I$89,3,0)*VLOOKUP('Données projet'!$B$14,Paramètres!$A$1:$I$89,5,0)</f>
        <v>-2.7489477361086758E-13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508.3185483454435</v>
      </c>
      <c r="DU192" s="59">
        <f t="shared" si="152"/>
        <v>487.08233034004945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16.974249101582039</v>
      </c>
      <c r="EB192" s="21">
        <f>EXP(-LN(2)/25)*EB191+(1-EXP(-LN(2)/25))/(LN(2)/25)*Calculateur!DW192*Calculateur!DY192*VLOOKUP('Données projet'!$B$14,Paramètres!$A$1:$I$89,3,0)*0.475*44/12</f>
        <v>0.242343796065384</v>
      </c>
      <c r="EC192" s="21">
        <f>EXP(-LN(2)/2)*EC191+(1-EXP(-LN(2)/2))/(LN(2)/2)*DW192*DZ192*VLOOKUP('Données projet'!$B$14,Paramètres!$A$1:$I$89,3,0)*0.475*44/12</f>
        <v>2.7514202820045725E-15</v>
      </c>
      <c r="ED192" s="22">
        <f t="shared" si="178"/>
        <v>17.216592897647427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-7.9580786405131221E-13</v>
      </c>
      <c r="O193" s="13">
        <f>N193*VLOOKUP('Données projet'!$B$9,Paramètres!$A$1:$I$89,3,0)*VLOOKUP('Données projet'!$B$9,Paramètres!$A$1:$I$89,5,0)</f>
        <v>-7.2004695539362725E-13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569.49435820174267</v>
      </c>
      <c r="T193" s="59">
        <f t="shared" si="142"/>
        <v>295.37730858134739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89.452715057456729</v>
      </c>
      <c r="AA193" s="21">
        <f>EXP(-LN(2)/25)*AA192+(1-EXP(-LN(2)/25))/(LN(2)/25)*Calculateur!V193*Calculateur!X193*VLOOKUP('Données projet'!$B$9,Paramètres!$A$1:$I$89,3,0)*0.475*44/12</f>
        <v>11.353532030559565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100.80624708801629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-7.9580786405131221E-13</v>
      </c>
      <c r="AJ193" s="13">
        <f>AI193*VLOOKUP('Données projet'!$B$10,Paramètres!$A$1:$I$89,3,0)*VLOOKUP('Données projet'!$B$10,Paramètres!$A$1:$I$89,5,0)</f>
        <v>-8.0694917414803056E-13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627.83896530587367</v>
      </c>
      <c r="AO193" s="59">
        <f t="shared" si="144"/>
        <v>323.54927030899489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100.24873239197738</v>
      </c>
      <c r="AV193" s="21">
        <f>EXP(-LN(2)/25)*AV192+(1-EXP(-LN(2)/25))/(LN(2)/25)*Calculateur!AQ193*Calculateur!AS193*VLOOKUP('Données projet'!$B$10,Paramètres!$A$1:$I$89,3,0)*0.475*44/12</f>
        <v>12.723785896316761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112.97251828829414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-2.8421709430404007E-13</v>
      </c>
      <c r="BE193" s="13">
        <f>BD193*VLOOKUP('Données projet'!$B$11,Paramètres!$A$1:$I$89,3,0)*VLOOKUP('Données projet'!$B$11,Paramètres!$A$1:$I$89,5,0)</f>
        <v>-2.7489477361086758E-13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508.3185483454435</v>
      </c>
      <c r="BJ193" s="59">
        <f t="shared" si="146"/>
        <v>487.08233034004945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16.641394429969665</v>
      </c>
      <c r="BQ193" s="21">
        <f>EXP(-LN(2)/25)*BQ192+(1-EXP(-LN(2)/25))/(LN(2)/25)*Calculateur!BL193*Calculateur!BN193*VLOOKUP('Données projet'!$B$11,Paramètres!$A$1:$I$89,3,0)*0.475*44/12</f>
        <v>0.23571689221766973</v>
      </c>
      <c r="BR193" s="21">
        <f>EXP(-LN(2)/2)*BR192+(1-EXP(-LN(2)/2))/(LN(2)/2)*BL193*BO193*VLOOKUP('Données projet'!$B$11,Paramètres!$A$1:$I$89,3,0)*0.475*44/12</f>
        <v>1.9455479392996361E-15</v>
      </c>
      <c r="BS193" s="22">
        <f t="shared" si="169"/>
        <v>16.877111322187339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-2.8421709430404007E-13</v>
      </c>
      <c r="BZ193" s="13">
        <f>BY193*VLOOKUP('Données projet'!$B$12,Paramètres!$A$1:$I$89,3,0)*VLOOKUP('Données projet'!$B$12,Paramètres!$A$1:$I$89,5,0)</f>
        <v>-2.3055690689943731E-13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436.50252985867149</v>
      </c>
      <c r="CE193" s="59">
        <f t="shared" si="148"/>
        <v>419.00806288456329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13.957298554168105</v>
      </c>
      <c r="CL193" s="21">
        <f>EXP(-LN(2)/25)*CL192+(1-EXP(-LN(2)/25))/(LN(2)/25)*Calculateur!CG193*Calculateur!CI193*VLOOKUP('Données projet'!$B$12,Paramètres!$A$1:$I$89,3,0)*0.475*44/12</f>
        <v>0.19769803863417443</v>
      </c>
      <c r="CM193" s="21">
        <f>EXP(-LN(2)/2)*CM192+(1-EXP(-LN(2)/2))/(LN(2)/2)*CG193*CJ193*VLOOKUP('Données projet'!$B$12,Paramètres!$A$1:$I$89,3,0)*0.475*44/12</f>
        <v>1.6317498845738918E-15</v>
      </c>
      <c r="CN193" s="22">
        <f t="shared" si="172"/>
        <v>14.154996592802281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-2.8421709430404007E-13</v>
      </c>
      <c r="CU193" s="17">
        <f>CT193*VLOOKUP('Données projet'!$B$13,Paramètres!$A$1:$I$89,3,0)*VLOOKUP('Données projet'!$B$13,Paramètres!$A$1:$I$89,5,0)</f>
        <v>-2.7489477361086758E-13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508.3185483454435</v>
      </c>
      <c r="CZ193" s="59">
        <f t="shared" si="150"/>
        <v>487.08233034004945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16.641394429969665</v>
      </c>
      <c r="DG193" s="21">
        <f>EXP(-LN(2)/25)*DG192+(1-EXP(-LN(2)/25))/(LN(2)/25)*Calculateur!DB193*Calculateur!DD193*VLOOKUP('Données projet'!$B$13,Paramètres!$A$1:$I$89,3,0)*0.475*44/12</f>
        <v>0.23571689221766973</v>
      </c>
      <c r="DH193" s="21">
        <f>EXP(-LN(2)/2)*DH192+(1-EXP(-LN(2)/2))/(LN(2)/2)*DB193*DE193*VLOOKUP('Données projet'!$B$13,Paramètres!$A$1:$I$89,3,0)*0.475*44/12</f>
        <v>1.9455479392996361E-15</v>
      </c>
      <c r="DI193" s="22">
        <f t="shared" si="175"/>
        <v>16.877111322187339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-2.8421709430404007E-13</v>
      </c>
      <c r="DP193" s="17">
        <f>DO193*VLOOKUP('Données projet'!$B$14,Paramètres!$A$1:$I$89,3,0)*VLOOKUP('Données projet'!$B$14,Paramètres!$A$1:$I$89,5,0)</f>
        <v>-2.7489477361086758E-13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508.3185483454435</v>
      </c>
      <c r="DU193" s="59">
        <f t="shared" si="152"/>
        <v>487.08233034004945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16.641394429969665</v>
      </c>
      <c r="EB193" s="21">
        <f>EXP(-LN(2)/25)*EB192+(1-EXP(-LN(2)/25))/(LN(2)/25)*Calculateur!DW193*Calculateur!DY193*VLOOKUP('Données projet'!$B$14,Paramètres!$A$1:$I$89,3,0)*0.475*44/12</f>
        <v>0.23571689221766973</v>
      </c>
      <c r="EC193" s="21">
        <f>EXP(-LN(2)/2)*EC192+(1-EXP(-LN(2)/2))/(LN(2)/2)*DW193*DZ193*VLOOKUP('Données projet'!$B$14,Paramètres!$A$1:$I$89,3,0)*0.475*44/12</f>
        <v>1.9455479392996361E-15</v>
      </c>
      <c r="ED193" s="22">
        <f t="shared" si="178"/>
        <v>16.877111322187339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-7.9580786405131221E-13</v>
      </c>
      <c r="O194" s="13">
        <f>N194*VLOOKUP('Données projet'!$B$9,Paramètres!$A$1:$I$89,3,0)*VLOOKUP('Données projet'!$B$9,Paramètres!$A$1:$I$89,5,0)</f>
        <v>-7.2004695539362725E-13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569.49435820174267</v>
      </c>
      <c r="T194" s="59">
        <f t="shared" si="142"/>
        <v>295.37730858134739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87.698601875948754</v>
      </c>
      <c r="AA194" s="21">
        <f>EXP(-LN(2)/25)*AA193+(1-EXP(-LN(2)/25))/(LN(2)/25)*Calculateur!V194*Calculateur!X194*VLOOKUP('Données projet'!$B$9,Paramètres!$A$1:$I$89,3,0)*0.475*44/12</f>
        <v>11.043069100127614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98.741670976076364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-7.9580786405131221E-13</v>
      </c>
      <c r="AJ194" s="13">
        <f>AI194*VLOOKUP('Données projet'!$B$10,Paramètres!$A$1:$I$89,3,0)*VLOOKUP('Données projet'!$B$10,Paramètres!$A$1:$I$89,5,0)</f>
        <v>-8.0694917414803056E-13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627.83896530587367</v>
      </c>
      <c r="AO194" s="59">
        <f t="shared" si="144"/>
        <v>323.54927030899489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98.282915895459837</v>
      </c>
      <c r="AV194" s="21">
        <f>EXP(-LN(2)/25)*AV193+(1-EXP(-LN(2)/25))/(LN(2)/25)*Calculateur!AQ194*Calculateur!AS194*VLOOKUP('Données projet'!$B$10,Paramètres!$A$1:$I$89,3,0)*0.475*44/12</f>
        <v>12.37585330186716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110.65876919732699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-2.8421709430404007E-13</v>
      </c>
      <c r="BE194" s="13">
        <f>BD194*VLOOKUP('Données projet'!$B$11,Paramètres!$A$1:$I$89,3,0)*VLOOKUP('Données projet'!$B$11,Paramètres!$A$1:$I$89,5,0)</f>
        <v>-2.7489477361086758E-13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508.3185483454435</v>
      </c>
      <c r="BJ194" s="59">
        <f t="shared" si="146"/>
        <v>487.08233034004945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16.315066835446309</v>
      </c>
      <c r="BQ194" s="21">
        <f>EXP(-LN(2)/25)*BQ193+(1-EXP(-LN(2)/25))/(LN(2)/25)*Calculateur!BL194*Calculateur!BN194*VLOOKUP('Données projet'!$B$11,Paramètres!$A$1:$I$89,3,0)*0.475*44/12</f>
        <v>0.22927120140416493</v>
      </c>
      <c r="BR194" s="21">
        <f>EXP(-LN(2)/2)*BR193+(1-EXP(-LN(2)/2))/(LN(2)/2)*BL194*BO194*VLOOKUP('Données projet'!$B$11,Paramètres!$A$1:$I$89,3,0)*0.475*44/12</f>
        <v>1.3757101410022862E-15</v>
      </c>
      <c r="BS194" s="22">
        <f t="shared" si="169"/>
        <v>16.544338036850473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-2.8421709430404007E-13</v>
      </c>
      <c r="BZ194" s="13">
        <f>BY194*VLOOKUP('Données projet'!$B$12,Paramètres!$A$1:$I$89,3,0)*VLOOKUP('Données projet'!$B$12,Paramètres!$A$1:$I$89,5,0)</f>
        <v>-2.3055690689943731E-13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436.50252985867149</v>
      </c>
      <c r="CE194" s="59">
        <f t="shared" si="148"/>
        <v>419.00806288456329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13.683604442632387</v>
      </c>
      <c r="CL194" s="21">
        <f>EXP(-LN(2)/25)*CL193+(1-EXP(-LN(2)/25))/(LN(2)/25)*Calculateur!CG194*Calculateur!CI194*VLOOKUP('Données projet'!$B$12,Paramètres!$A$1:$I$89,3,0)*0.475*44/12</f>
        <v>0.19229197537123491</v>
      </c>
      <c r="CM194" s="21">
        <f>EXP(-LN(2)/2)*CM193+(1-EXP(-LN(2)/2))/(LN(2)/2)*CG194*CJ194*VLOOKUP('Données projet'!$B$12,Paramètres!$A$1:$I$89,3,0)*0.475*44/12</f>
        <v>1.1538214085825651E-15</v>
      </c>
      <c r="CN194" s="22">
        <f t="shared" si="172"/>
        <v>13.875896418003624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-2.8421709430404007E-13</v>
      </c>
      <c r="CU194" s="17">
        <f>CT194*VLOOKUP('Données projet'!$B$13,Paramètres!$A$1:$I$89,3,0)*VLOOKUP('Données projet'!$B$13,Paramètres!$A$1:$I$89,5,0)</f>
        <v>-2.7489477361086758E-13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508.3185483454435</v>
      </c>
      <c r="CZ194" s="59">
        <f t="shared" si="150"/>
        <v>487.08233034004945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16.315066835446309</v>
      </c>
      <c r="DG194" s="21">
        <f>EXP(-LN(2)/25)*DG193+(1-EXP(-LN(2)/25))/(LN(2)/25)*Calculateur!DB194*Calculateur!DD194*VLOOKUP('Données projet'!$B$13,Paramètres!$A$1:$I$89,3,0)*0.475*44/12</f>
        <v>0.22927120140416493</v>
      </c>
      <c r="DH194" s="21">
        <f>EXP(-LN(2)/2)*DH193+(1-EXP(-LN(2)/2))/(LN(2)/2)*DB194*DE194*VLOOKUP('Données projet'!$B$13,Paramètres!$A$1:$I$89,3,0)*0.475*44/12</f>
        <v>1.3757101410022862E-15</v>
      </c>
      <c r="DI194" s="22">
        <f t="shared" si="175"/>
        <v>16.544338036850473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-2.8421709430404007E-13</v>
      </c>
      <c r="DP194" s="17">
        <f>DO194*VLOOKUP('Données projet'!$B$14,Paramètres!$A$1:$I$89,3,0)*VLOOKUP('Données projet'!$B$14,Paramètres!$A$1:$I$89,5,0)</f>
        <v>-2.7489477361086758E-13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508.3185483454435</v>
      </c>
      <c r="DU194" s="59">
        <f t="shared" si="152"/>
        <v>487.08233034004945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16.315066835446309</v>
      </c>
      <c r="EB194" s="21">
        <f>EXP(-LN(2)/25)*EB193+(1-EXP(-LN(2)/25))/(LN(2)/25)*Calculateur!DW194*Calculateur!DY194*VLOOKUP('Données projet'!$B$14,Paramètres!$A$1:$I$89,3,0)*0.475*44/12</f>
        <v>0.22927120140416493</v>
      </c>
      <c r="EC194" s="21">
        <f>EXP(-LN(2)/2)*EC193+(1-EXP(-LN(2)/2))/(LN(2)/2)*DW194*DZ194*VLOOKUP('Données projet'!$B$14,Paramètres!$A$1:$I$89,3,0)*0.475*44/12</f>
        <v>1.3757101410022862E-15</v>
      </c>
      <c r="ED194" s="22">
        <f t="shared" si="178"/>
        <v>16.544338036850473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-7.9580786405131221E-13</v>
      </c>
      <c r="O195" s="13">
        <f>N195*VLOOKUP('Données projet'!$B$9,Paramètres!$A$1:$I$89,3,0)*VLOOKUP('Données projet'!$B$9,Paramètres!$A$1:$I$89,5,0)</f>
        <v>-7.2004695539362725E-13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569.49435820174267</v>
      </c>
      <c r="T195" s="59">
        <f t="shared" si="142"/>
        <v>295.37730858134739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85.978885784026758</v>
      </c>
      <c r="AA195" s="21">
        <f>EXP(-LN(2)/25)*AA194+(1-EXP(-LN(2)/25))/(LN(2)/25)*Calculateur!V195*Calculateur!X195*VLOOKUP('Données projet'!$B$9,Paramètres!$A$1:$I$89,3,0)*0.475*44/12</f>
        <v>10.741095794854859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96.719981578881615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-7.9580786405131221E-13</v>
      </c>
      <c r="AJ195" s="13">
        <f>AI195*VLOOKUP('Données projet'!$B$10,Paramètres!$A$1:$I$89,3,0)*VLOOKUP('Données projet'!$B$10,Paramètres!$A$1:$I$89,5,0)</f>
        <v>-8.0694917414803056E-13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627.83896530587367</v>
      </c>
      <c r="AO195" s="59">
        <f t="shared" si="144"/>
        <v>323.54927030899489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96.355647861409324</v>
      </c>
      <c r="AV195" s="21">
        <f>EXP(-LN(2)/25)*AV194+(1-EXP(-LN(2)/25))/(LN(2)/25)*Calculateur!AQ195*Calculateur!AS195*VLOOKUP('Données projet'!$B$10,Paramètres!$A$1:$I$89,3,0)*0.475*44/12</f>
        <v>12.037434942509762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108.39308280391909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-2.7489477361086758E-13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508.3185483454435</v>
      </c>
      <c r="BJ195" s="59">
        <f t="shared" si="146"/>
        <v>487.08233034004945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15.995138326011377</v>
      </c>
      <c r="BQ195" s="21">
        <f>EXP(-LN(2)/25)*BQ194+(1-EXP(-LN(2)/25))/(LN(2)/25)*Calculateur!BL195*Calculateur!BN195*VLOOKUP('Données projet'!$B$11,Paramètres!$A$1:$I$89,3,0)*0.475*44/12</f>
        <v>0.22300176834491955</v>
      </c>
      <c r="BR195" s="21">
        <f>EXP(-LN(2)/2)*BR194+(1-EXP(-LN(2)/2))/(LN(2)/2)*BL195*BO195*VLOOKUP('Données projet'!$B$11,Paramètres!$A$1:$I$89,3,0)*0.475*44/12</f>
        <v>9.7277396964981804E-16</v>
      </c>
      <c r="BS195" s="22">
        <f t="shared" si="169"/>
        <v>16.218140094356297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-2.3055690689943731E-13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436.50252985867149</v>
      </c>
      <c r="CE195" s="59">
        <f t="shared" si="148"/>
        <v>419.00806288456329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13.41527730568696</v>
      </c>
      <c r="CL195" s="21">
        <f>EXP(-LN(2)/25)*CL194+(1-EXP(-LN(2)/25))/(LN(2)/25)*Calculateur!CG195*Calculateur!CI195*VLOOKUP('Données projet'!$B$12,Paramètres!$A$1:$I$89,3,0)*0.475*44/12</f>
        <v>0.18703374119251298</v>
      </c>
      <c r="CM195" s="21">
        <f>EXP(-LN(2)/2)*CM194+(1-EXP(-LN(2)/2))/(LN(2)/2)*CG195*CJ195*VLOOKUP('Données projet'!$B$12,Paramètres!$A$1:$I$89,3,0)*0.475*44/12</f>
        <v>8.1587494228694591E-16</v>
      </c>
      <c r="CN195" s="22">
        <f t="shared" si="172"/>
        <v>13.602311046879473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-2.8421709430404007E-13</v>
      </c>
      <c r="CU195" s="17">
        <f>CT195*VLOOKUP('Données projet'!$B$13,Paramètres!$A$1:$I$89,3,0)*VLOOKUP('Données projet'!$B$13,Paramètres!$A$1:$I$89,5,0)</f>
        <v>-2.7489477361086758E-13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508.3185483454435</v>
      </c>
      <c r="CZ195" s="59">
        <f t="shared" si="150"/>
        <v>487.08233034004945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15.995138326011377</v>
      </c>
      <c r="DG195" s="21">
        <f>EXP(-LN(2)/25)*DG194+(1-EXP(-LN(2)/25))/(LN(2)/25)*Calculateur!DB195*Calculateur!DD195*VLOOKUP('Données projet'!$B$13,Paramètres!$A$1:$I$89,3,0)*0.475*44/12</f>
        <v>0.22300176834491955</v>
      </c>
      <c r="DH195" s="21">
        <f>EXP(-LN(2)/2)*DH194+(1-EXP(-LN(2)/2))/(LN(2)/2)*DB195*DE195*VLOOKUP('Données projet'!$B$13,Paramètres!$A$1:$I$89,3,0)*0.475*44/12</f>
        <v>9.7277396964981804E-16</v>
      </c>
      <c r="DI195" s="22">
        <f t="shared" si="175"/>
        <v>16.218140094356297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-2.8421709430404007E-13</v>
      </c>
      <c r="DP195" s="17">
        <f>DO195*VLOOKUP('Données projet'!$B$14,Paramètres!$A$1:$I$89,3,0)*VLOOKUP('Données projet'!$B$14,Paramètres!$A$1:$I$89,5,0)</f>
        <v>-2.7489477361086758E-13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508.3185483454435</v>
      </c>
      <c r="DU195" s="59">
        <f t="shared" si="152"/>
        <v>487.08233034004945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15.995138326011377</v>
      </c>
      <c r="EB195" s="21">
        <f>EXP(-LN(2)/25)*EB194+(1-EXP(-LN(2)/25))/(LN(2)/25)*Calculateur!DW195*Calculateur!DY195*VLOOKUP('Données projet'!$B$14,Paramètres!$A$1:$I$89,3,0)*0.475*44/12</f>
        <v>0.22300176834491955</v>
      </c>
      <c r="EC195" s="21">
        <f>EXP(-LN(2)/2)*EC194+(1-EXP(-LN(2)/2))/(LN(2)/2)*DW195*DZ195*VLOOKUP('Données projet'!$B$14,Paramètres!$A$1:$I$89,3,0)*0.475*44/12</f>
        <v>9.7277396964981804E-16</v>
      </c>
      <c r="ED195" s="22">
        <f t="shared" si="178"/>
        <v>16.218140094356297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-7.9580786405131221E-13</v>
      </c>
      <c r="O196" s="13">
        <f>N196*VLOOKUP('Données projet'!$B$9,Paramètres!$A$1:$I$89,3,0)*VLOOKUP('Données projet'!$B$9,Paramètres!$A$1:$I$89,5,0)</f>
        <v>-7.2004695539362725E-13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569.49435820174267</v>
      </c>
      <c r="T196" s="59">
        <f t="shared" si="142"/>
        <v>295.37730858134739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84.292892275744109</v>
      </c>
      <c r="AA196" s="21">
        <f>EXP(-LN(2)/25)*AA195+(1-EXP(-LN(2)/25))/(LN(2)/25)*Calculateur!V196*Calculateur!X196*VLOOKUP('Données projet'!$B$9,Paramètres!$A$1:$I$89,3,0)*0.475*44/12</f>
        <v>10.447379965494873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94.740272241238983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-7.9580786405131221E-13</v>
      </c>
      <c r="AJ196" s="13">
        <f>AI196*VLOOKUP('Données projet'!$B$10,Paramètres!$A$1:$I$89,3,0)*VLOOKUP('Données projet'!$B$10,Paramètres!$A$1:$I$89,5,0)</f>
        <v>-8.0694917414803056E-13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627.83896530587367</v>
      </c>
      <c r="AO196" s="59">
        <f t="shared" si="144"/>
        <v>323.54927030899489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94.46617237798911</v>
      </c>
      <c r="AV196" s="21">
        <f>EXP(-LN(2)/25)*AV195+(1-EXP(-LN(2)/25))/(LN(2)/25)*Calculateur!AQ196*Calculateur!AS196*VLOOKUP('Données projet'!$B$10,Paramètres!$A$1:$I$89,3,0)*0.475*44/12</f>
        <v>11.708270650985641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106.17444302897475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-2.7489477361086758E-13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508.3185483454435</v>
      </c>
      <c r="BJ196" s="59">
        <f t="shared" si="146"/>
        <v>487.08233034004945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15.681483419509341</v>
      </c>
      <c r="BQ196" s="21">
        <f>EXP(-LN(2)/25)*BQ195+(1-EXP(-LN(2)/25))/(LN(2)/25)*Calculateur!BL196*Calculateur!BN196*VLOOKUP('Données projet'!$B$11,Paramètres!$A$1:$I$89,3,0)*0.475*44/12</f>
        <v>0.21690377326237442</v>
      </c>
      <c r="BR196" s="21">
        <f>EXP(-LN(2)/2)*BR195+(1-EXP(-LN(2)/2))/(LN(2)/2)*BL196*BO196*VLOOKUP('Données projet'!$B$11,Paramètres!$A$1:$I$89,3,0)*0.475*44/12</f>
        <v>6.8785507050114312E-16</v>
      </c>
      <c r="BS196" s="22">
        <f t="shared" si="169"/>
        <v>15.898387192771715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-2.3055690689943731E-13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436.50252985867149</v>
      </c>
      <c r="CE196" s="59">
        <f t="shared" si="148"/>
        <v>419.00806288456329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13.15221190023364</v>
      </c>
      <c r="CL196" s="21">
        <f>EXP(-LN(2)/25)*CL195+(1-EXP(-LN(2)/25))/(LN(2)/25)*Calculateur!CG196*Calculateur!CI196*VLOOKUP('Données projet'!$B$12,Paramètres!$A$1:$I$89,3,0)*0.475*44/12</f>
        <v>0.18191929370392673</v>
      </c>
      <c r="CM196" s="21">
        <f>EXP(-LN(2)/2)*CM195+(1-EXP(-LN(2)/2))/(LN(2)/2)*CG196*CJ196*VLOOKUP('Données projet'!$B$12,Paramètres!$A$1:$I$89,3,0)*0.475*44/12</f>
        <v>5.7691070429128254E-16</v>
      </c>
      <c r="CN196" s="22">
        <f t="shared" si="172"/>
        <v>13.334131193937568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-2.8421709430404007E-13</v>
      </c>
      <c r="CU196" s="17">
        <f>CT196*VLOOKUP('Données projet'!$B$13,Paramètres!$A$1:$I$89,3,0)*VLOOKUP('Données projet'!$B$13,Paramètres!$A$1:$I$89,5,0)</f>
        <v>-2.7489477361086758E-13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508.3185483454435</v>
      </c>
      <c r="CZ196" s="59">
        <f t="shared" si="150"/>
        <v>487.08233034004945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15.681483419509341</v>
      </c>
      <c r="DG196" s="21">
        <f>EXP(-LN(2)/25)*DG195+(1-EXP(-LN(2)/25))/(LN(2)/25)*Calculateur!DB196*Calculateur!DD196*VLOOKUP('Données projet'!$B$13,Paramètres!$A$1:$I$89,3,0)*0.475*44/12</f>
        <v>0.21690377326237442</v>
      </c>
      <c r="DH196" s="21">
        <f>EXP(-LN(2)/2)*DH195+(1-EXP(-LN(2)/2))/(LN(2)/2)*DB196*DE196*VLOOKUP('Données projet'!$B$13,Paramètres!$A$1:$I$89,3,0)*0.475*44/12</f>
        <v>6.8785507050114312E-16</v>
      </c>
      <c r="DI196" s="22">
        <f t="shared" si="175"/>
        <v>15.898387192771715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-2.8421709430404007E-13</v>
      </c>
      <c r="DP196" s="17">
        <f>DO196*VLOOKUP('Données projet'!$B$14,Paramètres!$A$1:$I$89,3,0)*VLOOKUP('Données projet'!$B$14,Paramètres!$A$1:$I$89,5,0)</f>
        <v>-2.7489477361086758E-13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508.3185483454435</v>
      </c>
      <c r="DU196" s="59">
        <f t="shared" si="152"/>
        <v>487.08233034004945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15.681483419509341</v>
      </c>
      <c r="EB196" s="21">
        <f>EXP(-LN(2)/25)*EB195+(1-EXP(-LN(2)/25))/(LN(2)/25)*Calculateur!DW196*Calculateur!DY196*VLOOKUP('Données projet'!$B$14,Paramètres!$A$1:$I$89,3,0)*0.475*44/12</f>
        <v>0.21690377326237442</v>
      </c>
      <c r="EC196" s="21">
        <f>EXP(-LN(2)/2)*EC195+(1-EXP(-LN(2)/2))/(LN(2)/2)*DW196*DZ196*VLOOKUP('Données projet'!$B$14,Paramètres!$A$1:$I$89,3,0)*0.475*44/12</f>
        <v>6.8785507050114312E-16</v>
      </c>
      <c r="ED196" s="22">
        <f t="shared" si="178"/>
        <v>15.898387192771715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-7.9580786405131221E-13</v>
      </c>
      <c r="O197" s="13">
        <f>N197*VLOOKUP('Données projet'!$B$9,Paramètres!$A$1:$I$89,3,0)*VLOOKUP('Données projet'!$B$9,Paramètres!$A$1:$I$89,5,0)</f>
        <v>-7.2004695539362725E-13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569.49435820174267</v>
      </c>
      <c r="T197" s="59">
        <f t="shared" ref="T197:T203" si="204">$T$3</f>
        <v>295.37730858134739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82.639960071804381</v>
      </c>
      <c r="AA197" s="21">
        <f>EXP(-LN(2)/25)*AA196+(1-EXP(-LN(2)/25))/(LN(2)/25)*Calculateur!V197*Calculateur!X197*VLOOKUP('Données projet'!$B$9,Paramètres!$A$1:$I$89,3,0)*0.475*44/12</f>
        <v>10.161695810934582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92.80165588273897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-7.9580786405131221E-13</v>
      </c>
      <c r="AJ197" s="13">
        <f>AI197*VLOOKUP('Données projet'!$B$10,Paramètres!$A$1:$I$89,3,0)*VLOOKUP('Données projet'!$B$10,Paramètres!$A$1:$I$89,5,0)</f>
        <v>-8.0694917414803056E-13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627.83896530587367</v>
      </c>
      <c r="AO197" s="59">
        <f t="shared" ref="AO197:AO203" si="205">$AO$3</f>
        <v>323.54927030899489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92.613748356332522</v>
      </c>
      <c r="AV197" s="21">
        <f>EXP(-LN(2)/25)*AV196+(1-EXP(-LN(2)/25))/(LN(2)/25)*Calculateur!AQ197*Calculateur!AS197*VLOOKUP('Données projet'!$B$10,Paramètres!$A$1:$I$89,3,0)*0.475*44/12</f>
        <v>11.388107374323244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104.00185573065576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-2.7489477361086758E-13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508.3185483454435</v>
      </c>
      <c r="BJ197" s="59">
        <f t="shared" ref="BJ197:BJ203" si="206">$BJ$3</f>
        <v>487.08233034004945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15.373979094413206</v>
      </c>
      <c r="BQ197" s="21">
        <f>EXP(-LN(2)/25)*BQ196+(1-EXP(-LN(2)/25))/(LN(2)/25)*Calculateur!BL197*Calculateur!BN197*VLOOKUP('Données projet'!$B$11,Paramètres!$A$1:$I$89,3,0)*0.475*44/12</f>
        <v>0.21097252817604109</v>
      </c>
      <c r="BR197" s="21">
        <f>EXP(-LN(2)/2)*BR196+(1-EXP(-LN(2)/2))/(LN(2)/2)*BL197*BO197*VLOOKUP('Données projet'!$B$11,Paramètres!$A$1:$I$89,3,0)*0.475*44/12</f>
        <v>4.8638698482490902E-16</v>
      </c>
      <c r="BS197" s="22">
        <f t="shared" si="169"/>
        <v>15.584951622589248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-2.3055690689943731E-13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436.50252985867149</v>
      </c>
      <c r="CE197" s="59">
        <f t="shared" ref="CE197:CE203" si="207">$CE$3</f>
        <v>419.00806288456329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12.894305046927204</v>
      </c>
      <c r="CL197" s="21">
        <f>EXP(-LN(2)/25)*CL196+(1-EXP(-LN(2)/25))/(LN(2)/25)*Calculateur!CG197*Calculateur!CI197*VLOOKUP('Données projet'!$B$12,Paramètres!$A$1:$I$89,3,0)*0.475*44/12</f>
        <v>0.17694470105087298</v>
      </c>
      <c r="CM197" s="21">
        <f>EXP(-LN(2)/2)*CM196+(1-EXP(-LN(2)/2))/(LN(2)/2)*CG197*CJ197*VLOOKUP('Données projet'!$B$12,Paramètres!$A$1:$I$89,3,0)*0.475*44/12</f>
        <v>4.0793747114347295E-16</v>
      </c>
      <c r="CN197" s="22">
        <f t="shared" si="172"/>
        <v>13.071249747978078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-2.8421709430404007E-13</v>
      </c>
      <c r="CU197" s="17">
        <f>CT197*VLOOKUP('Données projet'!$B$13,Paramètres!$A$1:$I$89,3,0)*VLOOKUP('Données projet'!$B$13,Paramètres!$A$1:$I$89,5,0)</f>
        <v>-2.7489477361086758E-13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508.3185483454435</v>
      </c>
      <c r="CZ197" s="59">
        <f t="shared" ref="CZ197:CZ203" si="208">$CZ$3</f>
        <v>487.08233034004945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15.373979094413206</v>
      </c>
      <c r="DG197" s="21">
        <f>EXP(-LN(2)/25)*DG196+(1-EXP(-LN(2)/25))/(LN(2)/25)*Calculateur!DB197*Calculateur!DD197*VLOOKUP('Données projet'!$B$13,Paramètres!$A$1:$I$89,3,0)*0.475*44/12</f>
        <v>0.21097252817604109</v>
      </c>
      <c r="DH197" s="21">
        <f>EXP(-LN(2)/2)*DH196+(1-EXP(-LN(2)/2))/(LN(2)/2)*DB197*DE197*VLOOKUP('Données projet'!$B$13,Paramètres!$A$1:$I$89,3,0)*0.475*44/12</f>
        <v>4.8638698482490902E-16</v>
      </c>
      <c r="DI197" s="22">
        <f t="shared" si="175"/>
        <v>15.584951622589248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-2.8421709430404007E-13</v>
      </c>
      <c r="DP197" s="17">
        <f>DO197*VLOOKUP('Données projet'!$B$14,Paramètres!$A$1:$I$89,3,0)*VLOOKUP('Données projet'!$B$14,Paramètres!$A$1:$I$89,5,0)</f>
        <v>-2.7489477361086758E-13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508.3185483454435</v>
      </c>
      <c r="DU197" s="59">
        <f t="shared" ref="DU197:DU203" si="209">$DU$3</f>
        <v>487.08233034004945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15.373979094413206</v>
      </c>
      <c r="EB197" s="21">
        <f>EXP(-LN(2)/25)*EB196+(1-EXP(-LN(2)/25))/(LN(2)/25)*Calculateur!DW197*Calculateur!DY197*VLOOKUP('Données projet'!$B$14,Paramètres!$A$1:$I$89,3,0)*0.475*44/12</f>
        <v>0.21097252817604109</v>
      </c>
      <c r="EC197" s="21">
        <f>EXP(-LN(2)/2)*EC196+(1-EXP(-LN(2)/2))/(LN(2)/2)*DW197*DZ197*VLOOKUP('Données projet'!$B$14,Paramètres!$A$1:$I$89,3,0)*0.475*44/12</f>
        <v>4.8638698482490902E-16</v>
      </c>
      <c r="ED197" s="22">
        <f t="shared" si="178"/>
        <v>15.584951622589248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-7.9580786405131221E-13</v>
      </c>
      <c r="O198" s="13">
        <f>N198*VLOOKUP('Données projet'!$B$9,Paramètres!$A$1:$I$89,3,0)*VLOOKUP('Données projet'!$B$9,Paramètres!$A$1:$I$89,5,0)</f>
        <v>-7.2004695539362725E-13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569.49435820174267</v>
      </c>
      <c r="T198" s="59">
        <f t="shared" si="204"/>
        <v>295.37730858134739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81.01944086019482</v>
      </c>
      <c r="AA198" s="21">
        <f>EXP(-LN(2)/25)*AA197+(1-EXP(-LN(2)/25))/(LN(2)/25)*Calculateur!V198*Calculateur!X198*VLOOKUP('Données projet'!$B$9,Paramètres!$A$1:$I$89,3,0)*0.475*44/12</f>
        <v>9.8838237046042181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90.903264564799031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-7.9580786405131221E-13</v>
      </c>
      <c r="AJ198" s="13">
        <f>AI198*VLOOKUP('Données projet'!$B$10,Paramètres!$A$1:$I$89,3,0)*VLOOKUP('Données projet'!$B$10,Paramètres!$A$1:$I$89,5,0)</f>
        <v>-8.0694917414803056E-13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627.83896530587367</v>
      </c>
      <c r="AO198" s="59">
        <f t="shared" si="205"/>
        <v>323.54927030899489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90.797649239873536</v>
      </c>
      <c r="AV198" s="21">
        <f>EXP(-LN(2)/25)*AV197+(1-EXP(-LN(2)/25))/(LN(2)/25)*Calculateur!AQ198*Calculateur!AS198*VLOOKUP('Données projet'!$B$10,Paramètres!$A$1:$I$89,3,0)*0.475*44/12</f>
        <v>11.076698979297836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101.87434821917137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-2.7489477361086758E-13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508.3185483454435</v>
      </c>
      <c r="BJ198" s="59">
        <f t="shared" si="206"/>
        <v>487.08233034004945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15.07250474157309</v>
      </c>
      <c r="BQ198" s="21">
        <f>EXP(-LN(2)/25)*BQ197+(1-EXP(-LN(2)/25))/(LN(2)/25)*Calculateur!BL198*Calculateur!BN198*VLOOKUP('Données projet'!$B$11,Paramètres!$A$1:$I$89,3,0)*0.475*44/12</f>
        <v>0.20520347329850416</v>
      </c>
      <c r="BR198" s="21">
        <f>EXP(-LN(2)/2)*BR197+(1-EXP(-LN(2)/2))/(LN(2)/2)*BL198*BO198*VLOOKUP('Données projet'!$B$11,Paramètres!$A$1:$I$89,3,0)*0.475*44/12</f>
        <v>3.4392753525057156E-16</v>
      </c>
      <c r="BS198" s="22">
        <f t="shared" si="169"/>
        <v>15.277708214871593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-2.3055690689943731E-13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436.50252985867149</v>
      </c>
      <c r="CE198" s="59">
        <f t="shared" si="207"/>
        <v>419.00806288456329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12.641455589706462</v>
      </c>
      <c r="CL198" s="21">
        <f>EXP(-LN(2)/25)*CL197+(1-EXP(-LN(2)/25))/(LN(2)/25)*Calculateur!CG198*Calculateur!CI198*VLOOKUP('Données projet'!$B$12,Paramètres!$A$1:$I$89,3,0)*0.475*44/12</f>
        <v>0.17210613889551946</v>
      </c>
      <c r="CM198" s="21">
        <f>EXP(-LN(2)/2)*CM197+(1-EXP(-LN(2)/2))/(LN(2)/2)*CG198*CJ198*VLOOKUP('Données projet'!$B$12,Paramètres!$A$1:$I$89,3,0)*0.475*44/12</f>
        <v>2.8845535214564127E-16</v>
      </c>
      <c r="CN198" s="22">
        <f t="shared" si="172"/>
        <v>12.813561728601982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-2.8421709430404007E-13</v>
      </c>
      <c r="CU198" s="17">
        <f>CT198*VLOOKUP('Données projet'!$B$13,Paramètres!$A$1:$I$89,3,0)*VLOOKUP('Données projet'!$B$13,Paramètres!$A$1:$I$89,5,0)</f>
        <v>-2.7489477361086758E-13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508.3185483454435</v>
      </c>
      <c r="CZ198" s="59">
        <f t="shared" si="208"/>
        <v>487.08233034004945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15.07250474157309</v>
      </c>
      <c r="DG198" s="21">
        <f>EXP(-LN(2)/25)*DG197+(1-EXP(-LN(2)/25))/(LN(2)/25)*Calculateur!DB198*Calculateur!DD198*VLOOKUP('Données projet'!$B$13,Paramètres!$A$1:$I$89,3,0)*0.475*44/12</f>
        <v>0.20520347329850416</v>
      </c>
      <c r="DH198" s="21">
        <f>EXP(-LN(2)/2)*DH197+(1-EXP(-LN(2)/2))/(LN(2)/2)*DB198*DE198*VLOOKUP('Données projet'!$B$13,Paramètres!$A$1:$I$89,3,0)*0.475*44/12</f>
        <v>3.4392753525057156E-16</v>
      </c>
      <c r="DI198" s="22">
        <f t="shared" si="175"/>
        <v>15.277708214871593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-2.8421709430404007E-13</v>
      </c>
      <c r="DP198" s="17">
        <f>DO198*VLOOKUP('Données projet'!$B$14,Paramètres!$A$1:$I$89,3,0)*VLOOKUP('Données projet'!$B$14,Paramètres!$A$1:$I$89,5,0)</f>
        <v>-2.7489477361086758E-13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508.3185483454435</v>
      </c>
      <c r="DU198" s="59">
        <f t="shared" si="209"/>
        <v>487.08233034004945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15.07250474157309</v>
      </c>
      <c r="EB198" s="21">
        <f>EXP(-LN(2)/25)*EB197+(1-EXP(-LN(2)/25))/(LN(2)/25)*Calculateur!DW198*Calculateur!DY198*VLOOKUP('Données projet'!$B$14,Paramètres!$A$1:$I$89,3,0)*0.475*44/12</f>
        <v>0.20520347329850416</v>
      </c>
      <c r="EC198" s="21">
        <f>EXP(-LN(2)/2)*EC197+(1-EXP(-LN(2)/2))/(LN(2)/2)*DW198*DZ198*VLOOKUP('Données projet'!$B$14,Paramètres!$A$1:$I$89,3,0)*0.475*44/12</f>
        <v>3.4392753525057156E-16</v>
      </c>
      <c r="ED198" s="22">
        <f t="shared" si="178"/>
        <v>15.277708214871593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-7.9580786405131221E-13</v>
      </c>
      <c r="O199" s="13">
        <f>N199*VLOOKUP('Données projet'!$B$9,Paramètres!$A$1:$I$89,3,0)*VLOOKUP('Données projet'!$B$9,Paramètres!$A$1:$I$89,5,0)</f>
        <v>-7.2004695539362725E-13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569.49435820174267</v>
      </c>
      <c r="T199" s="59">
        <f t="shared" si="204"/>
        <v>295.37730858134739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79.430699041905797</v>
      </c>
      <c r="AA199" s="21">
        <f>EXP(-LN(2)/25)*AA198+(1-EXP(-LN(2)/25))/(LN(2)/25)*Calculateur!V199*Calculateur!X199*VLOOKUP('Données projet'!$B$9,Paramètres!$A$1:$I$89,3,0)*0.475*44/12</f>
        <v>9.6135500256341171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89.044249067539909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-7.9580786405131221E-13</v>
      </c>
      <c r="AJ199" s="13">
        <f>AI199*VLOOKUP('Données projet'!$B$10,Paramètres!$A$1:$I$89,3,0)*VLOOKUP('Données projet'!$B$10,Paramètres!$A$1:$I$89,5,0)</f>
        <v>-8.0694917414803056E-13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627.83896530587367</v>
      </c>
      <c r="AO199" s="59">
        <f t="shared" si="205"/>
        <v>323.54927030899489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89.017162719377225</v>
      </c>
      <c r="AV199" s="21">
        <f>EXP(-LN(2)/25)*AV198+(1-EXP(-LN(2)/25))/(LN(2)/25)*Calculateur!AQ199*Calculateur!AS199*VLOOKUP('Données projet'!$B$10,Paramètres!$A$1:$I$89,3,0)*0.475*44/12</f>
        <v>10.773806063210653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99.790968782587882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-2.7489477361086758E-13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508.3185483454435</v>
      </c>
      <c r="BJ199" s="59">
        <f t="shared" si="206"/>
        <v>487.08233034004945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14.776942116910968</v>
      </c>
      <c r="BQ199" s="21">
        <f>EXP(-LN(2)/25)*BQ198+(1-EXP(-LN(2)/25))/(LN(2)/25)*Calculateur!BL199*Calculateur!BN199*VLOOKUP('Données projet'!$B$11,Paramètres!$A$1:$I$89,3,0)*0.475*44/12</f>
        <v>0.19959217352997491</v>
      </c>
      <c r="BR199" s="21">
        <f>EXP(-LN(2)/2)*BR198+(1-EXP(-LN(2)/2))/(LN(2)/2)*BL199*BO199*VLOOKUP('Données projet'!$B$11,Paramètres!$A$1:$I$89,3,0)*0.475*44/12</f>
        <v>2.4319349241245451E-16</v>
      </c>
      <c r="BS199" s="22">
        <f t="shared" si="169"/>
        <v>14.976534290440943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-2.3055690689943731E-13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436.50252985867149</v>
      </c>
      <c r="CE199" s="59">
        <f t="shared" si="207"/>
        <v>419.00806288456329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12.393564356118876</v>
      </c>
      <c r="CL199" s="21">
        <f>EXP(-LN(2)/25)*CL198+(1-EXP(-LN(2)/25))/(LN(2)/25)*Calculateur!CG199*Calculateur!CI199*VLOOKUP('Données projet'!$B$12,Paramètres!$A$1:$I$89,3,0)*0.475*44/12</f>
        <v>0.167399887476753</v>
      </c>
      <c r="CM199" s="21">
        <f>EXP(-LN(2)/2)*CM198+(1-EXP(-LN(2)/2))/(LN(2)/2)*CG199*CJ199*VLOOKUP('Données projet'!$B$12,Paramètres!$A$1:$I$89,3,0)*0.475*44/12</f>
        <v>2.0396873557173648E-16</v>
      </c>
      <c r="CN199" s="22">
        <f t="shared" si="172"/>
        <v>12.560964243595629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-2.8421709430404007E-13</v>
      </c>
      <c r="CU199" s="17">
        <f>CT199*VLOOKUP('Données projet'!$B$13,Paramètres!$A$1:$I$89,3,0)*VLOOKUP('Données projet'!$B$13,Paramètres!$A$1:$I$89,5,0)</f>
        <v>-2.7489477361086758E-13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508.3185483454435</v>
      </c>
      <c r="CZ199" s="59">
        <f t="shared" si="208"/>
        <v>487.08233034004945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14.776942116910968</v>
      </c>
      <c r="DG199" s="21">
        <f>EXP(-LN(2)/25)*DG198+(1-EXP(-LN(2)/25))/(LN(2)/25)*Calculateur!DB199*Calculateur!DD199*VLOOKUP('Données projet'!$B$13,Paramètres!$A$1:$I$89,3,0)*0.475*44/12</f>
        <v>0.19959217352997491</v>
      </c>
      <c r="DH199" s="21">
        <f>EXP(-LN(2)/2)*DH198+(1-EXP(-LN(2)/2))/(LN(2)/2)*DB199*DE199*VLOOKUP('Données projet'!$B$13,Paramètres!$A$1:$I$89,3,0)*0.475*44/12</f>
        <v>2.4319349241245451E-16</v>
      </c>
      <c r="DI199" s="22">
        <f t="shared" si="175"/>
        <v>14.976534290440943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-2.8421709430404007E-13</v>
      </c>
      <c r="DP199" s="17">
        <f>DO199*VLOOKUP('Données projet'!$B$14,Paramètres!$A$1:$I$89,3,0)*VLOOKUP('Données projet'!$B$14,Paramètres!$A$1:$I$89,5,0)</f>
        <v>-2.7489477361086758E-13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508.3185483454435</v>
      </c>
      <c r="DU199" s="59">
        <f t="shared" si="209"/>
        <v>487.08233034004945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14.776942116910968</v>
      </c>
      <c r="EB199" s="21">
        <f>EXP(-LN(2)/25)*EB198+(1-EXP(-LN(2)/25))/(LN(2)/25)*Calculateur!DW199*Calculateur!DY199*VLOOKUP('Données projet'!$B$14,Paramètres!$A$1:$I$89,3,0)*0.475*44/12</f>
        <v>0.19959217352997491</v>
      </c>
      <c r="EC199" s="21">
        <f>EXP(-LN(2)/2)*EC198+(1-EXP(-LN(2)/2))/(LN(2)/2)*DW199*DZ199*VLOOKUP('Données projet'!$B$14,Paramètres!$A$1:$I$89,3,0)*0.475*44/12</f>
        <v>2.4319349241245451E-16</v>
      </c>
      <c r="ED199" s="22">
        <f t="shared" si="178"/>
        <v>14.976534290440943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-7.9580786405131221E-13</v>
      </c>
      <c r="O200" s="13">
        <f>N200*VLOOKUP('Données projet'!$B$9,Paramètres!$A$1:$I$89,3,0)*VLOOKUP('Données projet'!$B$9,Paramètres!$A$1:$I$89,5,0)</f>
        <v>-7.2004695539362725E-13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569.49435820174267</v>
      </c>
      <c r="T200" s="59">
        <f t="shared" si="204"/>
        <v>295.37730858134739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77.873111481636599</v>
      </c>
      <c r="AA200" s="21">
        <f>EXP(-LN(2)/25)*AA199+(1-EXP(-LN(2)/25))/(LN(2)/25)*Calculateur!V200*Calculateur!X200*VLOOKUP('Données projet'!$B$9,Paramètres!$A$1:$I$89,3,0)*0.475*44/12</f>
        <v>9.3506669946285292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87.223778476265124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-7.9580786405131221E-13</v>
      </c>
      <c r="AJ200" s="13">
        <f>AI200*VLOOKUP('Données projet'!$B$10,Paramètres!$A$1:$I$89,3,0)*VLOOKUP('Données projet'!$B$10,Paramètres!$A$1:$I$89,5,0)</f>
        <v>-8.0694917414803056E-13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627.83896530587367</v>
      </c>
      <c r="AO200" s="59">
        <f t="shared" si="205"/>
        <v>323.54927030899489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87.271590453558304</v>
      </c>
      <c r="AV200" s="21">
        <f>EXP(-LN(2)/25)*AV199+(1-EXP(-LN(2)/25))/(LN(2)/25)*Calculateur!AQ200*Calculateur!AS200*VLOOKUP('Données projet'!$B$10,Paramètres!$A$1:$I$89,3,0)*0.475*44/12</f>
        <v>10.47919576984232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97.750786223400624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-2.7489477361086758E-13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508.3185483454435</v>
      </c>
      <c r="BJ200" s="59">
        <f t="shared" si="206"/>
        <v>487.08233034004945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14.487175295043071</v>
      </c>
      <c r="BQ200" s="21">
        <f>EXP(-LN(2)/25)*BQ199+(1-EXP(-LN(2)/25))/(LN(2)/25)*Calculateur!BL200*Calculateur!BN200*VLOOKUP('Données projet'!$B$11,Paramètres!$A$1:$I$89,3,0)*0.475*44/12</f>
        <v>0.19413431504870152</v>
      </c>
      <c r="BR200" s="21">
        <f>EXP(-LN(2)/2)*BR199+(1-EXP(-LN(2)/2))/(LN(2)/2)*BL200*BO200*VLOOKUP('Données projet'!$B$11,Paramètres!$A$1:$I$89,3,0)*0.475*44/12</f>
        <v>1.7196376762528578E-16</v>
      </c>
      <c r="BS200" s="22">
        <f t="shared" si="169"/>
        <v>14.681309610091773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-2.3055690689943731E-13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436.50252985867149</v>
      </c>
      <c r="CE200" s="59">
        <f t="shared" si="207"/>
        <v>419.00806288456329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12.15053411842322</v>
      </c>
      <c r="CL200" s="21">
        <f>EXP(-LN(2)/25)*CL199+(1-EXP(-LN(2)/25))/(LN(2)/25)*Calculateur!CG200*Calculateur!CI200*VLOOKUP('Données projet'!$B$12,Paramètres!$A$1:$I$89,3,0)*0.475*44/12</f>
        <v>0.16282232875052369</v>
      </c>
      <c r="CM200" s="21">
        <f>EXP(-LN(2)/2)*CM199+(1-EXP(-LN(2)/2))/(LN(2)/2)*CG200*CJ200*VLOOKUP('Données projet'!$B$12,Paramètres!$A$1:$I$89,3,0)*0.475*44/12</f>
        <v>1.4422767607282064E-16</v>
      </c>
      <c r="CN200" s="22">
        <f t="shared" si="172"/>
        <v>12.313356447173744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-2.8421709430404007E-13</v>
      </c>
      <c r="CU200" s="17">
        <f>CT200*VLOOKUP('Données projet'!$B$13,Paramètres!$A$1:$I$89,3,0)*VLOOKUP('Données projet'!$B$13,Paramètres!$A$1:$I$89,5,0)</f>
        <v>-2.7489477361086758E-13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508.3185483454435</v>
      </c>
      <c r="CZ200" s="59">
        <f t="shared" si="208"/>
        <v>487.08233034004945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14.487175295043071</v>
      </c>
      <c r="DG200" s="21">
        <f>EXP(-LN(2)/25)*DG199+(1-EXP(-LN(2)/25))/(LN(2)/25)*Calculateur!DB200*Calculateur!DD200*VLOOKUP('Données projet'!$B$13,Paramètres!$A$1:$I$89,3,0)*0.475*44/12</f>
        <v>0.19413431504870152</v>
      </c>
      <c r="DH200" s="21">
        <f>EXP(-LN(2)/2)*DH199+(1-EXP(-LN(2)/2))/(LN(2)/2)*DB200*DE200*VLOOKUP('Données projet'!$B$13,Paramètres!$A$1:$I$89,3,0)*0.475*44/12</f>
        <v>1.7196376762528578E-16</v>
      </c>
      <c r="DI200" s="22">
        <f t="shared" si="175"/>
        <v>14.681309610091773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-2.8421709430404007E-13</v>
      </c>
      <c r="DP200" s="17">
        <f>DO200*VLOOKUP('Données projet'!$B$14,Paramètres!$A$1:$I$89,3,0)*VLOOKUP('Données projet'!$B$14,Paramètres!$A$1:$I$89,5,0)</f>
        <v>-2.7489477361086758E-13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508.3185483454435</v>
      </c>
      <c r="DU200" s="59">
        <f t="shared" si="209"/>
        <v>487.08233034004945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14.487175295043071</v>
      </c>
      <c r="EB200" s="21">
        <f>EXP(-LN(2)/25)*EB199+(1-EXP(-LN(2)/25))/(LN(2)/25)*Calculateur!DW200*Calculateur!DY200*VLOOKUP('Données projet'!$B$14,Paramètres!$A$1:$I$89,3,0)*0.475*44/12</f>
        <v>0.19413431504870152</v>
      </c>
      <c r="EC200" s="21">
        <f>EXP(-LN(2)/2)*EC199+(1-EXP(-LN(2)/2))/(LN(2)/2)*DW200*DZ200*VLOOKUP('Données projet'!$B$14,Paramètres!$A$1:$I$89,3,0)*0.475*44/12</f>
        <v>1.7196376762528578E-16</v>
      </c>
      <c r="ED200" s="22">
        <f t="shared" si="178"/>
        <v>14.681309610091773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-7.9580786405131221E-13</v>
      </c>
      <c r="O201" s="13">
        <f>N201*VLOOKUP('Données projet'!$B$9,Paramètres!$A$1:$I$89,3,0)*VLOOKUP('Données projet'!$B$9,Paramètres!$A$1:$I$89,5,0)</f>
        <v>-7.2004695539362725E-13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569.49435820174267</v>
      </c>
      <c r="T201" s="59">
        <f t="shared" si="204"/>
        <v>295.37730858134739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76.346067263389685</v>
      </c>
      <c r="AA201" s="21">
        <f>EXP(-LN(2)/25)*AA200+(1-EXP(-LN(2)/25))/(LN(2)/25)*Calculateur!V201*Calculateur!X201*VLOOKUP('Données projet'!$B$9,Paramètres!$A$1:$I$89,3,0)*0.475*44/12</f>
        <v>9.0949725139302053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85.441039777319887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-7.9580786405131221E-13</v>
      </c>
      <c r="AJ201" s="13">
        <f>AI201*VLOOKUP('Données projet'!$B$10,Paramètres!$A$1:$I$89,3,0)*VLOOKUP('Données projet'!$B$10,Paramètres!$A$1:$I$89,5,0)</f>
        <v>-8.0694917414803056E-13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627.83896530587367</v>
      </c>
      <c r="AO201" s="59">
        <f t="shared" si="205"/>
        <v>323.54927030899489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85.560247795178128</v>
      </c>
      <c r="AV201" s="21">
        <f>EXP(-LN(2)/25)*AV200+(1-EXP(-LN(2)/25))/(LN(2)/25)*Calculateur!AQ201*Calculateur!AS201*VLOOKUP('Données projet'!$B$10,Paramètres!$A$1:$I$89,3,0)*0.475*44/12</f>
        <v>10.192641610439027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95.752889405617154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-2.7489477361086758E-13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508.3185483454435</v>
      </c>
      <c r="BJ201" s="59">
        <f t="shared" si="206"/>
        <v>487.08233034004945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14.203090623811693</v>
      </c>
      <c r="BQ201" s="21">
        <f>EXP(-LN(2)/25)*BQ200+(1-EXP(-LN(2)/25))/(LN(2)/25)*Calculateur!BL201*Calculateur!BN201*VLOOKUP('Données projet'!$B$11,Paramètres!$A$1:$I$89,3,0)*0.475*44/12</f>
        <v>0.18882570199461485</v>
      </c>
      <c r="BR201" s="21">
        <f>EXP(-LN(2)/2)*BR200+(1-EXP(-LN(2)/2))/(LN(2)/2)*BL201*BO201*VLOOKUP('Données projet'!$B$11,Paramètres!$A$1:$I$89,3,0)*0.475*44/12</f>
        <v>1.2159674620622726E-16</v>
      </c>
      <c r="BS201" s="22">
        <f t="shared" si="169"/>
        <v>14.391916325806308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-2.3055690689943731E-13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436.50252985867149</v>
      </c>
      <c r="CE201" s="59">
        <f t="shared" si="207"/>
        <v>419.00806288456329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11.912269555454968</v>
      </c>
      <c r="CL201" s="21">
        <f>EXP(-LN(2)/25)*CL200+(1-EXP(-LN(2)/25))/(LN(2)/25)*Calculateur!CG201*Calculateur!CI201*VLOOKUP('Données projet'!$B$12,Paramètres!$A$1:$I$89,3,0)*0.475*44/12</f>
        <v>0.15836994360838649</v>
      </c>
      <c r="CM201" s="21">
        <f>EXP(-LN(2)/2)*CM200+(1-EXP(-LN(2)/2))/(LN(2)/2)*CG201*CJ201*VLOOKUP('Données projet'!$B$12,Paramètres!$A$1:$I$89,3,0)*0.475*44/12</f>
        <v>1.0198436778586824E-16</v>
      </c>
      <c r="CN201" s="22">
        <f t="shared" si="172"/>
        <v>12.070639499063354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-2.8421709430404007E-13</v>
      </c>
      <c r="CU201" s="17">
        <f>CT201*VLOOKUP('Données projet'!$B$13,Paramètres!$A$1:$I$89,3,0)*VLOOKUP('Données projet'!$B$13,Paramètres!$A$1:$I$89,5,0)</f>
        <v>-2.7489477361086758E-13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508.3185483454435</v>
      </c>
      <c r="CZ201" s="59">
        <f t="shared" si="208"/>
        <v>487.08233034004945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14.203090623811693</v>
      </c>
      <c r="DG201" s="21">
        <f>EXP(-LN(2)/25)*DG200+(1-EXP(-LN(2)/25))/(LN(2)/25)*Calculateur!DB201*Calculateur!DD201*VLOOKUP('Données projet'!$B$13,Paramètres!$A$1:$I$89,3,0)*0.475*44/12</f>
        <v>0.18882570199461485</v>
      </c>
      <c r="DH201" s="21">
        <f>EXP(-LN(2)/2)*DH200+(1-EXP(-LN(2)/2))/(LN(2)/2)*DB201*DE201*VLOOKUP('Données projet'!$B$13,Paramètres!$A$1:$I$89,3,0)*0.475*44/12</f>
        <v>1.2159674620622726E-16</v>
      </c>
      <c r="DI201" s="22">
        <f t="shared" si="175"/>
        <v>14.391916325806308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-2.8421709430404007E-13</v>
      </c>
      <c r="DP201" s="17">
        <f>DO201*VLOOKUP('Données projet'!$B$14,Paramètres!$A$1:$I$89,3,0)*VLOOKUP('Données projet'!$B$14,Paramètres!$A$1:$I$89,5,0)</f>
        <v>-2.7489477361086758E-13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508.3185483454435</v>
      </c>
      <c r="DU201" s="59">
        <f t="shared" si="209"/>
        <v>487.08233034004945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14.203090623811693</v>
      </c>
      <c r="EB201" s="21">
        <f>EXP(-LN(2)/25)*EB200+(1-EXP(-LN(2)/25))/(LN(2)/25)*Calculateur!DW201*Calculateur!DY201*VLOOKUP('Données projet'!$B$14,Paramètres!$A$1:$I$89,3,0)*0.475*44/12</f>
        <v>0.18882570199461485</v>
      </c>
      <c r="EC201" s="21">
        <f>EXP(-LN(2)/2)*EC200+(1-EXP(-LN(2)/2))/(LN(2)/2)*DW201*DZ201*VLOOKUP('Données projet'!$B$14,Paramètres!$A$1:$I$89,3,0)*0.475*44/12</f>
        <v>1.2159674620622726E-16</v>
      </c>
      <c r="ED201" s="22">
        <f t="shared" si="178"/>
        <v>14.391916325806308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-7.9580786405131221E-13</v>
      </c>
      <c r="O202" s="13">
        <f>N202*VLOOKUP('Données projet'!$B$9,Paramètres!$A$1:$I$89,3,0)*VLOOKUP('Données projet'!$B$9,Paramètres!$A$1:$I$89,5,0)</f>
        <v>-7.2004695539362725E-13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569.49435820174267</v>
      </c>
      <c r="T202" s="59">
        <f t="shared" si="204"/>
        <v>295.37730858134739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74.848967450857586</v>
      </c>
      <c r="AA202" s="21">
        <f>EXP(-LN(2)/25)*AA201+(1-EXP(-LN(2)/25))/(LN(2)/25)*Calculateur!V202*Calculateur!X202*VLOOKUP('Données projet'!$B$9,Paramètres!$A$1:$I$89,3,0)*0.475*44/12</f>
        <v>8.8462700122529654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83.695237463110544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-7.9580786405131221E-13</v>
      </c>
      <c r="AJ202" s="13">
        <f>AI202*VLOOKUP('Données projet'!$B$10,Paramètres!$A$1:$I$89,3,0)*VLOOKUP('Données projet'!$B$10,Paramètres!$A$1:$I$89,5,0)</f>
        <v>-8.0694917414803056E-13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627.83896530587367</v>
      </c>
      <c r="AO202" s="59">
        <f t="shared" si="205"/>
        <v>323.54927030899489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83.882463522512836</v>
      </c>
      <c r="AV202" s="21">
        <f>EXP(-LN(2)/25)*AV201+(1-EXP(-LN(2)/25))/(LN(2)/25)*Calculateur!AQ202*Calculateur!AS202*VLOOKUP('Données projet'!$B$10,Paramètres!$A$1:$I$89,3,0)*0.475*44/12</f>
        <v>9.9139232895938463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93.796386812106675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-2.7489477361086758E-13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508.3185483454435</v>
      </c>
      <c r="BJ202" s="59">
        <f t="shared" si="206"/>
        <v>487.08233034004945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13.924576679708624</v>
      </c>
      <c r="BQ202" s="21">
        <f>EXP(-LN(2)/25)*BQ201+(1-EXP(-LN(2)/25))/(LN(2)/25)*Calculateur!BL202*Calculateur!BN202*VLOOKUP('Données projet'!$B$11,Paramètres!$A$1:$I$89,3,0)*0.475*44/12</f>
        <v>0.18366225324366001</v>
      </c>
      <c r="BR202" s="21">
        <f>EXP(-LN(2)/2)*BR201+(1-EXP(-LN(2)/2))/(LN(2)/2)*BL202*BO202*VLOOKUP('Données projet'!$B$11,Paramètres!$A$1:$I$89,3,0)*0.475*44/12</f>
        <v>8.598188381264289E-17</v>
      </c>
      <c r="BS202" s="22">
        <f t="shared" si="169"/>
        <v>14.108238932952284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-2.3055690689943731E-13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436.50252985867149</v>
      </c>
      <c r="CE202" s="59">
        <f t="shared" si="207"/>
        <v>419.00806288456329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11.678677215239489</v>
      </c>
      <c r="CL202" s="21">
        <f>EXP(-LN(2)/25)*CL201+(1-EXP(-LN(2)/25))/(LN(2)/25)*Calculateur!CG202*Calculateur!CI202*VLOOKUP('Données projet'!$B$12,Paramètres!$A$1:$I$89,3,0)*0.475*44/12</f>
        <v>0.15403930917210179</v>
      </c>
      <c r="CM202" s="21">
        <f>EXP(-LN(2)/2)*CM201+(1-EXP(-LN(2)/2))/(LN(2)/2)*CG202*CJ202*VLOOKUP('Données projet'!$B$12,Paramètres!$A$1:$I$89,3,0)*0.475*44/12</f>
        <v>7.2113838036410318E-17</v>
      </c>
      <c r="CN202" s="22">
        <f t="shared" si="172"/>
        <v>11.832716524411591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-2.8421709430404007E-13</v>
      </c>
      <c r="CU202" s="17">
        <f>CT202*VLOOKUP('Données projet'!$B$13,Paramètres!$A$1:$I$89,3,0)*VLOOKUP('Données projet'!$B$13,Paramètres!$A$1:$I$89,5,0)</f>
        <v>-2.7489477361086758E-13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508.3185483454435</v>
      </c>
      <c r="CZ202" s="59">
        <f t="shared" si="208"/>
        <v>487.08233034004945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13.924576679708624</v>
      </c>
      <c r="DG202" s="21">
        <f>EXP(-LN(2)/25)*DG201+(1-EXP(-LN(2)/25))/(LN(2)/25)*Calculateur!DB202*Calculateur!DD202*VLOOKUP('Données projet'!$B$13,Paramètres!$A$1:$I$89,3,0)*0.475*44/12</f>
        <v>0.18366225324366001</v>
      </c>
      <c r="DH202" s="21">
        <f>EXP(-LN(2)/2)*DH201+(1-EXP(-LN(2)/2))/(LN(2)/2)*DB202*DE202*VLOOKUP('Données projet'!$B$13,Paramètres!$A$1:$I$89,3,0)*0.475*44/12</f>
        <v>8.598188381264289E-17</v>
      </c>
      <c r="DI202" s="22">
        <f t="shared" si="175"/>
        <v>14.108238932952284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-2.8421709430404007E-13</v>
      </c>
      <c r="DP202" s="17">
        <f>DO202*VLOOKUP('Données projet'!$B$14,Paramètres!$A$1:$I$89,3,0)*VLOOKUP('Données projet'!$B$14,Paramètres!$A$1:$I$89,5,0)</f>
        <v>-2.7489477361086758E-13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508.3185483454435</v>
      </c>
      <c r="DU202" s="59">
        <f t="shared" si="209"/>
        <v>487.08233034004945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13.924576679708624</v>
      </c>
      <c r="EB202" s="21">
        <f>EXP(-LN(2)/25)*EB201+(1-EXP(-LN(2)/25))/(LN(2)/25)*Calculateur!DW202*Calculateur!DY202*VLOOKUP('Données projet'!$B$14,Paramètres!$A$1:$I$89,3,0)*0.475*44/12</f>
        <v>0.18366225324366001</v>
      </c>
      <c r="EC202" s="21">
        <f>EXP(-LN(2)/2)*EC201+(1-EXP(-LN(2)/2))/(LN(2)/2)*DW202*DZ202*VLOOKUP('Données projet'!$B$14,Paramètres!$A$1:$I$89,3,0)*0.475*44/12</f>
        <v>8.598188381264289E-17</v>
      </c>
      <c r="ED202" s="22">
        <f t="shared" si="178"/>
        <v>14.108238932952284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-7.9580786405131221E-13</v>
      </c>
      <c r="O203" s="13">
        <f>N203*VLOOKUP('Données projet'!$B$9,Paramètres!$A$1:$I$89,3,0)*VLOOKUP('Données projet'!$B$9,Paramètres!$A$1:$I$89,5,0)</f>
        <v>-7.2004695539362725E-13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569.49435820174267</v>
      </c>
      <c r="T203" s="59">
        <f t="shared" si="204"/>
        <v>295.37730858134739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73.381224852508524</v>
      </c>
      <c r="AA203" s="21">
        <f>EXP(-LN(2)/25)*AA202+(1-EXP(-LN(2)/25))/(LN(2)/25)*Calculateur!V203*Calculateur!X203*VLOOKUP('Données projet'!$B$9,Paramètres!$A$1:$I$89,3,0)*0.475*44/12</f>
        <v>8.6043682935627857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81.985593146071309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-7.9580786405131221E-13</v>
      </c>
      <c r="AJ203" s="13">
        <f>AI203*VLOOKUP('Données projet'!$B$10,Paramètres!$A$1:$I$89,3,0)*VLOOKUP('Données projet'!$B$10,Paramètres!$A$1:$I$89,5,0)</f>
        <v>-8.0694917414803056E-13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627.83896530587367</v>
      </c>
      <c r="AO203" s="59">
        <f t="shared" si="205"/>
        <v>323.54927030899489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82.237579576087157</v>
      </c>
      <c r="AV203" s="21">
        <f>EXP(-LN(2)/25)*AV202+(1-EXP(-LN(2)/25))/(LN(2)/25)*Calculateur!AQ203*Calculateur!AS203*VLOOKUP('Données projet'!$B$10,Paramètres!$A$1:$I$89,3,0)*0.475*44/12</f>
        <v>9.6428265358893359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91.880406111976498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-2.7489477361086758E-13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508.3185483454435</v>
      </c>
      <c r="BJ203" s="59">
        <f t="shared" si="206"/>
        <v>487.08233034004945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13.651524224172682</v>
      </c>
      <c r="BQ203" s="21">
        <f>EXP(-LN(2)/25)*BQ202+(1-EXP(-LN(2)/25))/(LN(2)/25)*Calculateur!BL203*Calculateur!BN203*VLOOKUP('Données projet'!$B$11,Paramètres!$A$1:$I$89,3,0)*0.475*44/12</f>
        <v>0.178639999270334</v>
      </c>
      <c r="BR203" s="21">
        <f>EXP(-LN(2)/2)*BR202+(1-EXP(-LN(2)/2))/(LN(2)/2)*BL203*BO203*VLOOKUP('Données projet'!$B$11,Paramètres!$A$1:$I$89,3,0)*0.475*44/12</f>
        <v>6.0798373103113628E-17</v>
      </c>
      <c r="BS203" s="22">
        <f t="shared" si="169"/>
        <v>13.830164223443017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-2.3055690689943731E-13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436.50252985867149</v>
      </c>
      <c r="CE203" s="59">
        <f t="shared" si="207"/>
        <v>419.00806288456329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11.449665478338378</v>
      </c>
      <c r="CL203" s="21">
        <f>EXP(-LN(2)/25)*CL202+(1-EXP(-LN(2)/25))/(LN(2)/25)*Calculateur!CG203*Calculateur!CI203*VLOOKUP('Données projet'!$B$12,Paramètres!$A$1:$I$89,3,0)*0.475*44/12</f>
        <v>0.14982709616221546</v>
      </c>
      <c r="CM203" s="21">
        <f>EXP(-LN(2)/2)*CM202+(1-EXP(-LN(2)/2))/(LN(2)/2)*CG203*CJ203*VLOOKUP('Données projet'!$B$12,Paramètres!$A$1:$I$89,3,0)*0.475*44/12</f>
        <v>5.0992183892934119E-17</v>
      </c>
      <c r="CN203" s="22">
        <f t="shared" si="172"/>
        <v>11.599492574500594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-2.8421709430404007E-13</v>
      </c>
      <c r="CU203" s="17">
        <f>CT203*VLOOKUP('Données projet'!$B$13,Paramètres!$A$1:$I$89,3,0)*VLOOKUP('Données projet'!$B$13,Paramètres!$A$1:$I$89,5,0)</f>
        <v>-2.7489477361086758E-13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508.3185483454435</v>
      </c>
      <c r="CZ203" s="59">
        <f t="shared" si="208"/>
        <v>487.08233034004945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13.651524224172682</v>
      </c>
      <c r="DG203" s="21">
        <f>EXP(-LN(2)/25)*DG202+(1-EXP(-LN(2)/25))/(LN(2)/25)*Calculateur!DB203*Calculateur!DD203*VLOOKUP('Données projet'!$B$13,Paramètres!$A$1:$I$89,3,0)*0.475*44/12</f>
        <v>0.178639999270334</v>
      </c>
      <c r="DH203" s="21">
        <f>EXP(-LN(2)/2)*DH202+(1-EXP(-LN(2)/2))/(LN(2)/2)*DB203*DE203*VLOOKUP('Données projet'!$B$13,Paramètres!$A$1:$I$89,3,0)*0.475*44/12</f>
        <v>6.0798373103113628E-17</v>
      </c>
      <c r="DI203" s="22">
        <f t="shared" si="175"/>
        <v>13.830164223443017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-2.8421709430404007E-13</v>
      </c>
      <c r="DP203" s="17">
        <f>DO203*VLOOKUP('Données projet'!$B$14,Paramètres!$A$1:$I$89,3,0)*VLOOKUP('Données projet'!$B$14,Paramètres!$A$1:$I$89,5,0)</f>
        <v>-2.7489477361086758E-13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508.3185483454435</v>
      </c>
      <c r="DU203" s="59">
        <f t="shared" si="209"/>
        <v>487.08233034004945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13.651524224172682</v>
      </c>
      <c r="EB203" s="21">
        <f>EXP(-LN(2)/25)*EB202+(1-EXP(-LN(2)/25))/(LN(2)/25)*Calculateur!DW203*Calculateur!DY203*VLOOKUP('Données projet'!$B$14,Paramètres!$A$1:$I$89,3,0)*0.475*44/12</f>
        <v>0.178639999270334</v>
      </c>
      <c r="EC203" s="21">
        <f>EXP(-LN(2)/2)*EC202+(1-EXP(-LN(2)/2))/(LN(2)/2)*DW203*DZ203*VLOOKUP('Données projet'!$B$14,Paramètres!$A$1:$I$89,3,0)*0.475*44/12</f>
        <v>6.0798373103113628E-17</v>
      </c>
      <c r="ED203" s="22">
        <f t="shared" si="178"/>
        <v>13.830164223443017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1.1480333746076383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1.1480333746076383</v>
      </c>
      <c r="BA205" s="82">
        <f>EXP(LN('Données projet'!B88)/'Données projet'!A88)</f>
        <v>1.3423796509621049</v>
      </c>
      <c r="BV205" s="82">
        <f>EXP(LN('Données projet'!B114)/'Données projet'!A114)</f>
        <v>1.3423796509621049</v>
      </c>
      <c r="CQ205" s="82">
        <f>EXP(LN('Données projet'!B140)/'Données projet'!A140)</f>
        <v>1.3423796509621049</v>
      </c>
      <c r="DL205" s="82">
        <f>EXP(LN('Données projet'!B166)/'Données projet'!A166)</f>
        <v>1.3423796509621049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0.87392500000000006</v>
      </c>
      <c r="C6" s="147">
        <f ca="1">IF(OR('Données projet'!B9="",'Données projet'!C9="",'Données projet'!C9=0%),0,Calculateur!S3)</f>
        <v>569.49435820174267</v>
      </c>
      <c r="D6" s="147">
        <f>IF(OR('Données projet'!B9="",'Données projet'!C9="",'Données projet'!C9=0%),0,Calculateur!T3)</f>
        <v>295.37730858134739</v>
      </c>
      <c r="E6" s="147">
        <f ca="1">MIN(C6,D6)</f>
        <v>295.37730858134739</v>
      </c>
      <c r="F6" s="147">
        <f ca="1">E6*B6</f>
        <v>258.13761440195401</v>
      </c>
      <c r="G6" s="147">
        <f ca="1">F6*(100%-'Données projet'!$C$24)*(100%-'Données projet'!$C$25)*(100%-'Données projet'!$C$26)*(100%-'Données projet'!$C$27)</f>
        <v>232.3238529617586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232.3238529617586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0.87392500000000006</v>
      </c>
      <c r="C7" s="147">
        <f ca="1">IF(OR('Données projet'!B10="",'Données projet'!C10="",'Données projet'!C10=0%),0,Calculateur!AN3)</f>
        <v>627.83896530587367</v>
      </c>
      <c r="D7" s="147">
        <f>IF(OR('Données projet'!B10="",'Données projet'!C10="",'Données projet'!C10=0%),0,Calculateur!AO3)</f>
        <v>323.54927030899489</v>
      </c>
      <c r="E7" s="147">
        <f t="shared" ref="E7:E15" ca="1" si="0">MIN(C7,D7)</f>
        <v>323.54927030899489</v>
      </c>
      <c r="F7" s="147">
        <f t="shared" ref="F7:F15" ca="1" si="1">E7*B7</f>
        <v>282.7577960547884</v>
      </c>
      <c r="G7" s="147">
        <f ca="1">F7*(100%-'Données projet'!$C$24)*(100%-'Données projet'!$C$25)*(100%-'Données projet'!$C$26)*(100%-'Données projet'!$C$27)</f>
        <v>254.48201644930955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254.48201644930955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Alisier torminal</v>
      </c>
      <c r="B8" s="154">
        <f>'Données projet'!D11</f>
        <v>0.26890000000000003</v>
      </c>
      <c r="C8" s="147">
        <f ca="1">IF(OR('Données projet'!B11="",'Données projet'!C11="",'Données projet'!C11=0%),0,Calculateur!BI3)</f>
        <v>508.3185483454435</v>
      </c>
      <c r="D8" s="147">
        <f>IF(OR('Données projet'!B11="",'Données projet'!C11="",'Données projet'!C11=0%),0,Calculateur!BJ3)</f>
        <v>487.08233034004945</v>
      </c>
      <c r="E8" s="147">
        <f t="shared" ca="1" si="0"/>
        <v>487.08233034004945</v>
      </c>
      <c r="F8" s="147">
        <f t="shared" ca="1" si="1"/>
        <v>130.97643862843933</v>
      </c>
      <c r="G8" s="147">
        <f ca="1">F8*(100%-'Données projet'!$C$24)*(100%-'Données projet'!$C$25)*(100%-'Données projet'!$C$26)*(100%-'Données projet'!$C$27)</f>
        <v>117.8787947655954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11.764375000000001</v>
      </c>
      <c r="K8" s="151">
        <f>J8*(100%-'Données projet'!$C$24)*(100%-'Données projet'!$C$25)*(100%-'Données projet'!$C$26)*(100%-'Données projet'!$C$27)</f>
        <v>10.587937500000001</v>
      </c>
      <c r="L8" s="152">
        <f t="shared" ca="1" si="2"/>
        <v>128.4667322655954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Orme</v>
      </c>
      <c r="B9" s="154">
        <f>'Données projet'!D12</f>
        <v>0.40334999999999999</v>
      </c>
      <c r="C9" s="147">
        <f ca="1">IF(OR('Données projet'!B12="",'Données projet'!C12="",'Données projet'!C12=0%),0,Calculateur!CD3)</f>
        <v>436.50252985867149</v>
      </c>
      <c r="D9" s="147">
        <f>IF(OR('Données projet'!B12="",'Données projet'!C12="",'Données projet'!C12=0%),0,Calculateur!CE3)</f>
        <v>419.00806288456329</v>
      </c>
      <c r="E9" s="147">
        <f t="shared" ca="1" si="0"/>
        <v>419.00806288456329</v>
      </c>
      <c r="F9" s="147">
        <f t="shared" ca="1" si="1"/>
        <v>169.00690216448859</v>
      </c>
      <c r="G9" s="147">
        <f ca="1">F9*(100%-'Données projet'!$C$24)*(100%-'Données projet'!$C$25)*(100%-'Données projet'!$C$26)*(100%-'Données projet'!$C$27)</f>
        <v>152.10621194803974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17.646562499999998</v>
      </c>
      <c r="K9" s="151">
        <f>J9*(100%-'Données projet'!$C$24)*(100%-'Données projet'!$C$25)*(100%-'Données projet'!$C$26)*(100%-'Données projet'!$C$27)</f>
        <v>15.881906249999998</v>
      </c>
      <c r="L9" s="152">
        <f t="shared" ca="1" si="2"/>
        <v>167.98811819803973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Alisier torminal</v>
      </c>
      <c r="B10" s="154">
        <f>'Données projet'!D13</f>
        <v>0.13445000000000001</v>
      </c>
      <c r="C10" s="147">
        <f ca="1">IF(OR('Données projet'!B13="",'Données projet'!C13="",'Données projet'!C13=0%),0,Calculateur!CY3)</f>
        <v>508.3185483454435</v>
      </c>
      <c r="D10" s="147">
        <f>IF(OR('Données projet'!B13="",'Données projet'!C13="",'Données projet'!C13=0%),0,Calculateur!CZ3)</f>
        <v>487.08233034004945</v>
      </c>
      <c r="E10" s="147">
        <f t="shared" ca="1" si="0"/>
        <v>487.08233034004945</v>
      </c>
      <c r="F10" s="147">
        <f t="shared" ca="1" si="1"/>
        <v>65.488219314219663</v>
      </c>
      <c r="G10" s="147">
        <f ca="1">F10*(100%-'Données projet'!$C$24)*(100%-'Données projet'!$C$25)*(100%-'Données projet'!$C$26)*(100%-'Données projet'!$C$27)</f>
        <v>58.939397382797701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5.8821875000000006</v>
      </c>
      <c r="K10" s="151">
        <f>J10*(100%-'Données projet'!$C$24)*(100%-'Données projet'!$C$25)*(100%-'Données projet'!$C$26)*(100%-'Données projet'!$C$27)</f>
        <v>5.2939687500000003</v>
      </c>
      <c r="L10" s="152">
        <f t="shared" ca="1" si="2"/>
        <v>64.233366132797698</v>
      </c>
      <c r="M10" s="23" t="s">
        <v>324</v>
      </c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Alisier torminal</v>
      </c>
      <c r="B11" s="154">
        <f>'Données projet'!D14</f>
        <v>0.13445000000000001</v>
      </c>
      <c r="C11" s="147">
        <f ca="1">IF(OR('Données projet'!B14="",'Données projet'!C14="",'Données projet'!C14=0%),0,Calculateur!DT3)</f>
        <v>508.3185483454435</v>
      </c>
      <c r="D11" s="147">
        <f>IF(OR('Données projet'!B14="",'Données projet'!C14="",'Données projet'!C14=0%),0,Calculateur!DU3)</f>
        <v>487.08233034004945</v>
      </c>
      <c r="E11" s="147">
        <f t="shared" ca="1" si="0"/>
        <v>487.08233034004945</v>
      </c>
      <c r="F11" s="147">
        <f t="shared" ca="1" si="1"/>
        <v>65.488219314219663</v>
      </c>
      <c r="G11" s="147">
        <f ca="1">F11*(100%-'Données projet'!$C$24)*(100%-'Données projet'!$C$25)*(100%-'Données projet'!$C$26)*(100%-'Données projet'!$C$27)</f>
        <v>58.939397382797701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5.8821875000000006</v>
      </c>
      <c r="K11" s="151">
        <f>J11*(100%-'Données projet'!$C$24)*(100%-'Données projet'!$C$25)*(100%-'Données projet'!$C$26)*(100%-'Données projet'!$C$27)</f>
        <v>5.2939687500000003</v>
      </c>
      <c r="L11" s="152">
        <f t="shared" ca="1" si="2"/>
        <v>64.233366132797698</v>
      </c>
      <c r="M11" s="23" t="s">
        <v>325</v>
      </c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971.85518987810974</v>
      </c>
      <c r="G16" s="166">
        <f t="shared" ca="1" si="3"/>
        <v>874.66967089029868</v>
      </c>
      <c r="H16" s="167">
        <f t="shared" si="3"/>
        <v>0</v>
      </c>
      <c r="I16" s="167">
        <f t="shared" si="3"/>
        <v>0</v>
      </c>
      <c r="J16" s="168">
        <f t="shared" si="3"/>
        <v>41.175312500000004</v>
      </c>
      <c r="K16" s="168">
        <f t="shared" si="3"/>
        <v>37.057781249999998</v>
      </c>
      <c r="L16" s="169">
        <f t="shared" ca="1" si="3"/>
        <v>911.72745214029874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Orme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80" zoomScaleNormal="80" workbookViewId="0">
      <selection activeCell="I20" sqref="I20:I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471.49124729379758</v>
      </c>
      <c r="U10" s="178">
        <f>'Données projet'!D9</f>
        <v>0.87392500000000006</v>
      </c>
      <c r="V10" s="177">
        <f>U10*T10</f>
        <v>412.04798829123206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411.80372358315441</v>
      </c>
      <c r="U11" s="178">
        <f>'Données projet'!D10</f>
        <v>0.87392500000000006</v>
      </c>
      <c r="V11" s="177">
        <f t="shared" ref="V11" si="0">U11*T11</f>
        <v>359.88556913240825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Alisier torminal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1529.7075868900267</v>
      </c>
      <c r="U12" s="178">
        <f>'Données projet'!D11</f>
        <v>0.26890000000000003</v>
      </c>
      <c r="V12" s="177">
        <f t="shared" ref="V12:V19" si="1">U12*T12</f>
        <v>411.33837011472821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Orme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1529.7075868900267</v>
      </c>
      <c r="U13" s="178">
        <f>'Données projet'!D12</f>
        <v>0.40334999999999999</v>
      </c>
      <c r="V13" s="177">
        <f t="shared" si="1"/>
        <v>617.00755517209222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Alisier torminal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1529.7075868900267</v>
      </c>
      <c r="U14" s="178">
        <f>'Données projet'!D13</f>
        <v>0.13445000000000001</v>
      </c>
      <c r="V14" s="177">
        <f t="shared" si="1"/>
        <v>205.6691850573641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1529.7075868900267</v>
      </c>
      <c r="U15" s="178">
        <f>'Données projet'!D14</f>
        <v>0.13445000000000001</v>
      </c>
      <c r="V15" s="177">
        <f t="shared" si="1"/>
        <v>205.6691850573641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12120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36</v>
      </c>
      <c r="B23" s="181">
        <f>'Données projet'!D36</f>
        <v>35</v>
      </c>
      <c r="C23" s="193">
        <v>8</v>
      </c>
      <c r="D23" s="182">
        <f>B23*C23</f>
        <v>280</v>
      </c>
      <c r="E23" s="193"/>
      <c r="F23" s="230"/>
      <c r="H23" s="190">
        <v>5</v>
      </c>
      <c r="I23" s="191">
        <v>750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-35694.580777652904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44</v>
      </c>
      <c r="B24" s="181">
        <f>'Données projet'!D37</f>
        <v>46</v>
      </c>
      <c r="C24" s="193">
        <v>9</v>
      </c>
      <c r="D24" s="182">
        <f t="shared" ref="D24:D42" si="2">B24*C24</f>
        <v>414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52</v>
      </c>
      <c r="B25" s="181">
        <f>'Données projet'!D38</f>
        <v>63</v>
      </c>
      <c r="C25" s="193">
        <v>9</v>
      </c>
      <c r="D25" s="182">
        <f t="shared" si="2"/>
        <v>567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-35694.580777652904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60</v>
      </c>
      <c r="B26" s="181">
        <f>'Données projet'!D39</f>
        <v>54</v>
      </c>
      <c r="C26" s="193">
        <v>9</v>
      </c>
      <c r="D26" s="182">
        <f t="shared" si="2"/>
        <v>486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69</v>
      </c>
      <c r="B27" s="181">
        <f>'Données projet'!D40</f>
        <v>51</v>
      </c>
      <c r="C27" s="193">
        <v>9</v>
      </c>
      <c r="D27" s="182">
        <f t="shared" si="2"/>
        <v>459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78</v>
      </c>
      <c r="B28" s="181">
        <f>'Données projet'!D41</f>
        <v>49</v>
      </c>
      <c r="C28" s="193">
        <v>14.2</v>
      </c>
      <c r="D28" s="182">
        <f t="shared" si="2"/>
        <v>695.8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87</v>
      </c>
      <c r="B29" s="181">
        <f>'Données projet'!D42</f>
        <v>45</v>
      </c>
      <c r="C29" s="193">
        <v>24.3</v>
      </c>
      <c r="D29" s="182">
        <f t="shared" si="2"/>
        <v>1093.5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96</v>
      </c>
      <c r="B30" s="181">
        <f>'Données projet'!D43</f>
        <v>44</v>
      </c>
      <c r="C30" s="193">
        <v>57.4</v>
      </c>
      <c r="D30" s="182">
        <f t="shared" si="2"/>
        <v>2525.6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105</v>
      </c>
      <c r="B31" s="181">
        <f>'Données projet'!D44</f>
        <v>43</v>
      </c>
      <c r="C31" s="193">
        <v>93.6</v>
      </c>
      <c r="D31" s="182">
        <f t="shared" si="2"/>
        <v>4024.7999999999997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114</v>
      </c>
      <c r="B32" s="181">
        <f>'Données projet'!D45</f>
        <v>43</v>
      </c>
      <c r="C32" s="193">
        <v>93.6</v>
      </c>
      <c r="D32" s="182">
        <f t="shared" si="2"/>
        <v>4024.7999999999997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123</v>
      </c>
      <c r="B33" s="181">
        <f>'Données projet'!D46</f>
        <v>41</v>
      </c>
      <c r="C33" s="193">
        <v>93.6</v>
      </c>
      <c r="D33" s="182">
        <f t="shared" si="2"/>
        <v>3837.6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132</v>
      </c>
      <c r="B34" s="181">
        <f>'Données projet'!D47</f>
        <v>42</v>
      </c>
      <c r="C34" s="193">
        <v>93.6</v>
      </c>
      <c r="D34" s="182">
        <f t="shared" si="2"/>
        <v>3931.2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141</v>
      </c>
      <c r="B35" s="181">
        <f>'Données projet'!D48</f>
        <v>45</v>
      </c>
      <c r="C35" s="193">
        <v>93.6</v>
      </c>
      <c r="D35" s="182">
        <f t="shared" si="2"/>
        <v>4212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153</v>
      </c>
      <c r="B36" s="181">
        <f>'Données projet'!D49</f>
        <v>481</v>
      </c>
      <c r="C36" s="193">
        <v>93.6</v>
      </c>
      <c r="D36" s="182">
        <f t="shared" si="2"/>
        <v>45021.599999999999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36</v>
      </c>
      <c r="B54" s="181">
        <f>'Données projet'!D62</f>
        <v>35</v>
      </c>
      <c r="C54" s="191">
        <v>8</v>
      </c>
      <c r="D54" s="179">
        <f>B54*C54</f>
        <v>280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44</v>
      </c>
      <c r="B55" s="181">
        <f>'Données projet'!D63</f>
        <v>46</v>
      </c>
      <c r="C55" s="191">
        <v>9</v>
      </c>
      <c r="D55" s="179">
        <f t="shared" ref="D55:D73" si="4">B55*C55</f>
        <v>414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52</v>
      </c>
      <c r="B56" s="181">
        <f>'Données projet'!D64</f>
        <v>63</v>
      </c>
      <c r="C56" s="191">
        <v>9</v>
      </c>
      <c r="D56" s="179">
        <f t="shared" si="4"/>
        <v>567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60</v>
      </c>
      <c r="B57" s="181">
        <f>'Données projet'!D65</f>
        <v>54</v>
      </c>
      <c r="C57" s="191">
        <v>9</v>
      </c>
      <c r="D57" s="179">
        <f t="shared" si="4"/>
        <v>486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69</v>
      </c>
      <c r="B58" s="181">
        <f>'Données projet'!D66</f>
        <v>51</v>
      </c>
      <c r="C58" s="191">
        <v>9</v>
      </c>
      <c r="D58" s="179">
        <f t="shared" si="4"/>
        <v>459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78</v>
      </c>
      <c r="B59" s="181">
        <f>'Données projet'!D67</f>
        <v>49</v>
      </c>
      <c r="C59" s="191">
        <v>14.2</v>
      </c>
      <c r="D59" s="179">
        <f t="shared" si="4"/>
        <v>695.8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87</v>
      </c>
      <c r="B60" s="181">
        <f>'Données projet'!D68</f>
        <v>45</v>
      </c>
      <c r="C60" s="191">
        <v>24.3</v>
      </c>
      <c r="D60" s="179">
        <f t="shared" si="4"/>
        <v>1093.5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96</v>
      </c>
      <c r="B61" s="181">
        <f>'Données projet'!D69</f>
        <v>44</v>
      </c>
      <c r="C61" s="191">
        <v>57.4</v>
      </c>
      <c r="D61" s="179">
        <f t="shared" si="4"/>
        <v>2525.6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105</v>
      </c>
      <c r="B62" s="181">
        <f>'Données projet'!D70</f>
        <v>43</v>
      </c>
      <c r="C62" s="191">
        <v>93.6</v>
      </c>
      <c r="D62" s="179">
        <f t="shared" si="4"/>
        <v>4024.7999999999997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114</v>
      </c>
      <c r="B63" s="181">
        <f>'Données projet'!D71</f>
        <v>43</v>
      </c>
      <c r="C63" s="191">
        <v>93.6</v>
      </c>
      <c r="D63" s="179">
        <f t="shared" si="4"/>
        <v>4024.7999999999997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123</v>
      </c>
      <c r="B64" s="181">
        <f>'Données projet'!D72</f>
        <v>41</v>
      </c>
      <c r="C64" s="191">
        <v>93.6</v>
      </c>
      <c r="D64" s="179">
        <f t="shared" si="4"/>
        <v>3837.6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132</v>
      </c>
      <c r="B65" s="181">
        <f>'Données projet'!D73</f>
        <v>42</v>
      </c>
      <c r="C65" s="191">
        <v>93.6</v>
      </c>
      <c r="D65" s="179">
        <f t="shared" si="4"/>
        <v>3931.2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141</v>
      </c>
      <c r="B66" s="181">
        <f>'Données projet'!D74</f>
        <v>45</v>
      </c>
      <c r="C66" s="191">
        <v>93.6</v>
      </c>
      <c r="D66" s="179">
        <f t="shared" si="4"/>
        <v>4212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153</v>
      </c>
      <c r="B67" s="181">
        <f>'Données projet'!D75</f>
        <v>481</v>
      </c>
      <c r="C67" s="191">
        <v>93.6</v>
      </c>
      <c r="D67" s="179">
        <f t="shared" si="4"/>
        <v>45021.599999999999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Alisier torminal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7</v>
      </c>
      <c r="C85" s="191">
        <v>8</v>
      </c>
      <c r="D85" s="179">
        <f>B85*C85</f>
        <v>56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15</v>
      </c>
      <c r="B86" s="181">
        <f>'Données projet'!D89</f>
        <v>42</v>
      </c>
      <c r="C86" s="191">
        <v>8</v>
      </c>
      <c r="D86" s="179">
        <f t="shared" ref="D86:D104" si="6">B86*C86</f>
        <v>336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20</v>
      </c>
      <c r="B87" s="181">
        <f>'Données projet'!D90</f>
        <v>42</v>
      </c>
      <c r="C87" s="191">
        <v>8</v>
      </c>
      <c r="D87" s="179">
        <f t="shared" si="6"/>
        <v>336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25</v>
      </c>
      <c r="B88" s="181">
        <f>'Données projet'!D91</f>
        <v>42</v>
      </c>
      <c r="C88" s="191">
        <v>8</v>
      </c>
      <c r="D88" s="179">
        <f t="shared" si="6"/>
        <v>336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30</v>
      </c>
      <c r="B89" s="181">
        <f>'Données projet'!D92</f>
        <v>42</v>
      </c>
      <c r="C89" s="191">
        <v>8</v>
      </c>
      <c r="D89" s="179">
        <f t="shared" si="6"/>
        <v>336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35</v>
      </c>
      <c r="B90" s="181">
        <f>'Données projet'!D93</f>
        <v>42</v>
      </c>
      <c r="C90" s="191">
        <v>11.000000000000002</v>
      </c>
      <c r="D90" s="179">
        <f t="shared" si="6"/>
        <v>462.00000000000006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40</v>
      </c>
      <c r="B91" s="181">
        <f>'Données projet'!D94</f>
        <v>40</v>
      </c>
      <c r="C91" s="191">
        <v>14.799999999999999</v>
      </c>
      <c r="D91" s="179">
        <f t="shared" si="6"/>
        <v>592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45</v>
      </c>
      <c r="B92" s="181">
        <f>'Données projet'!D95</f>
        <v>26</v>
      </c>
      <c r="C92" s="191">
        <v>22.8</v>
      </c>
      <c r="D92" s="179">
        <f t="shared" si="6"/>
        <v>592.80000000000007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50</v>
      </c>
      <c r="B93" s="181">
        <f>'Données projet'!D96</f>
        <v>21</v>
      </c>
      <c r="C93" s="191">
        <v>30.8</v>
      </c>
      <c r="D93" s="179">
        <f t="shared" si="6"/>
        <v>646.80000000000007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55</v>
      </c>
      <c r="B94" s="181">
        <f>'Données projet'!D97</f>
        <v>18</v>
      </c>
      <c r="C94" s="191">
        <v>38.599999999999994</v>
      </c>
      <c r="D94" s="179">
        <f t="shared" si="6"/>
        <v>694.8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60</v>
      </c>
      <c r="B95" s="181">
        <f>'Données projet'!D98</f>
        <v>17</v>
      </c>
      <c r="C95" s="191">
        <v>38.599999999999994</v>
      </c>
      <c r="D95" s="179">
        <f t="shared" si="6"/>
        <v>656.19999999999993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65</v>
      </c>
      <c r="B96" s="181">
        <f>'Données projet'!D99</f>
        <v>16</v>
      </c>
      <c r="C96" s="191">
        <v>38.599999999999994</v>
      </c>
      <c r="D96" s="179">
        <f t="shared" si="6"/>
        <v>617.59999999999991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70</v>
      </c>
      <c r="B97" s="181">
        <f>'Données projet'!D100</f>
        <v>15</v>
      </c>
      <c r="C97" s="191">
        <v>38.599999999999994</v>
      </c>
      <c r="D97" s="179">
        <f t="shared" si="6"/>
        <v>578.99999999999989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75</v>
      </c>
      <c r="B98" s="181">
        <f>'Données projet'!D101</f>
        <v>14</v>
      </c>
      <c r="C98" s="191">
        <v>38.599999999999994</v>
      </c>
      <c r="D98" s="179">
        <f t="shared" si="6"/>
        <v>540.39999999999986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80</v>
      </c>
      <c r="B99" s="181">
        <f>'Données projet'!D102</f>
        <v>381</v>
      </c>
      <c r="C99" s="191">
        <v>38.599999999999994</v>
      </c>
      <c r="D99" s="179">
        <f t="shared" si="6"/>
        <v>14706.599999999999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Orme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7</v>
      </c>
      <c r="C116" s="191">
        <v>8</v>
      </c>
      <c r="D116" s="179">
        <f>B116*C116</f>
        <v>56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15</v>
      </c>
      <c r="B117" s="181">
        <f>'Données projet'!D115</f>
        <v>42</v>
      </c>
      <c r="C117" s="191">
        <v>8</v>
      </c>
      <c r="D117" s="179">
        <f t="shared" ref="D117:D135" si="8">B117*C117</f>
        <v>336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20</v>
      </c>
      <c r="B118" s="181">
        <f>'Données projet'!D116</f>
        <v>42</v>
      </c>
      <c r="C118" s="191">
        <v>8</v>
      </c>
      <c r="D118" s="179">
        <f t="shared" si="8"/>
        <v>336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25</v>
      </c>
      <c r="B119" s="181">
        <f>'Données projet'!D117</f>
        <v>42</v>
      </c>
      <c r="C119" s="191">
        <v>8</v>
      </c>
      <c r="D119" s="179">
        <f t="shared" si="8"/>
        <v>336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30</v>
      </c>
      <c r="B120" s="181">
        <f>'Données projet'!D118</f>
        <v>42</v>
      </c>
      <c r="C120" s="191">
        <v>8</v>
      </c>
      <c r="D120" s="179">
        <f t="shared" si="8"/>
        <v>336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35</v>
      </c>
      <c r="B121" s="181">
        <f>'Données projet'!D119</f>
        <v>42</v>
      </c>
      <c r="C121" s="191">
        <v>11.000000000000002</v>
      </c>
      <c r="D121" s="179">
        <f t="shared" si="8"/>
        <v>462.00000000000006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40</v>
      </c>
      <c r="B122" s="181">
        <f>'Données projet'!D120</f>
        <v>40</v>
      </c>
      <c r="C122" s="191">
        <v>14.799999999999999</v>
      </c>
      <c r="D122" s="179">
        <f t="shared" si="8"/>
        <v>592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45</v>
      </c>
      <c r="B123" s="181">
        <f>'Données projet'!D121</f>
        <v>26</v>
      </c>
      <c r="C123" s="191">
        <v>22.8</v>
      </c>
      <c r="D123" s="179">
        <f t="shared" si="8"/>
        <v>592.80000000000007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50</v>
      </c>
      <c r="B124" s="181">
        <f>'Données projet'!D122</f>
        <v>21</v>
      </c>
      <c r="C124" s="191">
        <v>30.8</v>
      </c>
      <c r="D124" s="179">
        <f t="shared" si="8"/>
        <v>646.80000000000007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55</v>
      </c>
      <c r="B125" s="181">
        <f>'Données projet'!D123</f>
        <v>18</v>
      </c>
      <c r="C125" s="191">
        <v>38.599999999999994</v>
      </c>
      <c r="D125" s="179">
        <f t="shared" si="8"/>
        <v>694.8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60</v>
      </c>
      <c r="B126" s="181">
        <f>'Données projet'!D124</f>
        <v>17</v>
      </c>
      <c r="C126" s="191">
        <v>38.599999999999994</v>
      </c>
      <c r="D126" s="179">
        <f t="shared" si="8"/>
        <v>656.19999999999993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65</v>
      </c>
      <c r="B127" s="181">
        <f>'Données projet'!D125</f>
        <v>16</v>
      </c>
      <c r="C127" s="191">
        <v>38.599999999999994</v>
      </c>
      <c r="D127" s="179">
        <f t="shared" si="8"/>
        <v>617.59999999999991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70</v>
      </c>
      <c r="B128" s="181">
        <f>'Données projet'!D126</f>
        <v>15</v>
      </c>
      <c r="C128" s="191">
        <v>38.599999999999994</v>
      </c>
      <c r="D128" s="179">
        <f t="shared" si="8"/>
        <v>578.99999999999989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75</v>
      </c>
      <c r="B129" s="181">
        <f>'Données projet'!D127</f>
        <v>14</v>
      </c>
      <c r="C129" s="191">
        <v>38.599999999999994</v>
      </c>
      <c r="D129" s="179">
        <f t="shared" si="8"/>
        <v>540.39999999999986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80</v>
      </c>
      <c r="B130" s="181">
        <f>'Données projet'!D128</f>
        <v>381</v>
      </c>
      <c r="C130" s="191">
        <v>38.599999999999994</v>
      </c>
      <c r="D130" s="179">
        <f t="shared" si="8"/>
        <v>14706.599999999999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Alisier torminal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7</v>
      </c>
      <c r="C147" s="191">
        <v>8</v>
      </c>
      <c r="D147" s="182">
        <f>B147*C147</f>
        <v>56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15</v>
      </c>
      <c r="B148" s="175">
        <f>'Données projet'!D141</f>
        <v>42</v>
      </c>
      <c r="C148" s="191">
        <v>8</v>
      </c>
      <c r="D148" s="182">
        <f t="shared" ref="D148:D166" si="10">B148*C148</f>
        <v>336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20</v>
      </c>
      <c r="B149" s="175">
        <f>'Données projet'!D142</f>
        <v>42</v>
      </c>
      <c r="C149" s="191">
        <v>8</v>
      </c>
      <c r="D149" s="182">
        <f t="shared" si="10"/>
        <v>336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25</v>
      </c>
      <c r="B150" s="175">
        <f>'Données projet'!D143</f>
        <v>42</v>
      </c>
      <c r="C150" s="191">
        <v>8</v>
      </c>
      <c r="D150" s="182">
        <f t="shared" si="10"/>
        <v>336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30</v>
      </c>
      <c r="B151" s="175">
        <f>'Données projet'!D144</f>
        <v>42</v>
      </c>
      <c r="C151" s="191">
        <v>8</v>
      </c>
      <c r="D151" s="182">
        <f t="shared" si="10"/>
        <v>336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35</v>
      </c>
      <c r="B152" s="175">
        <f>'Données projet'!D145</f>
        <v>42</v>
      </c>
      <c r="C152" s="191">
        <v>11.000000000000002</v>
      </c>
      <c r="D152" s="182">
        <f t="shared" si="10"/>
        <v>462.00000000000006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40</v>
      </c>
      <c r="B153" s="175">
        <f>'Données projet'!D146</f>
        <v>40</v>
      </c>
      <c r="C153" s="191">
        <v>14.799999999999999</v>
      </c>
      <c r="D153" s="182">
        <f t="shared" si="10"/>
        <v>592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45</v>
      </c>
      <c r="B154" s="175">
        <f>'Données projet'!D147</f>
        <v>26</v>
      </c>
      <c r="C154" s="191">
        <v>22.8</v>
      </c>
      <c r="D154" s="182">
        <f t="shared" si="10"/>
        <v>592.80000000000007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50</v>
      </c>
      <c r="B155" s="175">
        <f>'Données projet'!D148</f>
        <v>21</v>
      </c>
      <c r="C155" s="191">
        <v>30.8</v>
      </c>
      <c r="D155" s="182">
        <f t="shared" si="10"/>
        <v>646.80000000000007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55</v>
      </c>
      <c r="B156" s="175">
        <f>'Données projet'!D149</f>
        <v>18</v>
      </c>
      <c r="C156" s="191">
        <v>38.599999999999994</v>
      </c>
      <c r="D156" s="182">
        <f t="shared" si="10"/>
        <v>694.8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60</v>
      </c>
      <c r="B157" s="175">
        <f>'Données projet'!D150</f>
        <v>17</v>
      </c>
      <c r="C157" s="191">
        <v>38.599999999999994</v>
      </c>
      <c r="D157" s="182">
        <f t="shared" si="10"/>
        <v>656.19999999999993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65</v>
      </c>
      <c r="B158" s="175">
        <f>'Données projet'!D151</f>
        <v>16</v>
      </c>
      <c r="C158" s="191">
        <v>38.599999999999994</v>
      </c>
      <c r="D158" s="182">
        <f t="shared" si="10"/>
        <v>617.59999999999991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70</v>
      </c>
      <c r="B159" s="175">
        <f>'Données projet'!D152</f>
        <v>15</v>
      </c>
      <c r="C159" s="191">
        <v>38.599999999999994</v>
      </c>
      <c r="D159" s="182">
        <f t="shared" si="10"/>
        <v>578.99999999999989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75</v>
      </c>
      <c r="B160" s="175">
        <f>'Données projet'!D153</f>
        <v>14</v>
      </c>
      <c r="C160" s="191">
        <v>38.599999999999994</v>
      </c>
      <c r="D160" s="182">
        <f t="shared" si="10"/>
        <v>540.39999999999986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80</v>
      </c>
      <c r="B161" s="175">
        <f>'Données projet'!D154</f>
        <v>381</v>
      </c>
      <c r="C161" s="191">
        <v>38.599999999999994</v>
      </c>
      <c r="D161" s="182">
        <f t="shared" si="10"/>
        <v>14706.599999999999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7</v>
      </c>
      <c r="C178" s="193">
        <v>8</v>
      </c>
      <c r="D178" s="179">
        <f>B178*C178</f>
        <v>56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15</v>
      </c>
      <c r="B179" s="181">
        <f>'Données projet'!D167</f>
        <v>42</v>
      </c>
      <c r="C179" s="193">
        <v>8</v>
      </c>
      <c r="D179" s="179">
        <f t="shared" ref="D179:D197" si="11">B179*C179</f>
        <v>336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20</v>
      </c>
      <c r="B180" s="181">
        <f>'Données projet'!D168</f>
        <v>42</v>
      </c>
      <c r="C180" s="193">
        <v>8</v>
      </c>
      <c r="D180" s="179">
        <f t="shared" si="11"/>
        <v>336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25</v>
      </c>
      <c r="B181" s="181">
        <f>'Données projet'!D169</f>
        <v>42</v>
      </c>
      <c r="C181" s="193">
        <v>8</v>
      </c>
      <c r="D181" s="179">
        <f t="shared" si="11"/>
        <v>336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30</v>
      </c>
      <c r="B182" s="181">
        <f>'Données projet'!D170</f>
        <v>42</v>
      </c>
      <c r="C182" s="193">
        <v>8</v>
      </c>
      <c r="D182" s="179">
        <f t="shared" si="11"/>
        <v>336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35</v>
      </c>
      <c r="B183" s="181">
        <f>'Données projet'!D171</f>
        <v>42</v>
      </c>
      <c r="C183" s="193">
        <v>11.000000000000002</v>
      </c>
      <c r="D183" s="179">
        <f t="shared" si="11"/>
        <v>462.00000000000006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40</v>
      </c>
      <c r="B184" s="181">
        <f>'Données projet'!D172</f>
        <v>40</v>
      </c>
      <c r="C184" s="193">
        <v>14.799999999999999</v>
      </c>
      <c r="D184" s="179">
        <f t="shared" si="11"/>
        <v>592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45</v>
      </c>
      <c r="B185" s="181">
        <f>'Données projet'!D173</f>
        <v>26</v>
      </c>
      <c r="C185" s="193">
        <v>22.8</v>
      </c>
      <c r="D185" s="179">
        <f t="shared" si="11"/>
        <v>592.80000000000007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50</v>
      </c>
      <c r="B186" s="181">
        <f>'Données projet'!D174</f>
        <v>21</v>
      </c>
      <c r="C186" s="193">
        <v>30.8</v>
      </c>
      <c r="D186" s="179">
        <f t="shared" si="11"/>
        <v>646.80000000000007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55</v>
      </c>
      <c r="B187" s="181">
        <f>'Données projet'!D175</f>
        <v>18</v>
      </c>
      <c r="C187" s="193">
        <v>38.599999999999994</v>
      </c>
      <c r="D187" s="179">
        <f t="shared" si="11"/>
        <v>694.8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60</v>
      </c>
      <c r="B188" s="181">
        <f>'Données projet'!D176</f>
        <v>17</v>
      </c>
      <c r="C188" s="193">
        <v>38.599999999999994</v>
      </c>
      <c r="D188" s="179">
        <f t="shared" si="11"/>
        <v>656.19999999999993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65</v>
      </c>
      <c r="B189" s="181">
        <f>'Données projet'!D177</f>
        <v>16</v>
      </c>
      <c r="C189" s="193">
        <v>38.599999999999994</v>
      </c>
      <c r="D189" s="179">
        <f t="shared" si="11"/>
        <v>617.59999999999991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70</v>
      </c>
      <c r="B190" s="181">
        <f>'Données projet'!D178</f>
        <v>15</v>
      </c>
      <c r="C190" s="193">
        <v>38.599999999999994</v>
      </c>
      <c r="D190" s="179">
        <f t="shared" si="11"/>
        <v>578.99999999999989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75</v>
      </c>
      <c r="B191" s="181">
        <f>'Données projet'!D179</f>
        <v>14</v>
      </c>
      <c r="C191" s="193">
        <v>38.599999999999994</v>
      </c>
      <c r="D191" s="179">
        <f t="shared" si="11"/>
        <v>540.39999999999986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80</v>
      </c>
      <c r="B192" s="181">
        <f>'Données projet'!D180</f>
        <v>381</v>
      </c>
      <c r="C192" s="193">
        <v>38.599999999999994</v>
      </c>
      <c r="D192" s="179">
        <f t="shared" si="11"/>
        <v>14706.599999999999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ALVES PEREIRA Carolina</cp:lastModifiedBy>
  <dcterms:created xsi:type="dcterms:W3CDTF">2021-02-01T08:22:39Z</dcterms:created>
  <dcterms:modified xsi:type="dcterms:W3CDTF">2025-01-27T14:26:34Z</dcterms:modified>
</cp:coreProperties>
</file>