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leur.alonso\Nextcloud\Documents partagés C+FOR\Fleur\72- Villeneuve-en-Perseigne\dossier LBC\"/>
    </mc:Choice>
  </mc:AlternateContent>
  <bookViews>
    <workbookView xWindow="0" yWindow="0" windowWidth="20496" windowHeight="7752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3" i="1" l="1"/>
  <c r="D263" i="1" s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D261" i="1"/>
  <c r="D259" i="1"/>
  <c r="D257" i="1"/>
  <c r="D255" i="1"/>
  <c r="D253" i="1"/>
  <c r="D251" i="1"/>
  <c r="D249" i="1"/>
  <c r="D247" i="1"/>
  <c r="D245" i="1"/>
  <c r="B211" i="1" l="1"/>
  <c r="D211" i="1" s="1"/>
  <c r="D210" i="1"/>
  <c r="B210" i="1"/>
  <c r="D209" i="1"/>
  <c r="B209" i="1"/>
  <c r="D208" i="1"/>
  <c r="B208" i="1"/>
  <c r="D207" i="1"/>
  <c r="B207" i="1"/>
  <c r="B206" i="1"/>
  <c r="D205" i="1"/>
  <c r="B205" i="1"/>
  <c r="B204" i="1"/>
  <c r="D203" i="1"/>
  <c r="B203" i="1"/>
  <c r="B202" i="1"/>
  <c r="D201" i="1"/>
  <c r="B201" i="1"/>
  <c r="B200" i="1"/>
  <c r="D199" i="1"/>
  <c r="B199" i="1"/>
  <c r="B198" i="1"/>
  <c r="D197" i="1"/>
  <c r="B197" i="1"/>
  <c r="B196" i="1"/>
  <c r="D195" i="1"/>
  <c r="B195" i="1"/>
  <c r="B194" i="1"/>
  <c r="D193" i="1"/>
  <c r="B193" i="1"/>
  <c r="B192" i="1"/>
  <c r="D99" i="1" l="1"/>
  <c r="D98" i="1"/>
  <c r="D97" i="1"/>
  <c r="D96" i="1"/>
  <c r="D95" i="1"/>
  <c r="D94" i="1"/>
  <c r="D93" i="1"/>
  <c r="D92" i="1"/>
  <c r="D91" i="1"/>
  <c r="D90" i="1"/>
  <c r="D89" i="1"/>
  <c r="D88" i="1"/>
  <c r="B99" i="1"/>
  <c r="B98" i="1"/>
  <c r="B97" i="1"/>
  <c r="B96" i="1"/>
  <c r="B95" i="1"/>
  <c r="B94" i="1"/>
  <c r="B93" i="1"/>
  <c r="B92" i="1"/>
  <c r="B91" i="1"/>
  <c r="B90" i="1"/>
  <c r="B89" i="1"/>
  <c r="B88" i="1"/>
  <c r="D229" i="1" l="1"/>
  <c r="D228" i="1"/>
  <c r="D227" i="1"/>
  <c r="D226" i="1"/>
  <c r="D225" i="1"/>
  <c r="D224" i="1"/>
  <c r="D223" i="1"/>
  <c r="D222" i="1"/>
  <c r="D221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176" i="1" l="1"/>
  <c r="D176" i="1" s="1"/>
  <c r="D175" i="1"/>
  <c r="B175" i="1"/>
  <c r="D174" i="1"/>
  <c r="B174" i="1"/>
  <c r="D173" i="1"/>
  <c r="B173" i="1"/>
  <c r="D172" i="1"/>
  <c r="B172" i="1"/>
  <c r="D171" i="1"/>
  <c r="B171" i="1"/>
  <c r="D170" i="1"/>
  <c r="B170" i="1"/>
  <c r="D169" i="1"/>
  <c r="B169" i="1"/>
  <c r="D168" i="1"/>
  <c r="B168" i="1"/>
  <c r="D167" i="1"/>
  <c r="B167" i="1"/>
  <c r="D166" i="1"/>
  <c r="B166" i="1"/>
  <c r="B126" i="1"/>
  <c r="D126" i="1" s="1"/>
  <c r="B125" i="1"/>
  <c r="D124" i="1"/>
  <c r="B124" i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14" i="1"/>
  <c r="B79" i="1"/>
  <c r="D79" i="1" s="1"/>
  <c r="D78" i="1"/>
  <c r="B78" i="1"/>
  <c r="D77" i="1"/>
  <c r="B77" i="1"/>
  <c r="D76" i="1"/>
  <c r="B76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B63" i="1"/>
  <c r="B62" i="1"/>
  <c r="B53" i="1"/>
  <c r="D53" i="1" s="1"/>
  <c r="D52" i="1"/>
  <c r="B52" i="1"/>
  <c r="D51" i="1"/>
  <c r="B51" i="1"/>
  <c r="D50" i="1"/>
  <c r="B50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EC4" i="2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CS77" i="2" a="1"/>
  <c r="CS77" i="2" s="1"/>
  <c r="CS161" i="2" a="1"/>
  <c r="CS161" i="2" s="1"/>
  <c r="CS38" i="2" a="1"/>
  <c r="CS38" i="2" s="1"/>
  <c r="CS120" i="2" a="1"/>
  <c r="CS120" i="2" s="1"/>
  <c r="EI87" i="2" a="1"/>
  <c r="EI87" i="2" s="1"/>
  <c r="EI36" i="2" a="1"/>
  <c r="EI36" i="2" s="1"/>
  <c r="EI34" i="2" a="1"/>
  <c r="EI34" i="2" s="1"/>
  <c r="EI20" i="2" a="1"/>
  <c r="EI20" i="2" s="1"/>
  <c r="CS185" i="2" a="1"/>
  <c r="CS185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AX200" i="2"/>
  <c r="CS137" i="2" l="1" a="1"/>
  <c r="CS137" i="2" s="1"/>
  <c r="CS56" i="2" a="1"/>
  <c r="CS56" i="2" s="1"/>
  <c r="FD48" i="2" a="1"/>
  <c r="FD48" i="2" s="1"/>
  <c r="EI35" i="2" a="1"/>
  <c r="EI35" i="2" s="1"/>
  <c r="EI139" i="2" a="1"/>
  <c r="EI139" i="2" s="1"/>
  <c r="EI113" i="2" a="1"/>
  <c r="EI113" i="2" s="1"/>
  <c r="FD44" i="2" a="1"/>
  <c r="FD44" i="2" s="1"/>
  <c r="AH90" i="2" a="1"/>
  <c r="AH90" i="2" s="1"/>
  <c r="CS105" i="2" a="1"/>
  <c r="CS105" i="2" s="1"/>
  <c r="CS52" i="2" a="1"/>
  <c r="CS52" i="2" s="1"/>
  <c r="CS66" i="2" a="1"/>
  <c r="CS66" i="2" s="1"/>
  <c r="FD188" i="2" a="1"/>
  <c r="FD188" i="2" s="1"/>
  <c r="FD82" i="2" a="1"/>
  <c r="FD82" i="2" s="1"/>
  <c r="FD131" i="2" a="1"/>
  <c r="FD131" i="2" s="1"/>
  <c r="FD187" i="2" a="1"/>
  <c r="FD187" i="2" s="1"/>
  <c r="FD194" i="2" a="1"/>
  <c r="FD194" i="2" s="1"/>
  <c r="FD19" i="2" a="1"/>
  <c r="FD19" i="2" s="1"/>
  <c r="FD160" i="2" a="1"/>
  <c r="FD160" i="2" s="1"/>
  <c r="FD137" i="2" a="1"/>
  <c r="FD137" i="2" s="1"/>
  <c r="FD159" i="2" a="1"/>
  <c r="FD159" i="2" s="1"/>
  <c r="FD107" i="2" a="1"/>
  <c r="FD107" i="2" s="1"/>
  <c r="FD167" i="2" a="1"/>
  <c r="FD167" i="2" s="1"/>
  <c r="FD43" i="2" a="1"/>
  <c r="FD43" i="2" s="1"/>
  <c r="FD64" i="2" a="1"/>
  <c r="FD64" i="2" s="1"/>
  <c r="FD189" i="2" a="1"/>
  <c r="FD189" i="2" s="1"/>
  <c r="FD14" i="2" a="1"/>
  <c r="FD14" i="2" s="1"/>
  <c r="FD59" i="2" a="1"/>
  <c r="FD59" i="2" s="1"/>
  <c r="FD144" i="2" a="1"/>
  <c r="FD144" i="2" s="1"/>
  <c r="FD21" i="2" a="1"/>
  <c r="FD21" i="2" s="1"/>
  <c r="FD60" i="2" a="1"/>
  <c r="FD60" i="2" s="1"/>
  <c r="EI37" i="2" a="1"/>
  <c r="EI37" i="2" s="1"/>
  <c r="EI145" i="2" a="1"/>
  <c r="EI145" i="2" s="1"/>
  <c r="EI162" i="2" a="1"/>
  <c r="EI162" i="2" s="1"/>
  <c r="EI67" i="2" a="1"/>
  <c r="EI67" i="2" s="1"/>
  <c r="EI170" i="2" a="1"/>
  <c r="EI170" i="2" s="1"/>
  <c r="EI16" i="2" a="1"/>
  <c r="EI16" i="2" s="1"/>
  <c r="EI178" i="2" a="1"/>
  <c r="EI178" i="2" s="1"/>
  <c r="EI150" i="2" a="1"/>
  <c r="EI150" i="2" s="1"/>
  <c r="EI29" i="2" a="1"/>
  <c r="EI29" i="2" s="1"/>
  <c r="EI165" i="2" a="1"/>
  <c r="EI165" i="2" s="1"/>
  <c r="EI71" i="2" a="1"/>
  <c r="EI71" i="2" s="1"/>
  <c r="EI57" i="2" a="1"/>
  <c r="EI57" i="2" s="1"/>
  <c r="EI106" i="2" a="1"/>
  <c r="EI106" i="2" s="1"/>
  <c r="EI153" i="2" a="1"/>
  <c r="EI153" i="2" s="1"/>
  <c r="EI109" i="2" a="1"/>
  <c r="EI109" i="2" s="1"/>
  <c r="EI38" i="2" a="1"/>
  <c r="EI38" i="2" s="1"/>
  <c r="EI195" i="2" a="1"/>
  <c r="EI195" i="2" s="1"/>
  <c r="EI166" i="2" a="1"/>
  <c r="EI166" i="2" s="1"/>
  <c r="EI198" i="2" a="1"/>
  <c r="EI198" i="2" s="1"/>
  <c r="EI128" i="2" a="1"/>
  <c r="EI128" i="2" s="1"/>
  <c r="EI142" i="2" a="1"/>
  <c r="EI142" i="2" s="1"/>
  <c r="CS116" i="2" a="1"/>
  <c r="CS116" i="2" s="1"/>
  <c r="CS129" i="2" a="1"/>
  <c r="CS129" i="2" s="1"/>
  <c r="FS203" i="2"/>
  <c r="EY202" i="2"/>
  <c r="HJ202" i="2"/>
  <c r="FR203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DI203" i="2"/>
  <c r="CN203" i="2"/>
  <c r="EY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97" i="2" l="1"/>
  <c r="CD38" i="2"/>
  <c r="CD108" i="2"/>
  <c r="CD78" i="2"/>
  <c r="CD8" i="2"/>
  <c r="CD23" i="2"/>
  <c r="CD21" i="2"/>
  <c r="CD138" i="2"/>
  <c r="CD113" i="2"/>
  <c r="CD165" i="2"/>
  <c r="CD114" i="2"/>
  <c r="CD35" i="2"/>
  <c r="CD203" i="2"/>
  <c r="CD145" i="2"/>
  <c r="CD39" i="2"/>
  <c r="CD5" i="2"/>
  <c r="CD142" i="2"/>
  <c r="CD129" i="2"/>
  <c r="CD202" i="2"/>
  <c r="CD65" i="2"/>
  <c r="CD183" i="2"/>
  <c r="CD53" i="2"/>
  <c r="CD105" i="2"/>
  <c r="CD177" i="2"/>
  <c r="CD72" i="2"/>
  <c r="CD37" i="2"/>
  <c r="CD192" i="2"/>
  <c r="CD89" i="2"/>
  <c r="CD83" i="2"/>
  <c r="CD128" i="2"/>
  <c r="CD132" i="2"/>
  <c r="CD110" i="2"/>
  <c r="CD3" i="2"/>
  <c r="C9" i="4" s="1"/>
  <c r="E9" i="4" s="1"/>
  <c r="F9" i="4" s="1"/>
  <c r="G9" i="4" s="1"/>
  <c r="L9" i="4" s="1"/>
  <c r="CD97" i="2"/>
  <c r="CD125" i="2"/>
  <c r="CD172" i="2"/>
  <c r="CD144" i="2"/>
  <c r="CD155" i="2"/>
  <c r="CD52" i="2"/>
  <c r="CD10" i="2"/>
  <c r="CD62" i="2"/>
  <c r="CD133" i="2"/>
  <c r="CD190" i="2"/>
  <c r="CD55" i="2"/>
  <c r="CD28" i="2"/>
  <c r="CD134" i="2"/>
  <c r="CD164" i="2"/>
  <c r="CD102" i="2"/>
  <c r="CD68" i="2"/>
  <c r="CD194" i="2"/>
  <c r="CD140" i="2"/>
  <c r="CD73" i="2"/>
  <c r="CD4" i="2"/>
  <c r="CD31" i="2"/>
  <c r="CD118" i="2"/>
  <c r="CD42" i="2"/>
  <c r="CD75" i="2"/>
  <c r="CD124" i="2"/>
  <c r="CD27" i="2"/>
  <c r="CD90" i="2"/>
  <c r="CD119" i="2"/>
  <c r="CD51" i="2"/>
  <c r="CD147" i="2"/>
  <c r="CD25" i="2"/>
  <c r="CD185" i="2"/>
  <c r="CD46" i="2"/>
  <c r="CD58" i="2"/>
  <c r="CD92" i="2"/>
  <c r="CD12" i="2"/>
  <c r="CD70" i="2"/>
  <c r="CD17" i="2"/>
  <c r="CD167" i="2"/>
  <c r="CD122" i="2"/>
  <c r="CD40" i="2"/>
  <c r="CD193" i="2"/>
  <c r="CD152" i="2"/>
  <c r="CD67" i="2"/>
  <c r="CD54" i="2"/>
  <c r="CD29" i="2"/>
  <c r="CD96" i="2"/>
  <c r="CD104" i="2"/>
  <c r="CD153" i="2"/>
  <c r="CD11" i="2"/>
  <c r="CD32" i="2"/>
  <c r="CD123" i="2"/>
  <c r="CD86" i="2"/>
  <c r="CD137" i="2"/>
  <c r="CD101" i="2"/>
  <c r="CD33" i="2"/>
  <c r="CD6" i="2"/>
  <c r="CD94" i="2"/>
  <c r="CD20" i="2"/>
  <c r="CD13" i="2"/>
  <c r="CD44" i="2"/>
  <c r="CD107" i="2"/>
  <c r="CD16" i="2"/>
  <c r="CD121" i="2"/>
  <c r="CD61" i="2"/>
  <c r="CD139" i="2"/>
  <c r="CD120" i="2"/>
  <c r="CD57" i="2"/>
  <c r="CD109" i="2"/>
  <c r="CD36" i="2"/>
  <c r="CD162" i="2"/>
  <c r="CD168" i="2"/>
  <c r="CD198" i="2"/>
  <c r="CD136" i="2"/>
  <c r="CD64" i="2"/>
  <c r="CD130" i="2"/>
  <c r="CD200" i="2"/>
  <c r="CD150" i="2"/>
  <c r="CD149" i="2"/>
  <c r="CD14" i="2"/>
  <c r="CD115" i="2"/>
  <c r="CD18" i="2"/>
  <c r="CD99" i="2"/>
  <c r="CD195" i="2"/>
  <c r="CD47" i="2"/>
  <c r="CD76" i="2"/>
  <c r="CD85" i="2"/>
  <c r="CD201" i="2"/>
  <c r="CD148" i="2"/>
  <c r="CD66" i="2"/>
  <c r="CD71" i="2"/>
  <c r="CD30" i="2"/>
  <c r="CD186" i="2"/>
  <c r="CD74" i="2"/>
  <c r="CD80" i="2"/>
  <c r="CD43" i="2"/>
  <c r="CD156" i="2"/>
  <c r="CD48" i="2"/>
  <c r="CD19" i="2"/>
  <c r="CD82" i="2"/>
  <c r="CD59" i="2"/>
  <c r="CD159" i="2"/>
  <c r="CD171" i="2"/>
  <c r="CD160" i="2"/>
  <c r="CD187" i="2"/>
  <c r="CD34" i="2"/>
  <c r="CD79" i="2"/>
  <c r="CD126" i="2"/>
  <c r="CD131" i="2"/>
  <c r="CD158" i="2"/>
  <c r="CD191" i="2"/>
  <c r="CD176" i="2"/>
  <c r="CD81" i="2"/>
  <c r="CD135" i="2"/>
  <c r="CD45" i="2"/>
  <c r="CD127" i="2"/>
  <c r="CD141" i="2"/>
  <c r="CD50" i="2"/>
  <c r="CD98" i="2"/>
  <c r="CD181" i="2"/>
  <c r="CD60" i="2"/>
  <c r="CD188" i="2"/>
  <c r="CD189" i="2"/>
  <c r="CD63" i="2"/>
  <c r="CD196" i="2"/>
  <c r="CD7" i="2"/>
  <c r="CD154" i="2"/>
  <c r="CD9" i="2"/>
  <c r="CD157" i="2"/>
  <c r="CD117" i="2"/>
  <c r="CD69" i="2"/>
  <c r="CD170" i="2"/>
  <c r="CD49" i="2"/>
  <c r="CD95" i="2"/>
  <c r="CD26" i="2"/>
  <c r="CD112" i="2"/>
  <c r="CD93" i="2"/>
  <c r="CD180" i="2"/>
  <c r="CD24" i="2"/>
  <c r="CD178" i="2"/>
  <c r="CD106" i="2"/>
  <c r="CD56" i="2"/>
  <c r="CD146" i="2"/>
  <c r="CD116" i="2"/>
  <c r="CD169" i="2"/>
  <c r="CD143" i="2"/>
  <c r="CD163" i="2"/>
  <c r="CD199" i="2"/>
  <c r="CD100" i="2"/>
  <c r="CD103" i="2"/>
  <c r="CD41" i="2"/>
  <c r="CD166" i="2"/>
  <c r="CD173" i="2"/>
  <c r="CD91" i="2"/>
  <c r="CD175" i="2"/>
  <c r="CD174" i="2"/>
  <c r="CD179" i="2"/>
  <c r="CD77" i="2"/>
  <c r="CD22" i="2"/>
  <c r="CD182" i="2"/>
  <c r="CD84" i="2"/>
  <c r="CD87" i="2"/>
  <c r="CD15" i="2"/>
  <c r="CD151" i="2"/>
  <c r="CD161" i="2"/>
  <c r="CD111" i="2"/>
  <c r="CD88" i="2"/>
  <c r="CD184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81" i="2" l="1"/>
  <c r="FJ154" i="2"/>
  <c r="FJ121" i="2"/>
  <c r="FJ96" i="2"/>
  <c r="FJ114" i="2"/>
  <c r="FJ57" i="2"/>
  <c r="FJ190" i="2"/>
  <c r="FJ160" i="2"/>
  <c r="FJ30" i="2"/>
  <c r="FJ161" i="2"/>
  <c r="FJ82" i="2"/>
  <c r="FJ169" i="2"/>
  <c r="FJ68" i="2"/>
  <c r="FJ100" i="2"/>
  <c r="FJ126" i="2"/>
  <c r="FJ112" i="2"/>
  <c r="FJ140" i="2"/>
  <c r="FJ109" i="2"/>
  <c r="FJ116" i="2"/>
  <c r="FJ33" i="2"/>
  <c r="FJ118" i="2"/>
  <c r="FJ49" i="2"/>
  <c r="FJ120" i="2"/>
  <c r="FJ158" i="2"/>
  <c r="FJ52" i="2"/>
  <c r="FJ196" i="2"/>
  <c r="FJ4" i="2"/>
  <c r="FJ40" i="2"/>
  <c r="FJ137" i="2"/>
  <c r="FJ195" i="2"/>
  <c r="FJ198" i="2"/>
  <c r="FJ159" i="2"/>
  <c r="FJ175" i="2"/>
  <c r="FJ86" i="2"/>
  <c r="FJ103" i="2"/>
  <c r="FJ168" i="2"/>
  <c r="FJ186" i="2"/>
  <c r="FJ46" i="2"/>
  <c r="FJ124" i="2"/>
  <c r="FJ122" i="2"/>
  <c r="FJ62" i="2"/>
  <c r="FJ98" i="2"/>
  <c r="FJ127" i="2"/>
  <c r="FJ56" i="2"/>
  <c r="FJ15" i="2"/>
  <c r="FJ176" i="2"/>
  <c r="FJ157" i="2"/>
  <c r="FJ119" i="2"/>
  <c r="FJ199" i="2"/>
  <c r="FJ32" i="2"/>
  <c r="FJ189" i="2"/>
  <c r="FJ104" i="2"/>
  <c r="FJ167" i="2"/>
  <c r="FJ12" i="2"/>
  <c r="FJ39" i="2"/>
  <c r="FJ148" i="2"/>
  <c r="FJ172" i="2"/>
  <c r="FJ63" i="2"/>
  <c r="FJ182" i="2"/>
  <c r="FJ192" i="2"/>
  <c r="FJ26" i="2"/>
  <c r="FJ141" i="2"/>
  <c r="FJ18" i="2"/>
  <c r="FJ133" i="2"/>
  <c r="FJ80" i="2"/>
  <c r="FJ99" i="2"/>
  <c r="FJ147" i="2"/>
  <c r="FJ89" i="2"/>
  <c r="FJ201" i="2"/>
  <c r="FJ75" i="2"/>
  <c r="FJ165" i="2"/>
  <c r="FJ50" i="2"/>
  <c r="FJ150" i="2"/>
  <c r="FJ97" i="2"/>
  <c r="FJ129" i="2"/>
  <c r="FJ19" i="2"/>
  <c r="FJ187" i="2"/>
  <c r="FJ146" i="2"/>
  <c r="FJ108" i="2"/>
  <c r="FJ123" i="2"/>
  <c r="FJ55" i="2"/>
  <c r="FJ85" i="2"/>
  <c r="FJ47" i="2"/>
  <c r="FJ27" i="2"/>
  <c r="FJ53" i="2"/>
  <c r="FJ178" i="2"/>
  <c r="FJ66" i="2"/>
  <c r="FJ110" i="2"/>
  <c r="FJ94" i="2"/>
  <c r="FJ164" i="2"/>
  <c r="FJ24" i="2"/>
  <c r="FJ76" i="2"/>
  <c r="FJ151" i="2"/>
  <c r="FJ188" i="2"/>
  <c r="FJ117" i="2"/>
  <c r="FJ193" i="2"/>
  <c r="FJ113" i="2"/>
  <c r="FJ78" i="2"/>
  <c r="FJ3" i="2"/>
  <c r="C13" i="4" s="1"/>
  <c r="E13" i="4" s="1"/>
  <c r="F13" i="4" s="1"/>
  <c r="G13" i="4" s="1"/>
  <c r="L13" i="4" s="1"/>
  <c r="FJ128" i="2"/>
  <c r="FJ131" i="2"/>
  <c r="FJ74" i="2"/>
  <c r="FJ153" i="2"/>
  <c r="FJ31" i="2"/>
  <c r="FJ65" i="2"/>
  <c r="FJ88" i="2"/>
  <c r="FJ17" i="2"/>
  <c r="FJ111" i="2"/>
  <c r="FJ64" i="2"/>
  <c r="FJ139" i="2"/>
  <c r="FJ69" i="2"/>
  <c r="FJ179" i="2"/>
  <c r="FJ202" i="2"/>
  <c r="FJ84" i="2"/>
  <c r="FJ72" i="2"/>
  <c r="FJ59" i="2"/>
  <c r="FJ142" i="2"/>
  <c r="FJ185" i="2"/>
  <c r="FJ106" i="2"/>
  <c r="FJ91" i="2"/>
  <c r="FJ79" i="2"/>
  <c r="FJ16" i="2"/>
  <c r="FJ45" i="2"/>
  <c r="FJ174" i="2"/>
  <c r="FJ115" i="2"/>
  <c r="FJ29" i="2"/>
  <c r="FJ125" i="2"/>
  <c r="FJ200" i="2"/>
  <c r="FJ194" i="2"/>
  <c r="FJ13" i="2"/>
  <c r="FJ149" i="2"/>
  <c r="FJ23" i="2"/>
  <c r="FJ77" i="2"/>
  <c r="FJ132" i="2"/>
  <c r="FJ173" i="2"/>
  <c r="FJ36" i="2"/>
  <c r="FJ70" i="2"/>
  <c r="FJ44" i="2"/>
  <c r="FJ51" i="2"/>
  <c r="FJ184" i="2"/>
  <c r="FJ25" i="2"/>
  <c r="FJ181" i="2"/>
  <c r="FJ35" i="2"/>
  <c r="FJ177" i="2"/>
  <c r="FJ60" i="2"/>
  <c r="FJ170" i="2"/>
  <c r="FJ41" i="2"/>
  <c r="FJ21" i="2"/>
  <c r="FJ42" i="2"/>
  <c r="FJ138" i="2"/>
  <c r="FJ130" i="2"/>
  <c r="FJ136" i="2"/>
  <c r="FJ83" i="2"/>
  <c r="FJ152" i="2"/>
  <c r="FJ163" i="2"/>
  <c r="FJ203" i="2"/>
  <c r="FJ162" i="2"/>
  <c r="FJ67" i="2"/>
  <c r="FJ90" i="2"/>
  <c r="FJ102" i="2"/>
  <c r="FJ155" i="2"/>
  <c r="FJ171" i="2"/>
  <c r="FJ28" i="2"/>
  <c r="FJ8" i="2"/>
  <c r="FJ143" i="2"/>
  <c r="FJ156" i="2"/>
  <c r="FJ54" i="2"/>
  <c r="FJ101" i="2"/>
  <c r="FJ38" i="2"/>
  <c r="FJ37" i="2"/>
  <c r="FJ9" i="2"/>
  <c r="FJ92" i="2"/>
  <c r="FJ61" i="2"/>
  <c r="FJ135" i="2"/>
  <c r="FJ93" i="2"/>
  <c r="FJ58" i="2"/>
  <c r="FJ183" i="2"/>
  <c r="FJ87" i="2"/>
  <c r="FJ20" i="2"/>
  <c r="FJ43" i="2"/>
  <c r="FJ48" i="2"/>
  <c r="FJ5" i="2"/>
  <c r="FJ34" i="2"/>
  <c r="FJ105" i="2"/>
  <c r="FJ107" i="2"/>
  <c r="FJ95" i="2"/>
  <c r="FJ134" i="2"/>
  <c r="FJ11" i="2"/>
  <c r="FJ22" i="2"/>
  <c r="FJ144" i="2"/>
  <c r="FJ71" i="2"/>
  <c r="FJ191" i="2"/>
  <c r="FJ180" i="2"/>
  <c r="FJ14" i="2"/>
  <c r="FJ73" i="2"/>
  <c r="FJ166" i="2"/>
  <c r="FJ10" i="2"/>
  <c r="FJ197" i="2"/>
  <c r="FJ6" i="2"/>
  <c r="FJ145" i="2"/>
  <c r="FJ7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<sst xmlns="http://schemas.openxmlformats.org/spreadsheetml/2006/main" count="1164" uniqueCount="325">
  <si>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</si>
  <si>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</si>
  <si>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</si>
  <si>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</si>
  <si>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</si>
  <si>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</si>
  <si>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</si>
  <si>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</si>
  <si>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</si>
  <si>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</si>
  <si>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</si>
  <si>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</si>
  <si>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</si>
  <si>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</si>
  <si>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</si>
  <si>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</si>
  <si>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</si>
  <si>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</si>
  <si>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</si>
  <si>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</si>
  <si>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</si>
  <si>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</si>
  <si>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</si>
  <si>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</si>
  <si>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</si>
  <si>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</si>
  <si>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</si>
  <si>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</si>
  <si>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</si>
  <si>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</si>
  <si>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</si>
  <si>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</si>
  <si>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</si>
  <si>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</si>
  <si>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</si>
  <si>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</si>
  <si>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</si>
  <si>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</si>
  <si>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</si>
  <si>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</si>
  <si>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</si>
  <si>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</si>
  <si>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</si>
  <si>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</si>
  <si>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</si>
  <si>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</si>
  <si>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</si>
  <si>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</si>
  <si>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</si>
  <si>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</si>
  <si>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</si>
  <si>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</si>
  <si>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</si>
  <si>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</si>
  <si>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</si>
  <si>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</si>
  <si>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</si>
  <si>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</si>
  <si>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</si>
  <si>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</si>
  <si>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</si>
  <si>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</si>
  <si>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</si>
  <si>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</si>
  <si>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</si>
  <si>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</si>
  <si>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</si>
  <si>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</si>
  <si>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</si>
  <si>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</si>
  <si>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</si>
  <si>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</si>
  <si>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</si>
  <si>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</si>
  <si>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</si>
  <si>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</si>
  <si>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</si>
  <si>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</si>
  <si>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</si>
  <si>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</si>
  <si>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</si>
  <si>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</si>
  <si>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</si>
  <si>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</si>
  <si>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</si>
  <si>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</si>
  <si>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</si>
  <si>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</si>
  <si>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</si>
  <si>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</si>
  <si>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</si>
  <si>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</si>
  <si>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</si>
  <si>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</si>
  <si>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</si>
  <si>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</si>
  <si>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</si>
  <si>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</si>
  <si>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</si>
  <si>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</si>
  <si>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</si>
  <si>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</si>
  <si>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</si>
  <si>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</si>
  <si>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</si>
  <si>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</si>
  <si>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</si>
  <si>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</si>
  <si>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</si>
  <si>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</si>
  <si>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</si>
  <si>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</si>
  <si>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</si>
  <si>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</si>
  <si>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</si>
  <si>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</si>
  <si>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</si>
  <si>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</si>
  <si>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</si>
  <si>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</si>
  <si>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</si>
  <si>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</si>
  <si>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</si>
  <si>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</si>
  <si>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</si>
  <si>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</si>
  <si>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</si>
  <si>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</si>
  <si>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</si>
  <si>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</si>
  <si>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</si>
  <si>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</si>
  <si>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</si>
  <si>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</si>
  <si>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</si>
  <si>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</si>
  <si>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</si>
  <si>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</si>
  <si>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</si>
  <si>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</si>
  <si>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</si>
  <si>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</si>
  <si>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</si>
  <si>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</si>
  <si>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</si>
  <si>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</si>
  <si>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</si>
  <si>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</si>
  <si>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</si>
  <si>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</si>
  <si>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</si>
  <si>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</si>
  <si>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</si>
  <si>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</si>
  <si>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</si>
  <si>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</si>
  <si>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</si>
  <si>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</si>
  <si>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</si>
  <si>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</si>
  <si>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</si>
  <si>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</si>
  <si>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</si>
  <si>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</si>
  <si>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</si>
  <si>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</si>
  <si>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</si>
  <si>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</si>
  <si>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</si>
  <si>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</si>
  <si>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</si>
  <si>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</si>
  <si>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</si>
  <si>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</si>
  <si>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</si>
  <si>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</si>
  <si>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</si>
  <si>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</si>
  <si>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</si>
  <si>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</si>
  <si>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</si>
  <si>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</si>
  <si>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</si>
  <si>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</si>
  <si>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</si>
  <si>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</si>
  <si>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</si>
  <si>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</si>
  <si>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</si>
  <si>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</si>
  <si>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</si>
  <si>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</si>
  <si>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</si>
  <si>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</si>
  <si>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</si>
  <si>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</si>
  <si>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</si>
  <si>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</si>
  <si>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</si>
  <si>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</si>
  <si>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</si>
  <si>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</si>
  <si>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</si>
  <si>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</si>
  <si>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</si>
  <si>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</si>
  <si>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</si>
  <si>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</si>
  <si>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</si>
  <si>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</si>
  <si>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</si>
  <si>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</si>
  <si>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</si>
  <si>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</si>
  <si>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</si>
  <si>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</si>
  <si>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</si>
  <si>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</si>
  <si>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</si>
  <si>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</si>
  <si>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</si>
  <si>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</si>
  <si>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</si>
  <si>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</si>
  <si>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</si>
  <si>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</si>
  <si>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</si>
  <si>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</si>
  <si>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</si>
  <si>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</si>
  <si>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</si>
  <si>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</si>
  <si>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</si>
  <si>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</si>
  <si>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</si>
  <si>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</si>
  <si>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</si>
  <si>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</si>
  <si>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</si>
  <si>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</si>
  <si>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</si>
  <si>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</si>
  <si>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</si>
  <si>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</si>
  <si>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</si>
  <si>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</si>
  <si>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</si>
  <si>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</si>
  <si>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</si>
  <si>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</si>
  <si>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</si>
  <si>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</si>
  <si>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</si>
  <si>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</si>
  <si>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</si>
  <si>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</si>
  <si>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</si>
  <si>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</si>
  <si>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</si>
  <si>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</si>
  <si>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</si>
  <si>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</si>
  <si>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</si>
  <si>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</si>
  <si>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</si>
  <si>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</si>
  <si>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</si>
  <si>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</si>
  <si>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</si>
  <si>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</si>
  <si>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</si>
  <si>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</si>
  <si>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</si>
  <si>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</si>
  <si>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</si>
  <si>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</si>
  <si>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</si>
  <si>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</si>
  <si>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</si>
  <si>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</si>
  <si>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</si>
  <si>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</si>
  <si>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</si>
  <si>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</si>
  <si>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</si>
  <si>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</si>
  <si>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</si>
  <si>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</si>
  <si>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</si>
  <si>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</si>
  <si>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</si>
  <si>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</si>
  <si>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</si>
  <si>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</si>
  <si>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</si>
  <si>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</si>
  <si>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</si>
  <si>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</si>
  <si>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</si>
  <si>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</si>
  <si>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</si>
  <si>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</si>
  <si>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</si>
  <si>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</si>
  <si>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</si>
  <si>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</si>
  <si>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</si>
  <si>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</si>
  <si>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</si>
  <si>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</si>
  <si>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</si>
  <si>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</si>
  <si>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</si>
  <si>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</si>
  <si>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</si>
  <si>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</si>
  <si>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</si>
  <si>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</si>
  <si>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</si>
  <si>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</si>
  <si>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</si>
  <si>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</si>
  <si>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</si>
  <si>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</si>
  <si>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Tucano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</si>
</sst>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29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0" fillId="0" borderId="7" xfId="0" applyFont="1" applyBorder="1" applyAlignment="1" applyProtection="1">
      <protection hidden="1"/>
    </xf>
    <xf numFmtId="0" fontId="30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0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579.40156050484518</c:v>
                </c:pt>
                <c:pt idx="82">
                  <c:v>586.89455079472907</c:v>
                </c:pt>
                <c:pt idx="83">
                  <c:v>594.38554838462005</c:v>
                </c:pt>
                <c:pt idx="84">
                  <c:v>601.87458193334135</c:v>
                </c:pt>
                <c:pt idx="85">
                  <c:v>609.36167932827152</c:v>
                </c:pt>
                <c:pt idx="86">
                  <c:v>616.84686771553959</c:v>
                </c:pt>
                <c:pt idx="87">
                  <c:v>624.33017352867716</c:v>
                </c:pt>
                <c:pt idx="88">
                  <c:v>631.81162251582634</c:v>
                </c:pt>
                <c:pt idx="89">
                  <c:v>639.29123976559174</c:v>
                </c:pt>
                <c:pt idx="90">
                  <c:v>646.76904973162027</c:v>
                </c:pt>
                <c:pt idx="91">
                  <c:v>567.19434879973289</c:v>
                </c:pt>
                <c:pt idx="92">
                  <c:v>577.47446592353504</c:v>
                </c:pt>
                <c:pt idx="93">
                  <c:v>587.75076511427346</c:v>
                </c:pt>
                <c:pt idx="94">
                  <c:v>598.02332252750409</c:v>
                </c:pt>
                <c:pt idx="95">
                  <c:v>608.29221148945828</c:v>
                </c:pt>
                <c:pt idx="96">
                  <c:v>618.55750264916207</c:v>
                </c:pt>
                <c:pt idx="97">
                  <c:v>628.81926411993311</c:v>
                </c:pt>
                <c:pt idx="98">
                  <c:v>639.07756161116583</c:v>
                </c:pt>
                <c:pt idx="99">
                  <c:v>649.33245855121663</c:v>
                </c:pt>
                <c:pt idx="100">
                  <c:v>659.58401620212555</c:v>
                </c:pt>
                <c:pt idx="101">
                  <c:v>669.83229376683721</c:v>
                </c:pt>
                <c:pt idx="102">
                  <c:v>680.07734848952134</c:v>
                </c:pt>
                <c:pt idx="103">
                  <c:v>690.31923574953737</c:v>
                </c:pt>
                <c:pt idx="104">
                  <c:v>700.55800914953363</c:v>
                </c:pt>
                <c:pt idx="105">
                  <c:v>710.79372059813113</c:v>
                </c:pt>
                <c:pt idx="106">
                  <c:v>586.60914024008139</c:v>
                </c:pt>
                <c:pt idx="107">
                  <c:v>594.88487807883291</c:v>
                </c:pt>
                <c:pt idx="108">
                  <c:v>603.15822108828763</c:v>
                </c:pt>
                <c:pt idx="109">
                  <c:v>611.42920675072708</c:v>
                </c:pt>
                <c:pt idx="110">
                  <c:v>619.69787145164617</c:v>
                </c:pt>
                <c:pt idx="111">
                  <c:v>627.96425052636721</c:v>
                </c:pt>
                <c:pt idx="112">
                  <c:v>636.22837830407423</c:v>
                </c:pt>
                <c:pt idx="113">
                  <c:v>644.49028814943881</c:v>
                </c:pt>
                <c:pt idx="114">
                  <c:v>652.75001250200137</c:v>
                </c:pt>
                <c:pt idx="115">
                  <c:v>661.0075829134563</c:v>
                </c:pt>
                <c:pt idx="116">
                  <c:v>669.26303008297748</c:v>
                </c:pt>
                <c:pt idx="117">
                  <c:v>677.51638389071059</c:v>
                </c:pt>
                <c:pt idx="118">
                  <c:v>685.76767342954815</c:v>
                </c:pt>
                <c:pt idx="119">
                  <c:v>694.01692703529795</c:v>
                </c:pt>
                <c:pt idx="120">
                  <c:v>702.26417231534163</c:v>
                </c:pt>
                <c:pt idx="121">
                  <c:v>593.45819864529324</c:v>
                </c:pt>
                <c:pt idx="122">
                  <c:v>600.02033600241248</c:v>
                </c:pt>
                <c:pt idx="123">
                  <c:v>606.58098171901827</c:v>
                </c:pt>
                <c:pt idx="124">
                  <c:v>613.14015420688122</c:v>
                </c:pt>
                <c:pt idx="125">
                  <c:v>619.69787145164617</c:v>
                </c:pt>
                <c:pt idx="126">
                  <c:v>626.25415102719796</c:v>
                </c:pt>
                <c:pt idx="127">
                  <c:v>632.80901010939363</c:v>
                </c:pt>
                <c:pt idx="128">
                  <c:v>639.36246548919712</c:v>
                </c:pt>
                <c:pt idx="129">
                  <c:v>645.91453358524575</c:v>
                </c:pt>
                <c:pt idx="130">
                  <c:v>652.46523045588276</c:v>
                </c:pt>
                <c:pt idx="131">
                  <c:v>659.01457181067883</c:v>
                </c:pt>
                <c:pt idx="132">
                  <c:v>665.56257302147492</c:v>
                </c:pt>
                <c:pt idx="133">
                  <c:v>672.10924913296401</c:v>
                </c:pt>
                <c:pt idx="134">
                  <c:v>678.6546148728429</c:v>
                </c:pt>
                <c:pt idx="135">
                  <c:v>685.19868466155037</c:v>
                </c:pt>
                <c:pt idx="136">
                  <c:v>594.31421485880264</c:v>
                </c:pt>
                <c:pt idx="137">
                  <c:v>599.59241619255681</c:v>
                </c:pt>
                <c:pt idx="138">
                  <c:v>604.8696516932963</c:v>
                </c:pt>
                <c:pt idx="139">
                  <c:v>610.14593097892259</c:v>
                </c:pt>
                <c:pt idx="140">
                  <c:v>615.42126348737315</c:v>
                </c:pt>
                <c:pt idx="141">
                  <c:v>620.69565848153707</c:v>
                </c:pt>
                <c:pt idx="142">
                  <c:v>625.96912505399405</c:v>
                </c:pt>
                <c:pt idx="143">
                  <c:v>631.24167213158523</c:v>
                </c:pt>
                <c:pt idx="144">
                  <c:v>636.5133084798241</c:v>
                </c:pt>
                <c:pt idx="145">
                  <c:v>641.78404270715339</c:v>
                </c:pt>
                <c:pt idx="146">
                  <c:v>647.05388326905495</c:v>
                </c:pt>
                <c:pt idx="147">
                  <c:v>652.32283847201791</c:v>
                </c:pt>
                <c:pt idx="148">
                  <c:v>657.59091647737353</c:v>
                </c:pt>
                <c:pt idx="149">
                  <c:v>662.85812530499959</c:v>
                </c:pt>
                <c:pt idx="150">
                  <c:v>668.12447283690051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57440"/>
        <c:axId val="-1908149280"/>
      </c:scatterChart>
      <c:valAx>
        <c:axId val="-1908157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49280"/>
        <c:crosses val="autoZero"/>
        <c:crossBetween val="midCat"/>
      </c:valAx>
      <c:valAx>
        <c:axId val="-190814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7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56896"/>
        <c:axId val="-1908156352"/>
      </c:scatterChart>
      <c:valAx>
        <c:axId val="-1908156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6352"/>
        <c:crosses val="autoZero"/>
        <c:crossBetween val="midCat"/>
      </c:valAx>
      <c:valAx>
        <c:axId val="-190815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6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518.34214516637246</c:v>
                </c:pt>
                <c:pt idx="82">
                  <c:v>525.04382649327329</c:v>
                </c:pt>
                <c:pt idx="83">
                  <c:v>531.74370597839572</c:v>
                </c:pt>
                <c:pt idx="84">
                  <c:v>538.44180953565819</c:v>
                </c:pt>
                <c:pt idx="85">
                  <c:v>545.1381623814226</c:v>
                </c:pt>
                <c:pt idx="86">
                  <c:v>551.83278906179692</c:v>
                </c:pt>
                <c:pt idx="87">
                  <c:v>558.52571347854348</c:v>
                </c:pt>
                <c:pt idx="88">
                  <c:v>565.21695891368051</c:v>
                </c:pt>
                <c:pt idx="89">
                  <c:v>571.90654805285897</c:v>
                </c:pt>
                <c:pt idx="90">
                  <c:v>578.5945030075876</c:v>
                </c:pt>
                <c:pt idx="91">
                  <c:v>507.42405248193222</c:v>
                </c:pt>
                <c:pt idx="92">
                  <c:v>516.61856122298445</c:v>
                </c:pt>
                <c:pt idx="93">
                  <c:v>525.80961770763849</c:v>
                </c:pt>
                <c:pt idx="94">
                  <c:v>534.99729079736949</c:v>
                </c:pt>
                <c:pt idx="95">
                  <c:v>544.18164679531822</c:v>
                </c:pt>
                <c:pt idx="96">
                  <c:v>553.36274958383854</c:v>
                </c:pt>
                <c:pt idx="97">
                  <c:v>562.54066075244293</c:v>
                </c:pt>
                <c:pt idx="98">
                  <c:v>571.71543971696565</c:v>
                </c:pt>
                <c:pt idx="99">
                  <c:v>580.88714383067781</c:v>
                </c:pt>
                <c:pt idx="100">
                  <c:v>590.05582848802067</c:v>
                </c:pt>
                <c:pt idx="101">
                  <c:v>599.22154722155801</c:v>
                </c:pt>
                <c:pt idx="102">
                  <c:v>608.38435179268708</c:v>
                </c:pt>
                <c:pt idx="103">
                  <c:v>617.54429227660444</c:v>
                </c:pt>
                <c:pt idx="104">
                  <c:v>626.70141714196632</c:v>
                </c:pt>
                <c:pt idx="105">
                  <c:v>635.85577332565333</c:v>
                </c:pt>
                <c:pt idx="106">
                  <c:v>524.78855752742686</c:v>
                </c:pt>
                <c:pt idx="107">
                  <c:v>532.1903011840318</c:v>
                </c:pt>
                <c:pt idx="108">
                  <c:v>539.58987938497671</c:v>
                </c:pt>
                <c:pt idx="109">
                  <c:v>546.98732602253847</c:v>
                </c:pt>
                <c:pt idx="110">
                  <c:v>554.3826739972568</c:v>
                </c:pt>
                <c:pt idx="111">
                  <c:v>561.77595526008304</c:v>
                </c:pt>
                <c:pt idx="112">
                  <c:v>569.16720085219629</c:v>
                </c:pt>
                <c:pt idx="113">
                  <c:v>576.55644094264323</c:v>
                </c:pt>
                <c:pt idx="114">
                  <c:v>583.94370486394746</c:v>
                </c:pt>
                <c:pt idx="115">
                  <c:v>591.32902114582316</c:v>
                </c:pt>
                <c:pt idx="116">
                  <c:v>598.71241754711707</c:v>
                </c:pt>
                <c:pt idx="117">
                  <c:v>606.09392108609302</c:v>
                </c:pt>
                <c:pt idx="118">
                  <c:v>613.47355806916505</c:v>
                </c:pt>
                <c:pt idx="119">
                  <c:v>620.85135411817339</c:v>
                </c:pt>
                <c:pt idx="120">
                  <c:v>628.22733419630038</c:v>
                </c:pt>
                <c:pt idx="121">
                  <c:v>530.91429393650685</c:v>
                </c:pt>
                <c:pt idx="122">
                  <c:v>536.78339555939385</c:v>
                </c:pt>
                <c:pt idx="123">
                  <c:v>542.65114840915624</c:v>
                </c:pt>
                <c:pt idx="124">
                  <c:v>548.51756913410964</c:v>
                </c:pt>
                <c:pt idx="125">
                  <c:v>554.38267399725703</c:v>
                </c:pt>
                <c:pt idx="126">
                  <c:v>560.24647888927939</c:v>
                </c:pt>
                <c:pt idx="127">
                  <c:v>566.10899934095244</c:v>
                </c:pt>
                <c:pt idx="128">
                  <c:v>571.9702505350233</c:v>
                </c:pt>
                <c:pt idx="129">
                  <c:v>577.83024731757405</c:v>
                </c:pt>
                <c:pt idx="130">
                  <c:v>583.6890042089002</c:v>
                </c:pt>
                <c:pt idx="131">
                  <c:v>589.54653541393054</c:v>
                </c:pt>
                <c:pt idx="132">
                  <c:v>595.40285483221066</c:v>
                </c:pt>
                <c:pt idx="133">
                  <c:v>601.2579760674729</c:v>
                </c:pt>
                <c:pt idx="134">
                  <c:v>607.11191243681412</c:v>
                </c:pt>
                <c:pt idx="135">
                  <c:v>612.96467697950209</c:v>
                </c:pt>
                <c:pt idx="136">
                  <c:v>531.67990601917541</c:v>
                </c:pt>
                <c:pt idx="137">
                  <c:v>536.40066935799643</c:v>
                </c:pt>
                <c:pt idx="138">
                  <c:v>541.12055937003322</c:v>
                </c:pt>
                <c:pt idx="139">
                  <c:v>545.83958475199699</c:v>
                </c:pt>
                <c:pt idx="140">
                  <c:v>550.55775403787243</c:v>
                </c:pt>
                <c:pt idx="141">
                  <c:v>555.27507560336073</c:v>
                </c:pt>
                <c:pt idx="142">
                  <c:v>559.99155767016589</c:v>
                </c:pt>
                <c:pt idx="143">
                  <c:v>564.70720831012807</c:v>
                </c:pt>
                <c:pt idx="144">
                  <c:v>569.42203544921131</c:v>
                </c:pt>
                <c:pt idx="145">
                  <c:v>574.13604687135296</c:v>
                </c:pt>
                <c:pt idx="146">
                  <c:v>578.84925022217965</c:v>
                </c:pt>
                <c:pt idx="147">
                  <c:v>583.56165301259591</c:v>
                </c:pt>
                <c:pt idx="148">
                  <c:v>588.27326262225108</c:v>
                </c:pt>
                <c:pt idx="149">
                  <c:v>592.98408630288952</c:v>
                </c:pt>
                <c:pt idx="150">
                  <c:v>597.69413118158775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47648"/>
        <c:axId val="-1908152000"/>
      </c:scatterChart>
      <c:valAx>
        <c:axId val="-1908147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2000"/>
        <c:crosses val="autoZero"/>
        <c:crossBetween val="midCat"/>
      </c:valAx>
      <c:valAx>
        <c:axId val="-1908152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47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2.8919998433534051</c:v>
                </c:pt>
                <c:pt idx="2">
                  <c:v>3.7448962295426091</c:v>
                </c:pt>
                <c:pt idx="3">
                  <c:v>4.8503270992906016</c:v>
                </c:pt>
                <c:pt idx="4">
                  <c:v>6.2833446765605521</c:v>
                </c:pt>
                <c:pt idx="5">
                  <c:v>8.1413838840753492</c:v>
                </c:pt>
                <c:pt idx="6">
                  <c:v>10.550958922648077</c:v>
                </c:pt>
                <c:pt idx="7">
                  <c:v>13.676369273701242</c:v>
                </c:pt>
                <c:pt idx="8">
                  <c:v>17.731019708337868</c:v>
                </c:pt>
                <c:pt idx="9">
                  <c:v>22.992141233881103</c:v>
                </c:pt>
                <c:pt idx="10">
                  <c:v>29.819937375240851</c:v>
                </c:pt>
                <c:pt idx="11">
                  <c:v>38.682489467838302</c:v>
                </c:pt>
                <c:pt idx="12">
                  <c:v>50.188157490334454</c:v>
                </c:pt>
                <c:pt idx="13">
                  <c:v>65.127737752707887</c:v>
                </c:pt>
                <c:pt idx="14">
                  <c:v>84.529322454091755</c:v>
                </c:pt>
                <c:pt idx="15">
                  <c:v>109.72969694198621</c:v>
                </c:pt>
                <c:pt idx="16">
                  <c:v>101.37138803019229</c:v>
                </c:pt>
                <c:pt idx="17">
                  <c:v>118.80776630299829</c:v>
                </c:pt>
                <c:pt idx="18">
                  <c:v>136.18164283061935</c:v>
                </c:pt>
                <c:pt idx="19">
                  <c:v>153.50212796273897</c:v>
                </c:pt>
                <c:pt idx="20">
                  <c:v>170.77610068528608</c:v>
                </c:pt>
                <c:pt idx="21">
                  <c:v>135.20432553963505</c:v>
                </c:pt>
                <c:pt idx="22">
                  <c:v>152.04030877911339</c:v>
                </c:pt>
                <c:pt idx="23">
                  <c:v>168.83188321450652</c:v>
                </c:pt>
                <c:pt idx="24">
                  <c:v>185.58409039382215</c:v>
                </c:pt>
                <c:pt idx="25">
                  <c:v>202.300985679635</c:v>
                </c:pt>
                <c:pt idx="26">
                  <c:v>164.69865875343794</c:v>
                </c:pt>
                <c:pt idx="27">
                  <c:v>180.48950124316343</c:v>
                </c:pt>
                <c:pt idx="28">
                  <c:v>196.24799558904292</c:v>
                </c:pt>
                <c:pt idx="29">
                  <c:v>211.9771059395832</c:v>
                </c:pt>
                <c:pt idx="30">
                  <c:v>227.67932016371932</c:v>
                </c:pt>
                <c:pt idx="31">
                  <c:v>189.22107722501724</c:v>
                </c:pt>
                <c:pt idx="32">
                  <c:v>203.99506531146542</c:v>
                </c:pt>
                <c:pt idx="33">
                  <c:v>218.74430293221727</c:v>
                </c:pt>
                <c:pt idx="34">
                  <c:v>233.47069441931114</c:v>
                </c:pt>
                <c:pt idx="35">
                  <c:v>248.1758840777369</c:v>
                </c:pt>
                <c:pt idx="36">
                  <c:v>210.5263498104041</c:v>
                </c:pt>
                <c:pt idx="37">
                  <c:v>223.5750603501713</c:v>
                </c:pt>
                <c:pt idx="38">
                  <c:v>236.60631352423786</c:v>
                </c:pt>
                <c:pt idx="39">
                  <c:v>249.62120664118333</c:v>
                </c:pt>
                <c:pt idx="40">
                  <c:v>262.62071316927694</c:v>
                </c:pt>
                <c:pt idx="41">
                  <c:v>227.43794033454222</c:v>
                </c:pt>
                <c:pt idx="42">
                  <c:v>239.25878897679527</c:v>
                </c:pt>
                <c:pt idx="43">
                  <c:v>251.0663393522</c:v>
                </c:pt>
                <c:pt idx="44">
                  <c:v>262.86130532679198</c:v>
                </c:pt>
                <c:pt idx="45">
                  <c:v>274.64433142982557</c:v>
                </c:pt>
                <c:pt idx="46">
                  <c:v>241.91059457558984</c:v>
                </c:pt>
                <c:pt idx="47">
                  <c:v>252.511283460822</c:v>
                </c:pt>
                <c:pt idx="48">
                  <c:v>263.10189251350153</c:v>
                </c:pt>
                <c:pt idx="49">
                  <c:v>273.68288493578319</c:v>
                </c:pt>
                <c:pt idx="50">
                  <c:v>284.25468516355744</c:v>
                </c:pt>
                <c:pt idx="51">
                  <c:v>253.95604020157305</c:v>
                </c:pt>
                <c:pt idx="52">
                  <c:v>263.34247473460607</c:v>
                </c:pt>
                <c:pt idx="53">
                  <c:v>272.72136249646695</c:v>
                </c:pt>
                <c:pt idx="54">
                  <c:v>282.09299982731238</c:v>
                </c:pt>
                <c:pt idx="55">
                  <c:v>291.45766175336939</c:v>
                </c:pt>
                <c:pt idx="56">
                  <c:v>264.78586407347512</c:v>
                </c:pt>
                <c:pt idx="57">
                  <c:v>272.96175024288323</c:v>
                </c:pt>
                <c:pt idx="58">
                  <c:v>281.13213177095673</c:v>
                </c:pt>
                <c:pt idx="59">
                  <c:v>289.2971913580854</c:v>
                </c:pt>
                <c:pt idx="60">
                  <c:v>297.45710053958925</c:v>
                </c:pt>
                <c:pt idx="61">
                  <c:v>273.4425114577536</c:v>
                </c:pt>
                <c:pt idx="62">
                  <c:v>280.65167014301909</c:v>
                </c:pt>
                <c:pt idx="63">
                  <c:v>287.85667749117096</c:v>
                </c:pt>
                <c:pt idx="64">
                  <c:v>295.05765218605092</c:v>
                </c:pt>
                <c:pt idx="65">
                  <c:v>302.25470663909704</c:v>
                </c:pt>
                <c:pt idx="66">
                  <c:v>280.89190326071599</c:v>
                </c:pt>
                <c:pt idx="67">
                  <c:v>287.13636013322332</c:v>
                </c:pt>
                <c:pt idx="68">
                  <c:v>293.37777943722409</c:v>
                </c:pt>
                <c:pt idx="69">
                  <c:v>299.61623499670986</c:v>
                </c:pt>
                <c:pt idx="70">
                  <c:v>305.85179730658723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44384"/>
        <c:axId val="-1908155264"/>
      </c:scatterChart>
      <c:valAx>
        <c:axId val="-1908144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5264"/>
        <c:crosses val="autoZero"/>
        <c:crossBetween val="midCat"/>
      </c:valAx>
      <c:valAx>
        <c:axId val="-190815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44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2.7787454807995444</c:v>
                </c:pt>
                <c:pt idx="2">
                  <c:v>3.1340082717783795</c:v>
                </c:pt>
                <c:pt idx="3">
                  <c:v>3.5348511070306965</c:v>
                </c:pt>
                <c:pt idx="4">
                  <c:v>3.9871412514726656</c:v>
                </c:pt>
                <c:pt idx="5">
                  <c:v>4.497503571203076</c:v>
                </c:pt>
                <c:pt idx="6">
                  <c:v>5.0734186395476444</c:v>
                </c:pt>
                <c:pt idx="7">
                  <c:v>5.7233335812755817</c:v>
                </c:pt>
                <c:pt idx="8">
                  <c:v>6.4567873129793192</c:v>
                </c:pt>
                <c:pt idx="9">
                  <c:v>7.2845520538954966</c:v>
                </c:pt>
                <c:pt idx="10">
                  <c:v>8.2187932260052552</c:v>
                </c:pt>
                <c:pt idx="11">
                  <c:v>9.2732501387870716</c:v>
                </c:pt>
                <c:pt idx="12">
                  <c:v>10.463440166694268</c:v>
                </c:pt>
                <c:pt idx="13">
                  <c:v>11.80688948102955</c:v>
                </c:pt>
                <c:pt idx="14">
                  <c:v>13.32339379775047</c:v>
                </c:pt>
                <c:pt idx="15">
                  <c:v>15.035313054924972</c:v>
                </c:pt>
                <c:pt idx="16">
                  <c:v>16.96790444492488</c:v>
                </c:pt>
                <c:pt idx="17">
                  <c:v>19.149698804755854</c:v>
                </c:pt>
                <c:pt idx="18">
                  <c:v>21.61292602195439</c:v>
                </c:pt>
                <c:pt idx="19">
                  <c:v>24.393995853166057</c:v>
                </c:pt>
                <c:pt idx="20">
                  <c:v>27.534041389091382</c:v>
                </c:pt>
                <c:pt idx="21">
                  <c:v>31.079533345657339</c:v>
                </c:pt>
                <c:pt idx="22">
                  <c:v>35.082974431427083</c:v>
                </c:pt>
                <c:pt idx="23">
                  <c:v>39.603684251669229</c:v>
                </c:pt>
                <c:pt idx="24">
                  <c:v>44.708686578583723</c:v>
                </c:pt>
                <c:pt idx="25">
                  <c:v>50.473712365754267</c:v>
                </c:pt>
                <c:pt idx="26">
                  <c:v>56.984333636538643</c:v>
                </c:pt>
                <c:pt idx="27">
                  <c:v>64.33724535748928</c:v>
                </c:pt>
                <c:pt idx="28">
                  <c:v>72.641714649192863</c:v>
                </c:pt>
                <c:pt idx="29">
                  <c:v>82.021219222277935</c:v>
                </c:pt>
                <c:pt idx="30">
                  <c:v>92.615299794404336</c:v>
                </c:pt>
                <c:pt idx="31">
                  <c:v>104.58165448853843</c:v>
                </c:pt>
                <c:pt idx="32">
                  <c:v>118.09850688321417</c:v>
                </c:pt>
                <c:pt idx="33">
                  <c:v>133.36728353776854</c:v>
                </c:pt>
                <c:pt idx="34">
                  <c:v>150.61564151308212</c:v>
                </c:pt>
                <c:pt idx="35">
                  <c:v>170.1008917228489</c:v>
                </c:pt>
                <c:pt idx="36">
                  <c:v>154.34339366624837</c:v>
                </c:pt>
                <c:pt idx="37">
                  <c:v>165.90240656060988</c:v>
                </c:pt>
                <c:pt idx="38">
                  <c:v>177.44240814111376</c:v>
                </c:pt>
                <c:pt idx="39">
                  <c:v>188.96481004126463</c:v>
                </c:pt>
                <c:pt idx="40">
                  <c:v>200.47083746715614</c:v>
                </c:pt>
                <c:pt idx="41">
                  <c:v>211.96156334030786</c:v>
                </c:pt>
                <c:pt idx="42">
                  <c:v>223.43793463568423</c:v>
                </c:pt>
                <c:pt idx="43">
                  <c:v>234.90079301668541</c:v>
                </c:pt>
                <c:pt idx="44">
                  <c:v>246.3508912258574</c:v>
                </c:pt>
                <c:pt idx="45">
                  <c:v>257.78890626510469</c:v>
                </c:pt>
                <c:pt idx="46">
                  <c:v>211.12636896992385</c:v>
                </c:pt>
                <c:pt idx="47">
                  <c:v>222.81230638924697</c:v>
                </c:pt>
                <c:pt idx="48">
                  <c:v>234.48418968616227</c:v>
                </c:pt>
                <c:pt idx="49">
                  <c:v>246.14281741922977</c:v>
                </c:pt>
                <c:pt idx="50">
                  <c:v>257.78890626510457</c:v>
                </c:pt>
                <c:pt idx="51">
                  <c:v>269.42310281421265</c:v>
                </c:pt>
                <c:pt idx="52">
                  <c:v>281.04599322042532</c:v>
                </c:pt>
                <c:pt idx="53">
                  <c:v>292.65811116959617</c:v>
                </c:pt>
                <c:pt idx="54">
                  <c:v>304.25994451630169</c:v>
                </c:pt>
                <c:pt idx="55">
                  <c:v>315.85194085471181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324.95330656071542</c:v>
                </c:pt>
                <c:pt idx="62">
                  <c:v>336.1154856070562</c:v>
                </c:pt>
                <c:pt idx="63">
                  <c:v>347.26950287262457</c:v>
                </c:pt>
                <c:pt idx="64">
                  <c:v>358.41565755176816</c:v>
                </c:pt>
                <c:pt idx="65">
                  <c:v>369.55422870449632</c:v>
                </c:pt>
                <c:pt idx="66">
                  <c:v>322.05803699935797</c:v>
                </c:pt>
                <c:pt idx="67">
                  <c:v>332.39568151871464</c:v>
                </c:pt>
                <c:pt idx="68">
                  <c:v>342.7262392021392</c:v>
                </c:pt>
                <c:pt idx="69">
                  <c:v>353.04995387967392</c:v>
                </c:pt>
                <c:pt idx="70">
                  <c:v>363.3670539509107</c:v>
                </c:pt>
                <c:pt idx="71">
                  <c:v>373.67775378131779</c:v>
                </c:pt>
                <c:pt idx="72">
                  <c:v>383.98225493635573</c:v>
                </c:pt>
                <c:pt idx="73">
                  <c:v>394.28074727616121</c:v>
                </c:pt>
                <c:pt idx="74">
                  <c:v>404.57340992986127</c:v>
                </c:pt>
                <c:pt idx="75">
                  <c:v>414.86041216554025</c:v>
                </c:pt>
                <c:pt idx="76">
                  <c:v>366.46092651682801</c:v>
                </c:pt>
                <c:pt idx="77">
                  <c:v>375.7391436687796</c:v>
                </c:pt>
                <c:pt idx="78">
                  <c:v>385.01237153030621</c:v>
                </c:pt>
                <c:pt idx="79">
                  <c:v>394.28074727616121</c:v>
                </c:pt>
                <c:pt idx="80">
                  <c:v>403.54440110261527</c:v>
                </c:pt>
                <c:pt idx="81">
                  <c:v>412.8034567379907</c:v>
                </c:pt>
                <c:pt idx="82">
                  <c:v>422.0580319049887</c:v>
                </c:pt>
                <c:pt idx="83">
                  <c:v>431.30823874034064</c:v>
                </c:pt>
                <c:pt idx="84">
                  <c:v>440.55418417657251</c:v>
                </c:pt>
                <c:pt idx="85">
                  <c:v>449.79597029004367</c:v>
                </c:pt>
                <c:pt idx="86">
                  <c:v>400.45703338613856</c:v>
                </c:pt>
                <c:pt idx="87">
                  <c:v>408.68888090830461</c:v>
                </c:pt>
                <c:pt idx="88">
                  <c:v>416.91714761061024</c:v>
                </c:pt>
                <c:pt idx="89">
                  <c:v>425.14191416939929</c:v>
                </c:pt>
                <c:pt idx="90">
                  <c:v>433.36325788318965</c:v>
                </c:pt>
                <c:pt idx="91">
                  <c:v>441.5812528768941</c:v>
                </c:pt>
                <c:pt idx="92">
                  <c:v>449.79597029004367</c:v>
                </c:pt>
                <c:pt idx="93">
                  <c:v>458.00747845053729</c:v>
                </c:pt>
                <c:pt idx="94">
                  <c:v>466.2158430352813</c:v>
                </c:pt>
                <c:pt idx="95">
                  <c:v>474.42112721892181</c:v>
                </c:pt>
                <c:pt idx="96">
                  <c:v>423.9084192441091</c:v>
                </c:pt>
                <c:pt idx="97">
                  <c:v>430.89720969800169</c:v>
                </c:pt>
                <c:pt idx="98">
                  <c:v>437.88356491828102</c:v>
                </c:pt>
                <c:pt idx="99">
                  <c:v>444.86752926426311</c:v>
                </c:pt>
                <c:pt idx="100">
                  <c:v>451.84914558797823</c:v>
                </c:pt>
                <c:pt idx="101">
                  <c:v>458.82845530839785</c:v>
                </c:pt>
                <c:pt idx="102">
                  <c:v>465.80549848090777</c:v>
                </c:pt>
                <c:pt idx="103">
                  <c:v>472.78031386240167</c:v>
                </c:pt>
                <c:pt idx="104">
                  <c:v>479.75293897233087</c:v>
                </c:pt>
                <c:pt idx="105">
                  <c:v>486.72341015001939</c:v>
                </c:pt>
                <c:pt idx="106">
                  <c:v>435.41806774560109</c:v>
                </c:pt>
                <c:pt idx="107">
                  <c:v>441.58125287689427</c:v>
                </c:pt>
                <c:pt idx="108">
                  <c:v>447.74259442675481</c:v>
                </c:pt>
                <c:pt idx="109">
                  <c:v>453.90212136173164</c:v>
                </c:pt>
                <c:pt idx="110">
                  <c:v>460.05986179752421</c:v>
                </c:pt>
                <c:pt idx="111">
                  <c:v>466.21584303528147</c:v>
                </c:pt>
                <c:pt idx="112">
                  <c:v>472.37009159588257</c:v>
                </c:pt>
                <c:pt idx="113">
                  <c:v>478.52263325233724</c:v>
                </c:pt>
                <c:pt idx="114">
                  <c:v>484.67349306043207</c:v>
                </c:pt>
                <c:pt idx="115">
                  <c:v>490.82269538774068</c:v>
                </c:pt>
                <c:pt idx="116">
                  <c:v>442.40287096043653</c:v>
                </c:pt>
                <c:pt idx="117">
                  <c:v>447.33189509390462</c:v>
                </c:pt>
                <c:pt idx="118">
                  <c:v>452.25975667152642</c:v>
                </c:pt>
                <c:pt idx="119">
                  <c:v>457.18647015898267</c:v>
                </c:pt>
                <c:pt idx="120">
                  <c:v>462.1120496844826</c:v>
                </c:pt>
                <c:pt idx="121">
                  <c:v>467.03650905023136</c:v>
                </c:pt>
                <c:pt idx="122">
                  <c:v>471.95986174338731</c:v>
                </c:pt>
                <c:pt idx="123">
                  <c:v>476.88212094653846</c:v>
                </c:pt>
                <c:pt idx="124">
                  <c:v>481.80329954772287</c:v>
                </c:pt>
                <c:pt idx="125">
                  <c:v>486.72341015001945</c:v>
                </c:pt>
                <c:pt idx="126">
                  <c:v>443.63523678752944</c:v>
                </c:pt>
                <c:pt idx="127">
                  <c:v>447.74259442675498</c:v>
                </c:pt>
                <c:pt idx="128">
                  <c:v>451.84914558797851</c:v>
                </c:pt>
                <c:pt idx="129">
                  <c:v>455.95489864227756</c:v>
                </c:pt>
                <c:pt idx="130">
                  <c:v>460.05986179752421</c:v>
                </c:pt>
                <c:pt idx="131">
                  <c:v>464.16404310302795</c:v>
                </c:pt>
                <c:pt idx="132">
                  <c:v>468.26745045400463</c:v>
                </c:pt>
                <c:pt idx="133">
                  <c:v>472.37009159588268</c:v>
                </c:pt>
                <c:pt idx="134">
                  <c:v>476.47197412844918</c:v>
                </c:pt>
                <c:pt idx="135">
                  <c:v>480.57310550984795</c:v>
                </c:pt>
                <c:pt idx="136">
                  <c:v>444.86752926426328</c:v>
                </c:pt>
                <c:pt idx="137">
                  <c:v>448.15328569496381</c:v>
                </c:pt>
                <c:pt idx="138">
                  <c:v>451.4385265234958</c:v>
                </c:pt>
                <c:pt idx="139">
                  <c:v>454.72325603573967</c:v>
                </c:pt>
                <c:pt idx="140">
                  <c:v>458.00747845053735</c:v>
                </c:pt>
                <c:pt idx="141">
                  <c:v>461.29119792122509</c:v>
                </c:pt>
                <c:pt idx="142">
                  <c:v>464.57441853711953</c:v>
                </c:pt>
                <c:pt idx="143">
                  <c:v>467.8571443249611</c:v>
                </c:pt>
                <c:pt idx="144">
                  <c:v>471.13937925031331</c:v>
                </c:pt>
                <c:pt idx="145">
                  <c:v>474.42112721892181</c:v>
                </c:pt>
                <c:pt idx="146">
                  <c:v>476.88212094653824</c:v>
                </c:pt>
                <c:pt idx="147">
                  <c:v>479.34284452811465</c:v>
                </c:pt>
                <c:pt idx="148">
                  <c:v>481.80329954772265</c:v>
                </c:pt>
                <c:pt idx="149">
                  <c:v>484.26348757191704</c:v>
                </c:pt>
                <c:pt idx="150">
                  <c:v>486.72341015001922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44928"/>
        <c:axId val="-1908154176"/>
      </c:scatterChart>
      <c:valAx>
        <c:axId val="-1908144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4176"/>
        <c:crosses val="autoZero"/>
        <c:crossBetween val="midCat"/>
      </c:valAx>
      <c:valAx>
        <c:axId val="-190815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44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53632"/>
        <c:axId val="-1908148192"/>
      </c:scatterChart>
      <c:valAx>
        <c:axId val="-1908153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48192"/>
        <c:crosses val="autoZero"/>
        <c:crossBetween val="midCat"/>
      </c:valAx>
      <c:valAx>
        <c:axId val="-190814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3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2.9544184708962664</c:v>
                </c:pt>
                <c:pt idx="2">
                  <c:v>3.5989969152018966</c:v>
                </c:pt>
                <c:pt idx="3">
                  <c:v>4.3847350371214899</c:v>
                </c:pt>
                <c:pt idx="4">
                  <c:v>5.3426554030322491</c:v>
                </c:pt>
                <c:pt idx="5">
                  <c:v>6.5106208601369993</c:v>
                </c:pt>
                <c:pt idx="6">
                  <c:v>7.9348473814631157</c:v>
                </c:pt>
                <c:pt idx="7">
                  <c:v>9.671752443373018</c:v>
                </c:pt>
                <c:pt idx="8">
                  <c:v>11.790213544686575</c:v>
                </c:pt>
                <c:pt idx="9">
                  <c:v>14.374328105539602</c:v>
                </c:pt>
                <c:pt idx="10">
                  <c:v>17.526786327321478</c:v>
                </c:pt>
                <c:pt idx="11">
                  <c:v>21.372993483630253</c:v>
                </c:pt>
                <c:pt idx="12">
                  <c:v>26.066108563665505</c:v>
                </c:pt>
                <c:pt idx="13">
                  <c:v>31.793203449518444</c:v>
                </c:pt>
                <c:pt idx="14">
                  <c:v>38.782792402488006</c:v>
                </c:pt>
                <c:pt idx="15">
                  <c:v>47.314037428087623</c:v>
                </c:pt>
                <c:pt idx="16">
                  <c:v>57.728003371089379</c:v>
                </c:pt>
                <c:pt idx="17">
                  <c:v>70.441420160280543</c:v>
                </c:pt>
                <c:pt idx="18">
                  <c:v>85.96351190566817</c:v>
                </c:pt>
                <c:pt idx="19">
                  <c:v>104.91657774667114</c:v>
                </c:pt>
                <c:pt idx="20">
                  <c:v>128.06116259946739</c:v>
                </c:pt>
                <c:pt idx="21">
                  <c:v>108.43598427071437</c:v>
                </c:pt>
                <c:pt idx="22">
                  <c:v>120.86505146464977</c:v>
                </c:pt>
                <c:pt idx="23">
                  <c:v>133.26298771264922</c:v>
                </c:pt>
                <c:pt idx="24">
                  <c:v>145.6331007267959</c:v>
                </c:pt>
                <c:pt idx="25">
                  <c:v>157.97808914085678</c:v>
                </c:pt>
                <c:pt idx="26">
                  <c:v>170.30019459237943</c:v>
                </c:pt>
                <c:pt idx="27">
                  <c:v>182.60130732673261</c:v>
                </c:pt>
                <c:pt idx="28">
                  <c:v>194.88304177004599</c:v>
                </c:pt>
                <c:pt idx="29">
                  <c:v>207.14679200633017</c:v>
                </c:pt>
                <c:pt idx="30">
                  <c:v>219.39377340123869</c:v>
                </c:pt>
                <c:pt idx="31">
                  <c:v>181.15486971579946</c:v>
                </c:pt>
                <c:pt idx="32">
                  <c:v>193.04052033938765</c:v>
                </c:pt>
                <c:pt idx="33">
                  <c:v>204.90915140103107</c:v>
                </c:pt>
                <c:pt idx="34">
                  <c:v>216.76188824441184</c:v>
                </c:pt>
                <c:pt idx="35">
                  <c:v>228.59972297641437</c:v>
                </c:pt>
                <c:pt idx="36">
                  <c:v>240.42353647456866</c:v>
                </c:pt>
                <c:pt idx="37">
                  <c:v>252.23411583283806</c:v>
                </c:pt>
                <c:pt idx="38">
                  <c:v>264.03216836503969</c:v>
                </c:pt>
                <c:pt idx="39">
                  <c:v>275.81833297179628</c:v>
                </c:pt>
                <c:pt idx="40">
                  <c:v>287.59318946116952</c:v>
                </c:pt>
                <c:pt idx="41">
                  <c:v>244.86296361177958</c:v>
                </c:pt>
                <c:pt idx="42">
                  <c:v>255.4053006561509</c:v>
                </c:pt>
                <c:pt idx="43">
                  <c:v>265.93779255589465</c:v>
                </c:pt>
                <c:pt idx="44">
                  <c:v>276.4608844490071</c:v>
                </c:pt>
                <c:pt idx="45">
                  <c:v>286.97498479541679</c:v>
                </c:pt>
                <c:pt idx="46">
                  <c:v>297.48046966130482</c:v>
                </c:pt>
                <c:pt idx="47">
                  <c:v>307.97768636614597</c:v>
                </c:pt>
                <c:pt idx="48">
                  <c:v>318.46695660620361</c:v>
                </c:pt>
                <c:pt idx="49">
                  <c:v>328.94857914476324</c:v>
                </c:pt>
                <c:pt idx="50">
                  <c:v>339.42283214137643</c:v>
                </c:pt>
                <c:pt idx="51">
                  <c:v>294.39149449579281</c:v>
                </c:pt>
                <c:pt idx="52">
                  <c:v>303.65628317925763</c:v>
                </c:pt>
                <c:pt idx="53">
                  <c:v>312.91478465880124</c:v>
                </c:pt>
                <c:pt idx="54">
                  <c:v>322.16721132368235</c:v>
                </c:pt>
                <c:pt idx="55">
                  <c:v>331.41376235939282</c:v>
                </c:pt>
                <c:pt idx="56">
                  <c:v>340.65462492201613</c:v>
                </c:pt>
                <c:pt idx="57">
                  <c:v>349.88997517843342</c:v>
                </c:pt>
                <c:pt idx="58">
                  <c:v>359.11997923091303</c:v>
                </c:pt>
                <c:pt idx="59">
                  <c:v>368.34479394163549</c:v>
                </c:pt>
                <c:pt idx="60">
                  <c:v>377.56456767027362</c:v>
                </c:pt>
                <c:pt idx="61">
                  <c:v>331.78350487347512</c:v>
                </c:pt>
                <c:pt idx="62">
                  <c:v>340.16191959029737</c:v>
                </c:pt>
                <c:pt idx="63">
                  <c:v>348.53579556120877</c:v>
                </c:pt>
                <c:pt idx="64">
                  <c:v>356.90525729313316</c:v>
                </c:pt>
                <c:pt idx="65">
                  <c:v>365.27042297286653</c:v>
                </c:pt>
                <c:pt idx="66">
                  <c:v>373.63140492845582</c:v>
                </c:pt>
                <c:pt idx="67">
                  <c:v>381.98831004710337</c:v>
                </c:pt>
                <c:pt idx="68">
                  <c:v>390.34124015457496</c:v>
                </c:pt>
                <c:pt idx="69">
                  <c:v>398.69029236042326</c:v>
                </c:pt>
                <c:pt idx="70">
                  <c:v>407.03555937277275</c:v>
                </c:pt>
                <c:pt idx="71">
                  <c:v>361.82645594075922</c:v>
                </c:pt>
                <c:pt idx="72">
                  <c:v>369.45143011283216</c:v>
                </c:pt>
                <c:pt idx="73">
                  <c:v>377.07297132746567</c:v>
                </c:pt>
                <c:pt idx="74">
                  <c:v>384.69115881248825</c:v>
                </c:pt>
                <c:pt idx="75">
                  <c:v>392.30606839942357</c:v>
                </c:pt>
                <c:pt idx="76">
                  <c:v>399.91777273363095</c:v>
                </c:pt>
                <c:pt idx="77">
                  <c:v>407.52634146760482</c:v>
                </c:pt>
                <c:pt idx="78">
                  <c:v>415.13184143907853</c:v>
                </c:pt>
                <c:pt idx="79">
                  <c:v>422.7343368353902</c:v>
                </c:pt>
                <c:pt idx="80">
                  <c:v>430.33388934540289</c:v>
                </c:pt>
                <c:pt idx="81">
                  <c:v>387.02510505559667</c:v>
                </c:pt>
                <c:pt idx="82">
                  <c:v>394.02511797984874</c:v>
                </c:pt>
                <c:pt idx="83">
                  <c:v>401.02243532300281</c:v>
                </c:pt>
                <c:pt idx="84">
                  <c:v>408.01711079014694</c:v>
                </c:pt>
                <c:pt idx="85">
                  <c:v>415.00919609342412</c:v>
                </c:pt>
                <c:pt idx="86">
                  <c:v>421.99874105906201</c:v>
                </c:pt>
                <c:pt idx="87">
                  <c:v>428.98579372693825</c:v>
                </c:pt>
                <c:pt idx="88">
                  <c:v>435.97040044331624</c:v>
                </c:pt>
                <c:pt idx="89">
                  <c:v>442.95260594732923</c:v>
                </c:pt>
                <c:pt idx="90">
                  <c:v>449.93245345172136</c:v>
                </c:pt>
                <c:pt idx="91">
                  <c:v>408.38517941080255</c:v>
                </c:pt>
                <c:pt idx="92">
                  <c:v>414.64125536438104</c:v>
                </c:pt>
                <c:pt idx="93">
                  <c:v>420.89529560121156</c:v>
                </c:pt>
                <c:pt idx="94">
                  <c:v>427.14733466135732</c:v>
                </c:pt>
                <c:pt idx="95">
                  <c:v>433.3974059904931</c:v>
                </c:pt>
                <c:pt idx="96">
                  <c:v>439.64554199021399</c:v>
                </c:pt>
                <c:pt idx="97">
                  <c:v>445.8917740653319</c:v>
                </c:pt>
                <c:pt idx="98">
                  <c:v>452.13613266838439</c:v>
                </c:pt>
                <c:pt idx="99">
                  <c:v>458.37864734155352</c:v>
                </c:pt>
                <c:pt idx="100">
                  <c:v>464.61934675618312</c:v>
                </c:pt>
                <c:pt idx="101">
                  <c:v>426.41190342268072</c:v>
                </c:pt>
                <c:pt idx="102">
                  <c:v>432.29459376610254</c:v>
                </c:pt>
                <c:pt idx="103">
                  <c:v>438.17556477805397</c:v>
                </c:pt>
                <c:pt idx="104">
                  <c:v>444.05484280838033</c:v>
                </c:pt>
                <c:pt idx="105">
                  <c:v>449.93245345172153</c:v>
                </c:pt>
                <c:pt idx="106">
                  <c:v>455.80842157895717</c:v>
                </c:pt>
                <c:pt idx="107">
                  <c:v>461.68277136694832</c:v>
                </c:pt>
                <c:pt idx="108">
                  <c:v>467.55552632668332</c:v>
                </c:pt>
                <c:pt idx="109">
                  <c:v>473.42670932993633</c:v>
                </c:pt>
                <c:pt idx="110">
                  <c:v>479.29634263453391</c:v>
                </c:pt>
                <c:pt idx="111">
                  <c:v>442.95260594732923</c:v>
                </c:pt>
                <c:pt idx="112">
                  <c:v>448.21832110976283</c:v>
                </c:pt>
                <c:pt idx="113">
                  <c:v>453.48271237088551</c:v>
                </c:pt>
                <c:pt idx="114">
                  <c:v>458.74579728063463</c:v>
                </c:pt>
                <c:pt idx="115">
                  <c:v>464.00759295307824</c:v>
                </c:pt>
                <c:pt idx="116">
                  <c:v>469.26811608217059</c:v>
                </c:pt>
                <c:pt idx="117">
                  <c:v>474.52738295676409</c:v>
                </c:pt>
                <c:pt idx="118">
                  <c:v>479.7854094749207</c:v>
                </c:pt>
                <c:pt idx="119">
                  <c:v>485.04221115756269</c:v>
                </c:pt>
                <c:pt idx="120">
                  <c:v>490.2978031615018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48736"/>
        <c:axId val="-1908158528"/>
      </c:scatterChart>
      <c:valAx>
        <c:axId val="-1908148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8528"/>
        <c:crosses val="autoZero"/>
        <c:crossBetween val="midCat"/>
      </c:valAx>
      <c:valAx>
        <c:axId val="-190815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48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3.3772547136744788</c:v>
                </c:pt>
                <c:pt idx="2">
                  <c:v>4.2967678594880176</c:v>
                </c:pt>
                <c:pt idx="3">
                  <c:v>5.4676067846813901</c:v>
                </c:pt>
                <c:pt idx="4">
                  <c:v>6.9587152757032529</c:v>
                </c:pt>
                <c:pt idx="5">
                  <c:v>8.8580138850107826</c:v>
                </c:pt>
                <c:pt idx="6">
                  <c:v>11.277639634244201</c:v>
                </c:pt>
                <c:pt idx="7">
                  <c:v>14.360636618031165</c:v>
                </c:pt>
                <c:pt idx="8">
                  <c:v>18.289500324456991</c:v>
                </c:pt>
                <c:pt idx="9">
                  <c:v>23.297090589245332</c:v>
                </c:pt>
                <c:pt idx="10">
                  <c:v>29.68057146585582</c:v>
                </c:pt>
                <c:pt idx="11">
                  <c:v>37.81921965926626</c:v>
                </c:pt>
                <c:pt idx="12">
                  <c:v>48.19717771885275</c:v>
                </c:pt>
                <c:pt idx="13">
                  <c:v>61.432528228223397</c:v>
                </c:pt>
                <c:pt idx="14">
                  <c:v>78.314449088901185</c:v>
                </c:pt>
                <c:pt idx="15">
                  <c:v>99.850701125907918</c:v>
                </c:pt>
                <c:pt idx="16">
                  <c:v>116.89897174448413</c:v>
                </c:pt>
                <c:pt idx="17">
                  <c:v>133.88642258251903</c:v>
                </c:pt>
                <c:pt idx="18">
                  <c:v>150.82187042131599</c:v>
                </c:pt>
                <c:pt idx="19">
                  <c:v>167.71198305973982</c:v>
                </c:pt>
                <c:pt idx="20">
                  <c:v>184.5619720949239</c:v>
                </c:pt>
                <c:pt idx="21">
                  <c:v>174.1078359548145</c:v>
                </c:pt>
                <c:pt idx="22">
                  <c:v>192.6833587340993</c:v>
                </c:pt>
                <c:pt idx="23">
                  <c:v>211.21721472573688</c:v>
                </c:pt>
                <c:pt idx="24">
                  <c:v>229.71357517594777</c:v>
                </c:pt>
                <c:pt idx="25">
                  <c:v>248.1758840777369</c:v>
                </c:pt>
                <c:pt idx="26">
                  <c:v>266.89478382272023</c:v>
                </c:pt>
                <c:pt idx="27">
                  <c:v>285.58411013783433</c:v>
                </c:pt>
                <c:pt idx="28">
                  <c:v>304.2460702284032</c:v>
                </c:pt>
                <c:pt idx="29">
                  <c:v>322.88257839605905</c:v>
                </c:pt>
                <c:pt idx="30">
                  <c:v>341.49530992621681</c:v>
                </c:pt>
                <c:pt idx="31">
                  <c:v>309.98300923549448</c:v>
                </c:pt>
                <c:pt idx="32">
                  <c:v>328.61203297364347</c:v>
                </c:pt>
                <c:pt idx="33">
                  <c:v>347.21775415165695</c:v>
                </c:pt>
                <c:pt idx="34">
                  <c:v>365.80159667179151</c:v>
                </c:pt>
                <c:pt idx="35">
                  <c:v>384.36482798638843</c:v>
                </c:pt>
                <c:pt idx="36">
                  <c:v>401.76797181151136</c:v>
                </c:pt>
                <c:pt idx="37">
                  <c:v>419.15481104959866</c:v>
                </c:pt>
                <c:pt idx="38">
                  <c:v>436.52611695280945</c:v>
                </c:pt>
                <c:pt idx="39">
                  <c:v>453.882594406436</c:v>
                </c:pt>
                <c:pt idx="40">
                  <c:v>471.22489001161836</c:v>
                </c:pt>
                <c:pt idx="41">
                  <c:v>426.84562257899694</c:v>
                </c:pt>
                <c:pt idx="42">
                  <c:v>443.64118268121075</c:v>
                </c:pt>
                <c:pt idx="43">
                  <c:v>460.42312514382979</c:v>
                </c:pt>
                <c:pt idx="44">
                  <c:v>477.19201598429891</c:v>
                </c:pt>
                <c:pt idx="45">
                  <c:v>493.94837821219221</c:v>
                </c:pt>
                <c:pt idx="46">
                  <c:v>510.12528475995458</c:v>
                </c:pt>
                <c:pt idx="47">
                  <c:v>526.29135672631048</c:v>
                </c:pt>
                <c:pt idx="48">
                  <c:v>542.44697361896976</c:v>
                </c:pt>
                <c:pt idx="49">
                  <c:v>558.59249050833625</c:v>
                </c:pt>
                <c:pt idx="50">
                  <c:v>574.72824027648051</c:v>
                </c:pt>
                <c:pt idx="51">
                  <c:v>525.72430526117284</c:v>
                </c:pt>
                <c:pt idx="52">
                  <c:v>540.4635014450364</c:v>
                </c:pt>
                <c:pt idx="53">
                  <c:v>555.19425684011514</c:v>
                </c:pt>
                <c:pt idx="54">
                  <c:v>569.9168268534562</c:v>
                </c:pt>
                <c:pt idx="55">
                  <c:v>584.63145262638295</c:v>
                </c:pt>
                <c:pt idx="56">
                  <c:v>598.77285184523532</c:v>
                </c:pt>
                <c:pt idx="57">
                  <c:v>612.90730919838427</c:v>
                </c:pt>
                <c:pt idx="58">
                  <c:v>627.0350072500172</c:v>
                </c:pt>
                <c:pt idx="59">
                  <c:v>641.15611967114455</c:v>
                </c:pt>
                <c:pt idx="60">
                  <c:v>655.27081186319685</c:v>
                </c:pt>
                <c:pt idx="61">
                  <c:v>603.57933688097762</c:v>
                </c:pt>
                <c:pt idx="62">
                  <c:v>616.8637383622148</c:v>
                </c:pt>
                <c:pt idx="63">
                  <c:v>630.14221113425515</c:v>
                </c:pt>
                <c:pt idx="64">
                  <c:v>643.41489767433734</c:v>
                </c:pt>
                <c:pt idx="65">
                  <c:v>656.68193410508013</c:v>
                </c:pt>
                <c:pt idx="66">
                  <c:v>669.09713331979674</c:v>
                </c:pt>
                <c:pt idx="67">
                  <c:v>681.50759720748795</c:v>
                </c:pt>
                <c:pt idx="68">
                  <c:v>693.9134241101043</c:v>
                </c:pt>
                <c:pt idx="69">
                  <c:v>706.31470856837097</c:v>
                </c:pt>
                <c:pt idx="70">
                  <c:v>718.71154153427142</c:v>
                </c:pt>
                <c:pt idx="71">
                  <c:v>666.84017953064927</c:v>
                </c:pt>
                <c:pt idx="72">
                  <c:v>678.40541972773406</c:v>
                </c:pt>
                <c:pt idx="73">
                  <c:v>689.96661270613185</c:v>
                </c:pt>
                <c:pt idx="74">
                  <c:v>701.52383580999742</c:v>
                </c:pt>
                <c:pt idx="75">
                  <c:v>713.07716362846907</c:v>
                </c:pt>
                <c:pt idx="76">
                  <c:v>724.0633653183146</c:v>
                </c:pt>
                <c:pt idx="77">
                  <c:v>735.04616748819899</c:v>
                </c:pt>
                <c:pt idx="78">
                  <c:v>746.02562806754156</c:v>
                </c:pt>
                <c:pt idx="79">
                  <c:v>757.00180314246427</c:v>
                </c:pt>
                <c:pt idx="80">
                  <c:v>767.97474704088302</c:v>
                </c:pt>
                <c:pt idx="81">
                  <c:v>717.86644252238546</c:v>
                </c:pt>
                <c:pt idx="82">
                  <c:v>728.28791910331404</c:v>
                </c:pt>
                <c:pt idx="83">
                  <c:v>738.70635616237803</c:v>
                </c:pt>
                <c:pt idx="84">
                  <c:v>749.12180259138086</c:v>
                </c:pt>
                <c:pt idx="85">
                  <c:v>759.53430581236807</c:v>
                </c:pt>
                <c:pt idx="86">
                  <c:v>769.38130375816024</c:v>
                </c:pt>
                <c:pt idx="87">
                  <c:v>779.22574710902393</c:v>
                </c:pt>
                <c:pt idx="88">
                  <c:v>789.06767267264502</c:v>
                </c:pt>
                <c:pt idx="89">
                  <c:v>798.90711626410837</c:v>
                </c:pt>
                <c:pt idx="90">
                  <c:v>808.74411274481815</c:v>
                </c:pt>
                <c:pt idx="91">
                  <c:v>760.09706088223095</c:v>
                </c:pt>
                <c:pt idx="92">
                  <c:v>769.09999658881623</c:v>
                </c:pt>
                <c:pt idx="93">
                  <c:v>778.10079598278446</c:v>
                </c:pt>
                <c:pt idx="94">
                  <c:v>787.09948724980256</c:v>
                </c:pt>
                <c:pt idx="95">
                  <c:v>796.09609787878674</c:v>
                </c:pt>
                <c:pt idx="96">
                  <c:v>805.09065468697361</c:v>
                </c:pt>
                <c:pt idx="97">
                  <c:v>814.08318384381209</c:v>
                </c:pt>
                <c:pt idx="98">
                  <c:v>823.07371089374408</c:v>
                </c:pt>
                <c:pt idx="99">
                  <c:v>832.06226077794065</c:v>
                </c:pt>
                <c:pt idx="100">
                  <c:v>841.04885785504882</c:v>
                </c:pt>
                <c:pt idx="101">
                  <c:v>797.22052925532444</c:v>
                </c:pt>
                <c:pt idx="102">
                  <c:v>806.77690757527978</c:v>
                </c:pt>
                <c:pt idx="103">
                  <c:v>816.33100231940614</c:v>
                </c:pt>
                <c:pt idx="104">
                  <c:v>825.88284396725692</c:v>
                </c:pt>
                <c:pt idx="105">
                  <c:v>835.43246223625647</c:v>
                </c:pt>
                <c:pt idx="106">
                  <c:v>844.97988610943651</c:v>
                </c:pt>
                <c:pt idx="107">
                  <c:v>854.52514386185067</c:v>
                </c:pt>
                <c:pt idx="108">
                  <c:v>864.06826308575046</c:v>
                </c:pt>
                <c:pt idx="109">
                  <c:v>873.60927071459116</c:v>
                </c:pt>
                <c:pt idx="110">
                  <c:v>883.14819304593584</c:v>
                </c:pt>
                <c:pt idx="111">
                  <c:v>813.38071492756353</c:v>
                </c:pt>
                <c:pt idx="112">
                  <c:v>822.23093335565875</c:v>
                </c:pt>
                <c:pt idx="113">
                  <c:v>831.07923368175136</c:v>
                </c:pt>
                <c:pt idx="114">
                  <c:v>839.92563919590748</c:v>
                </c:pt>
                <c:pt idx="115">
                  <c:v>848.77017265784832</c:v>
                </c:pt>
                <c:pt idx="116">
                  <c:v>857.61285631454621</c:v>
                </c:pt>
                <c:pt idx="117">
                  <c:v>866.45371191705317</c:v>
                </c:pt>
                <c:pt idx="118">
                  <c:v>875.29276073661231</c:v>
                </c:pt>
                <c:pt idx="119">
                  <c:v>884.13002358008043</c:v>
                </c:pt>
                <c:pt idx="120">
                  <c:v>892.9655208047044</c:v>
                </c:pt>
                <c:pt idx="121">
                  <c:v>853.40228388530784</c:v>
                </c:pt>
                <c:pt idx="122">
                  <c:v>860.13900065517453</c:v>
                </c:pt>
                <c:pt idx="123">
                  <c:v>866.87465980730383</c:v>
                </c:pt>
                <c:pt idx="124">
                  <c:v>873.60927071459139</c:v>
                </c:pt>
                <c:pt idx="125">
                  <c:v>880.34284259370179</c:v>
                </c:pt>
                <c:pt idx="126">
                  <c:v>887.07538450887375</c:v>
                </c:pt>
                <c:pt idx="127">
                  <c:v>893.80690537560201</c:v>
                </c:pt>
                <c:pt idx="128">
                  <c:v>900.53741396420526</c:v>
                </c:pt>
                <c:pt idx="129">
                  <c:v>907.26691890328038</c:v>
                </c:pt>
                <c:pt idx="130">
                  <c:v>913.99542868304798</c:v>
                </c:pt>
                <c:pt idx="131">
                  <c:v>1.244157220835691E-11</c:v>
                </c:pt>
                <c:pt idx="132">
                  <c:v>1.244157220835691E-11</c:v>
                </c:pt>
                <c:pt idx="133">
                  <c:v>1.244157220835691E-11</c:v>
                </c:pt>
                <c:pt idx="134">
                  <c:v>1.244157220835691E-11</c:v>
                </c:pt>
                <c:pt idx="135">
                  <c:v>1.244157220835691E-11</c:v>
                </c:pt>
                <c:pt idx="136">
                  <c:v>1.244157220835691E-11</c:v>
                </c:pt>
                <c:pt idx="137">
                  <c:v>1.244157220835691E-11</c:v>
                </c:pt>
                <c:pt idx="138">
                  <c:v>1.244157220835691E-11</c:v>
                </c:pt>
                <c:pt idx="139">
                  <c:v>1.244157220835691E-11</c:v>
                </c:pt>
                <c:pt idx="140">
                  <c:v>1.244157220835691E-11</c:v>
                </c:pt>
                <c:pt idx="141">
                  <c:v>1.244157220835691E-11</c:v>
                </c:pt>
                <c:pt idx="142">
                  <c:v>1.244157220835691E-11</c:v>
                </c:pt>
                <c:pt idx="143">
                  <c:v>1.244157220835691E-11</c:v>
                </c:pt>
                <c:pt idx="144">
                  <c:v>1.244157220835691E-11</c:v>
                </c:pt>
                <c:pt idx="145">
                  <c:v>1.244157220835691E-11</c:v>
                </c:pt>
                <c:pt idx="146">
                  <c:v>1.244157220835691E-11</c:v>
                </c:pt>
                <c:pt idx="147">
                  <c:v>1.244157220835691E-11</c:v>
                </c:pt>
                <c:pt idx="148">
                  <c:v>1.244157220835691E-11</c:v>
                </c:pt>
                <c:pt idx="149">
                  <c:v>1.244157220835691E-11</c:v>
                </c:pt>
                <c:pt idx="150">
                  <c:v>1.244157220835691E-11</c:v>
                </c:pt>
                <c:pt idx="151">
                  <c:v>1.244157220835691E-11</c:v>
                </c:pt>
                <c:pt idx="152">
                  <c:v>1.244157220835691E-11</c:v>
                </c:pt>
                <c:pt idx="153">
                  <c:v>1.244157220835691E-11</c:v>
                </c:pt>
                <c:pt idx="154">
                  <c:v>1.244157220835691E-11</c:v>
                </c:pt>
                <c:pt idx="155">
                  <c:v>1.244157220835691E-11</c:v>
                </c:pt>
                <c:pt idx="156">
                  <c:v>1.244157220835691E-11</c:v>
                </c:pt>
                <c:pt idx="157">
                  <c:v>1.244157220835691E-11</c:v>
                </c:pt>
                <c:pt idx="158">
                  <c:v>1.244157220835691E-11</c:v>
                </c:pt>
                <c:pt idx="159">
                  <c:v>1.244157220835691E-11</c:v>
                </c:pt>
                <c:pt idx="160">
                  <c:v>1.244157220835691E-11</c:v>
                </c:pt>
                <c:pt idx="161">
                  <c:v>1.244157220835691E-11</c:v>
                </c:pt>
                <c:pt idx="162">
                  <c:v>1.244157220835691E-11</c:v>
                </c:pt>
                <c:pt idx="163">
                  <c:v>1.244157220835691E-11</c:v>
                </c:pt>
                <c:pt idx="164">
                  <c:v>1.244157220835691E-11</c:v>
                </c:pt>
                <c:pt idx="165">
                  <c:v>1.244157220835691E-11</c:v>
                </c:pt>
                <c:pt idx="166">
                  <c:v>1.244157220835691E-11</c:v>
                </c:pt>
                <c:pt idx="167">
                  <c:v>1.244157220835691E-11</c:v>
                </c:pt>
                <c:pt idx="168">
                  <c:v>1.244157220835691E-11</c:v>
                </c:pt>
                <c:pt idx="169">
                  <c:v>1.244157220835691E-11</c:v>
                </c:pt>
                <c:pt idx="170">
                  <c:v>1.244157220835691E-11</c:v>
                </c:pt>
                <c:pt idx="171">
                  <c:v>1.244157220835691E-11</c:v>
                </c:pt>
                <c:pt idx="172">
                  <c:v>1.244157220835691E-11</c:v>
                </c:pt>
                <c:pt idx="173">
                  <c:v>1.244157220835691E-11</c:v>
                </c:pt>
                <c:pt idx="174">
                  <c:v>1.244157220835691E-11</c:v>
                </c:pt>
                <c:pt idx="175">
                  <c:v>1.244157220835691E-11</c:v>
                </c:pt>
                <c:pt idx="176">
                  <c:v>1.244157220835691E-11</c:v>
                </c:pt>
                <c:pt idx="177">
                  <c:v>1.244157220835691E-11</c:v>
                </c:pt>
                <c:pt idx="178">
                  <c:v>1.244157220835691E-11</c:v>
                </c:pt>
                <c:pt idx="179">
                  <c:v>1.244157220835691E-11</c:v>
                </c:pt>
                <c:pt idx="180">
                  <c:v>1.244157220835691E-11</c:v>
                </c:pt>
                <c:pt idx="181">
                  <c:v>1.244157220835691E-11</c:v>
                </c:pt>
                <c:pt idx="182">
                  <c:v>1.244157220835691E-11</c:v>
                </c:pt>
                <c:pt idx="183">
                  <c:v>1.244157220835691E-11</c:v>
                </c:pt>
                <c:pt idx="184">
                  <c:v>1.244157220835691E-11</c:v>
                </c:pt>
                <c:pt idx="185">
                  <c:v>1.244157220835691E-11</c:v>
                </c:pt>
                <c:pt idx="186">
                  <c:v>1.244157220835691E-11</c:v>
                </c:pt>
                <c:pt idx="187">
                  <c:v>1.244157220835691E-11</c:v>
                </c:pt>
                <c:pt idx="188">
                  <c:v>1.244157220835691E-11</c:v>
                </c:pt>
                <c:pt idx="189">
                  <c:v>1.244157220835691E-11</c:v>
                </c:pt>
                <c:pt idx="190">
                  <c:v>1.244157220835691E-11</c:v>
                </c:pt>
                <c:pt idx="191">
                  <c:v>1.244157220835691E-11</c:v>
                </c:pt>
                <c:pt idx="192">
                  <c:v>1.244157220835691E-11</c:v>
                </c:pt>
                <c:pt idx="193">
                  <c:v>1.244157220835691E-11</c:v>
                </c:pt>
                <c:pt idx="194">
                  <c:v>1.244157220835691E-11</c:v>
                </c:pt>
                <c:pt idx="195">
                  <c:v>1.244157220835691E-11</c:v>
                </c:pt>
                <c:pt idx="196">
                  <c:v>1.244157220835691E-11</c:v>
                </c:pt>
                <c:pt idx="197">
                  <c:v>1.244157220835691E-11</c:v>
                </c:pt>
                <c:pt idx="198">
                  <c:v>1.244157220835691E-11</c:v>
                </c:pt>
                <c:pt idx="199">
                  <c:v>1.244157220835691E-11</c:v>
                </c:pt>
                <c:pt idx="200">
                  <c:v>1.244157220835691E-11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53088"/>
        <c:axId val="-1908152544"/>
      </c:scatterChart>
      <c:valAx>
        <c:axId val="-1908153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2544"/>
        <c:crosses val="autoZero"/>
        <c:crossBetween val="midCat"/>
      </c:valAx>
      <c:valAx>
        <c:axId val="-190815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3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239.48697379189227</c:v>
                </c:pt>
                <c:pt idx="32">
                  <c:v>254.68092828057149</c:v>
                </c:pt>
                <c:pt idx="33">
                  <c:v>269.85436999219132</c:v>
                </c:pt>
                <c:pt idx="34">
                  <c:v>285.00861482711537</c:v>
                </c:pt>
                <c:pt idx="35">
                  <c:v>300.14482728212647</c:v>
                </c:pt>
                <c:pt idx="36">
                  <c:v>316.77968907933263</c:v>
                </c:pt>
                <c:pt idx="37">
                  <c:v>333.39520579140202</c:v>
                </c:pt>
                <c:pt idx="38">
                  <c:v>349.99247705956412</c:v>
                </c:pt>
                <c:pt idx="39">
                  <c:v>366.57248972714018</c:v>
                </c:pt>
                <c:pt idx="40">
                  <c:v>383.13613409492064</c:v>
                </c:pt>
                <c:pt idx="41">
                  <c:v>400.6166493561177</c:v>
                </c:pt>
                <c:pt idx="42">
                  <c:v>418.0806627593397</c:v>
                </c:pt>
                <c:pt idx="43">
                  <c:v>253.84068765287486</c:v>
                </c:pt>
                <c:pt idx="44">
                  <c:v>269.54411534645834</c:v>
                </c:pt>
                <c:pt idx="45">
                  <c:v>285.2269556868788</c:v>
                </c:pt>
                <c:pt idx="46">
                  <c:v>300.89050001330889</c:v>
                </c:pt>
                <c:pt idx="47">
                  <c:v>316.53589421582359</c:v>
                </c:pt>
                <c:pt idx="48">
                  <c:v>332.16416164893707</c:v>
                </c:pt>
                <c:pt idx="49">
                  <c:v>347.77622150490635</c:v>
                </c:pt>
                <c:pt idx="50">
                  <c:v>267.82045439526416</c:v>
                </c:pt>
                <c:pt idx="51">
                  <c:v>282.55146979709656</c:v>
                </c:pt>
                <c:pt idx="52">
                  <c:v>297.26528301549303</c:v>
                </c:pt>
                <c:pt idx="53">
                  <c:v>311.96286547341651</c:v>
                </c:pt>
                <c:pt idx="54">
                  <c:v>326.64508957022105</c:v>
                </c:pt>
                <c:pt idx="55">
                  <c:v>341.31274286695981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326.02281510462132</c:v>
                </c:pt>
                <c:pt idx="60">
                  <c:v>340.29345196940284</c:v>
                </c:pt>
                <c:pt idx="61">
                  <c:v>354.55092906999721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325.71840229311158</c:v>
                </c:pt>
                <c:pt idx="65">
                  <c:v>339.45671552357027</c:v>
                </c:pt>
                <c:pt idx="66">
                  <c:v>353.18279929233978</c:v>
                </c:pt>
                <c:pt idx="67">
                  <c:v>366.8971958610594</c:v>
                </c:pt>
                <c:pt idx="68">
                  <c:v>380.60040364107698</c:v>
                </c:pt>
                <c:pt idx="69">
                  <c:v>394.29288222380774</c:v>
                </c:pt>
                <c:pt idx="70">
                  <c:v>407.97505667577417</c:v>
                </c:pt>
                <c:pt idx="71">
                  <c:v>421.64732122736677</c:v>
                </c:pt>
                <c:pt idx="72">
                  <c:v>354.38219978506413</c:v>
                </c:pt>
                <c:pt idx="73">
                  <c:v>367.27332514561095</c:v>
                </c:pt>
                <c:pt idx="74">
                  <c:v>380.15457568105825</c:v>
                </c:pt>
                <c:pt idx="75">
                  <c:v>393.02633316528835</c:v>
                </c:pt>
                <c:pt idx="76">
                  <c:v>405.88895232312802</c:v>
                </c:pt>
                <c:pt idx="77">
                  <c:v>418.74276356136397</c:v>
                </c:pt>
                <c:pt idx="78">
                  <c:v>431.58807534691488</c:v>
                </c:pt>
                <c:pt idx="79">
                  <c:v>444.42517628710772</c:v>
                </c:pt>
                <c:pt idx="80">
                  <c:v>379.50930344710486</c:v>
                </c:pt>
                <c:pt idx="81">
                  <c:v>391.59489202964704</c:v>
                </c:pt>
                <c:pt idx="82">
                  <c:v>403.67239195063962</c:v>
                </c:pt>
                <c:pt idx="83">
                  <c:v>415.74207934890154</c:v>
                </c:pt>
                <c:pt idx="84">
                  <c:v>427.80421301983375</c:v>
                </c:pt>
                <c:pt idx="85">
                  <c:v>439.85903597336807</c:v>
                </c:pt>
                <c:pt idx="86">
                  <c:v>451.90677681221672</c:v>
                </c:pt>
                <c:pt idx="87">
                  <c:v>463.94765095548405</c:v>
                </c:pt>
                <c:pt idx="88">
                  <c:v>398.22609617089205</c:v>
                </c:pt>
                <c:pt idx="89">
                  <c:v>409.42150396683769</c:v>
                </c:pt>
                <c:pt idx="90">
                  <c:v>420.61030217914748</c:v>
                </c:pt>
                <c:pt idx="91">
                  <c:v>431.79269144575841</c:v>
                </c:pt>
                <c:pt idx="92">
                  <c:v>442.96886116304546</c:v>
                </c:pt>
                <c:pt idx="93">
                  <c:v>454.13899038945721</c:v>
                </c:pt>
                <c:pt idx="94">
                  <c:v>465.3032486556088</c:v>
                </c:pt>
                <c:pt idx="95">
                  <c:v>476.46179669257435</c:v>
                </c:pt>
                <c:pt idx="96">
                  <c:v>249.87566695731155</c:v>
                </c:pt>
                <c:pt idx="97">
                  <c:v>257.42321497634543</c:v>
                </c:pt>
                <c:pt idx="98">
                  <c:v>264.96575978377649</c:v>
                </c:pt>
                <c:pt idx="99">
                  <c:v>272.50346405734354</c:v>
                </c:pt>
                <c:pt idx="100">
                  <c:v>280.03648073000687</c:v>
                </c:pt>
                <c:pt idx="101">
                  <c:v>287.56495382593943</c:v>
                </c:pt>
                <c:pt idx="102">
                  <c:v>295.08901920431248</c:v>
                </c:pt>
                <c:pt idx="103">
                  <c:v>302.60880522319025</c:v>
                </c:pt>
                <c:pt idx="104">
                  <c:v>310.12443333392645</c:v>
                </c:pt>
                <c:pt idx="105">
                  <c:v>317.63601861488411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59072"/>
        <c:axId val="-1908151456"/>
      </c:scatterChart>
      <c:valAx>
        <c:axId val="-1908159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1456"/>
        <c:crosses val="autoZero"/>
        <c:crossBetween val="midCat"/>
      </c:valAx>
      <c:valAx>
        <c:axId val="-190815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9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2.2914870097786264</c:v>
                </c:pt>
                <c:pt idx="2">
                  <c:v>3.0318793754800732</c:v>
                </c:pt>
                <c:pt idx="3">
                  <c:v>4.0124802913056792</c:v>
                </c:pt>
                <c:pt idx="4">
                  <c:v>5.3115222017889865</c:v>
                </c:pt>
                <c:pt idx="5">
                  <c:v>7.0328082116035331</c:v>
                </c:pt>
                <c:pt idx="6">
                  <c:v>9.3140977190254759</c:v>
                </c:pt>
                <c:pt idx="7">
                  <c:v>12.33825041049009</c:v>
                </c:pt>
                <c:pt idx="8">
                  <c:v>16.348038471537279</c:v>
                </c:pt>
                <c:pt idx="9">
                  <c:v>21.665837745842509</c:v>
                </c:pt>
                <c:pt idx="10">
                  <c:v>28.719809172762542</c:v>
                </c:pt>
                <c:pt idx="11">
                  <c:v>38.078715274510586</c:v>
                </c:pt>
                <c:pt idx="12">
                  <c:v>50.498226886138504</c:v>
                </c:pt>
                <c:pt idx="13">
                  <c:v>66.982521556758726</c:v>
                </c:pt>
                <c:pt idx="14">
                  <c:v>88.866235521427257</c:v>
                </c:pt>
                <c:pt idx="15">
                  <c:v>117.92351039680756</c:v>
                </c:pt>
                <c:pt idx="16">
                  <c:v>132.58566846707615</c:v>
                </c:pt>
                <c:pt idx="17">
                  <c:v>147.20868319853497</c:v>
                </c:pt>
                <c:pt idx="18">
                  <c:v>161.79699433043689</c:v>
                </c:pt>
                <c:pt idx="19">
                  <c:v>176.35417385644337</c:v>
                </c:pt>
                <c:pt idx="20">
                  <c:v>190.88315490424284</c:v>
                </c:pt>
                <c:pt idx="21">
                  <c:v>148.1448304530447</c:v>
                </c:pt>
                <c:pt idx="22">
                  <c:v>162.35744096511164</c:v>
                </c:pt>
                <c:pt idx="23">
                  <c:v>176.54061559438961</c:v>
                </c:pt>
                <c:pt idx="24">
                  <c:v>190.69705365420279</c:v>
                </c:pt>
                <c:pt idx="25">
                  <c:v>204.82902043085244</c:v>
                </c:pt>
                <c:pt idx="26">
                  <c:v>218.19637580534933</c:v>
                </c:pt>
                <c:pt idx="27">
                  <c:v>231.54491400588816</c:v>
                </c:pt>
                <c:pt idx="28">
                  <c:v>244.87587306175826</c:v>
                </c:pt>
                <c:pt idx="29">
                  <c:v>258.19034511136186</c:v>
                </c:pt>
                <c:pt idx="30">
                  <c:v>271.48930039264548</c:v>
                </c:pt>
                <c:pt idx="31">
                  <c:v>227.65345831954789</c:v>
                </c:pt>
                <c:pt idx="32">
                  <c:v>240.24898910471029</c:v>
                </c:pt>
                <c:pt idx="33">
                  <c:v>252.82948997931717</c:v>
                </c:pt>
                <c:pt idx="34">
                  <c:v>265.3958144897008</c:v>
                </c:pt>
                <c:pt idx="35">
                  <c:v>277.94872870657542</c:v>
                </c:pt>
                <c:pt idx="36">
                  <c:v>289.38293116514234</c:v>
                </c:pt>
                <c:pt idx="37">
                  <c:v>300.80703762598421</c:v>
                </c:pt>
                <c:pt idx="38">
                  <c:v>312.22148572483741</c:v>
                </c:pt>
                <c:pt idx="39">
                  <c:v>323.62667847115443</c:v>
                </c:pt>
                <c:pt idx="40">
                  <c:v>335.02298813768738</c:v>
                </c:pt>
                <c:pt idx="41">
                  <c:v>288.82989941789356</c:v>
                </c:pt>
                <c:pt idx="42">
                  <c:v>299.70190776572849</c:v>
                </c:pt>
                <c:pt idx="43">
                  <c:v>310.56513314671798</c:v>
                </c:pt>
                <c:pt idx="44">
                  <c:v>321.41992623463284</c:v>
                </c:pt>
                <c:pt idx="45">
                  <c:v>332.26661207234366</c:v>
                </c:pt>
                <c:pt idx="46">
                  <c:v>342.37089418257489</c:v>
                </c:pt>
                <c:pt idx="47">
                  <c:v>352.46862226287652</c:v>
                </c:pt>
                <c:pt idx="48">
                  <c:v>362.56001063918217</c:v>
                </c:pt>
                <c:pt idx="49">
                  <c:v>372.64526072714688</c:v>
                </c:pt>
                <c:pt idx="50">
                  <c:v>382.72456214571116</c:v>
                </c:pt>
                <c:pt idx="51">
                  <c:v>339.98320906401625</c:v>
                </c:pt>
                <c:pt idx="52">
                  <c:v>349.53176450400855</c:v>
                </c:pt>
                <c:pt idx="53">
                  <c:v>359.07459859126061</c:v>
                </c:pt>
                <c:pt idx="54">
                  <c:v>368.61188489876866</c:v>
                </c:pt>
                <c:pt idx="55">
                  <c:v>378.14378727996063</c:v>
                </c:pt>
                <c:pt idx="56">
                  <c:v>386.93782188026211</c:v>
                </c:pt>
                <c:pt idx="57">
                  <c:v>395.7275166731165</c:v>
                </c:pt>
                <c:pt idx="58">
                  <c:v>404.51298169693899</c:v>
                </c:pt>
                <c:pt idx="59">
                  <c:v>413.29432181793192</c:v>
                </c:pt>
                <c:pt idx="60">
                  <c:v>422.07163708031607</c:v>
                </c:pt>
                <c:pt idx="61">
                  <c:v>379.97624131213121</c:v>
                </c:pt>
                <c:pt idx="62">
                  <c:v>388.21991999001648</c:v>
                </c:pt>
                <c:pt idx="63">
                  <c:v>396.4597988325782</c:v>
                </c:pt>
                <c:pt idx="64">
                  <c:v>404.69596800009577</c:v>
                </c:pt>
                <c:pt idx="65">
                  <c:v>412.92851368148507</c:v>
                </c:pt>
                <c:pt idx="66">
                  <c:v>420.42619259356735</c:v>
                </c:pt>
                <c:pt idx="67">
                  <c:v>427.92099191345005</c:v>
                </c:pt>
                <c:pt idx="68">
                  <c:v>435.41296921989988</c:v>
                </c:pt>
                <c:pt idx="69">
                  <c:v>442.90217994739669</c:v>
                </c:pt>
                <c:pt idx="70">
                  <c:v>450.38867750169061</c:v>
                </c:pt>
                <c:pt idx="71">
                  <c:v>412.92851368148513</c:v>
                </c:pt>
                <c:pt idx="72">
                  <c:v>420.24335687514667</c:v>
                </c:pt>
                <c:pt idx="73">
                  <c:v>427.55545787700925</c:v>
                </c:pt>
                <c:pt idx="74">
                  <c:v>434.8648702289716</c:v>
                </c:pt>
                <c:pt idx="75">
                  <c:v>442.17164552507165</c:v>
                </c:pt>
                <c:pt idx="76">
                  <c:v>448.92810808361315</c:v>
                </c:pt>
                <c:pt idx="77">
                  <c:v>455.68239493388319</c:v>
                </c:pt>
                <c:pt idx="78">
                  <c:v>462.4345428939136</c:v>
                </c:pt>
                <c:pt idx="79">
                  <c:v>469.18458761820074</c:v>
                </c:pt>
                <c:pt idx="80">
                  <c:v>475.9325636510539</c:v>
                </c:pt>
                <c:pt idx="81">
                  <c:v>441.25844110945678</c:v>
                </c:pt>
                <c:pt idx="82">
                  <c:v>447.65002642287277</c:v>
                </c:pt>
                <c:pt idx="83">
                  <c:v>454.03965853817658</c:v>
                </c:pt>
                <c:pt idx="84">
                  <c:v>460.42736883834408</c:v>
                </c:pt>
                <c:pt idx="85">
                  <c:v>466.81318776396671</c:v>
                </c:pt>
                <c:pt idx="86">
                  <c:v>473.01477165455441</c:v>
                </c:pt>
                <c:pt idx="87">
                  <c:v>479.214624883559</c:v>
                </c:pt>
                <c:pt idx="88">
                  <c:v>485.4127730136849</c:v>
                </c:pt>
                <c:pt idx="89">
                  <c:v>491.60924090118425</c:v>
                </c:pt>
                <c:pt idx="90">
                  <c:v>497.8040527242361</c:v>
                </c:pt>
                <c:pt idx="91">
                  <c:v>464.44153106100708</c:v>
                </c:pt>
                <c:pt idx="92">
                  <c:v>470.27899364015747</c:v>
                </c:pt>
                <c:pt idx="93">
                  <c:v>476.11491298718494</c:v>
                </c:pt>
                <c:pt idx="94">
                  <c:v>481.94931069924172</c:v>
                </c:pt>
                <c:pt idx="95">
                  <c:v>487.78220780757994</c:v>
                </c:pt>
                <c:pt idx="96">
                  <c:v>493.43141522263085</c:v>
                </c:pt>
                <c:pt idx="97">
                  <c:v>499.07925174186192</c:v>
                </c:pt>
                <c:pt idx="98">
                  <c:v>504.72573507714452</c:v>
                </c:pt>
                <c:pt idx="99">
                  <c:v>510.37088251149186</c:v>
                </c:pt>
                <c:pt idx="100">
                  <c:v>516.01471091417579</c:v>
                </c:pt>
                <c:pt idx="101">
                  <c:v>485.59504593187461</c:v>
                </c:pt>
                <c:pt idx="102">
                  <c:v>490.69810005821245</c:v>
                </c:pt>
                <c:pt idx="103">
                  <c:v>495.80002866911053</c:v>
                </c:pt>
                <c:pt idx="104">
                  <c:v>500.90084498851155</c:v>
                </c:pt>
                <c:pt idx="105">
                  <c:v>506.00056194887856</c:v>
                </c:pt>
                <c:pt idx="106">
                  <c:v>511.28126619569656</c:v>
                </c:pt>
                <c:pt idx="107">
                  <c:v>516.5608184699023</c:v>
                </c:pt>
                <c:pt idx="108">
                  <c:v>521.83923221342832</c:v>
                </c:pt>
                <c:pt idx="109">
                  <c:v>527.11652057393383</c:v>
                </c:pt>
                <c:pt idx="110">
                  <c:v>532.39269641419389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157984"/>
        <c:axId val="-1908150912"/>
      </c:scatterChart>
      <c:valAx>
        <c:axId val="-1908157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0912"/>
        <c:crosses val="autoZero"/>
        <c:crossBetween val="midCat"/>
      </c:valAx>
      <c:valAx>
        <c:axId val="-1908150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157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3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4" t="s">
        <v>291</v>
      </c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</row>
    <row r="13" spans="2:13" ht="15" customHeight="1" x14ac:dyDescent="0.3"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</row>
    <row r="14" spans="2:13" ht="15" customHeight="1" x14ac:dyDescent="0.3"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</row>
    <row r="15" spans="2:13" ht="18.75" customHeight="1" x14ac:dyDescent="0.3"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</row>
    <row r="16" spans="2:13" ht="18.75" customHeight="1" x14ac:dyDescent="0.3">
      <c r="B16" s="284"/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</row>
    <row r="18" spans="2:13" ht="12" customHeight="1" x14ac:dyDescent="0.3">
      <c r="B18" s="284" t="s">
        <v>292</v>
      </c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</row>
    <row r="19" spans="2:13" ht="12" customHeight="1" x14ac:dyDescent="0.3"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</row>
    <row r="20" spans="2:13" ht="12" customHeight="1" x14ac:dyDescent="0.3"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</row>
    <row r="21" spans="2:13" ht="12" customHeight="1" x14ac:dyDescent="0.3"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</row>
    <row r="22" spans="2:13" ht="12" customHeight="1" x14ac:dyDescent="0.3"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</row>
    <row r="23" spans="2:13" ht="12" customHeight="1" x14ac:dyDescent="0.3"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</row>
    <row r="24" spans="2:13" ht="12" customHeight="1" x14ac:dyDescent="0.3"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</row>
    <row r="25" spans="2:13" ht="12" customHeight="1" x14ac:dyDescent="0.3">
      <c r="B25" s="284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</row>
    <row r="26" spans="2:13" ht="12" customHeight="1" x14ac:dyDescent="0.3"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</row>
    <row r="27" spans="2:13" ht="12" customHeight="1" x14ac:dyDescent="0.3">
      <c r="B27" s="28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</row>
    <row r="28" spans="2:13" ht="12" customHeight="1" x14ac:dyDescent="0.3">
      <c r="B28" s="284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</row>
    <row r="29" spans="2:13" ht="12" customHeight="1" x14ac:dyDescent="0.3">
      <c r="B29" s="284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</row>
    <row r="30" spans="2:13" ht="12" customHeight="1" x14ac:dyDescent="0.3">
      <c r="B30" s="28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</row>
    <row r="31" spans="2:13" ht="12" customHeight="1" x14ac:dyDescent="0.3">
      <c r="B31" s="284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4" zoomScaleNormal="100" workbookViewId="0">
      <selection activeCell="F22" sqref="F2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89" t="s">
        <v>190</v>
      </c>
      <c r="D1" s="289"/>
      <c r="E1" s="28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19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0" t="s">
        <v>192</v>
      </c>
      <c r="C3" s="291"/>
      <c r="D3" s="291"/>
      <c r="E3" s="291"/>
      <c r="F3" s="292"/>
      <c r="G3" s="87"/>
      <c r="I3" s="219" t="s">
        <v>304</v>
      </c>
      <c r="J3" s="8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89"/>
      <c r="B4" s="89"/>
      <c r="C4" s="89"/>
      <c r="D4" s="89"/>
      <c r="E4" s="89"/>
      <c r="F4" s="89"/>
      <c r="G4" s="229"/>
      <c r="I4" s="219" t="s">
        <v>305</v>
      </c>
      <c r="J4" s="8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6" t="s">
        <v>231</v>
      </c>
      <c r="B5" s="296"/>
      <c r="C5" s="26">
        <v>4.9000000000000004</v>
      </c>
      <c r="D5" s="297" t="s">
        <v>229</v>
      </c>
      <c r="E5" s="298"/>
      <c r="F5" s="89"/>
      <c r="G5" s="229"/>
      <c r="H5" s="230"/>
      <c r="I5" s="230"/>
      <c r="J5" s="23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0"/>
      <c r="B6" s="90"/>
      <c r="C6" s="91"/>
      <c r="D6" s="85"/>
      <c r="E6" s="85"/>
      <c r="F6" s="29"/>
      <c r="G6" s="231"/>
      <c r="H6" s="232"/>
      <c r="I6" s="232"/>
      <c r="J6" s="239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38" ht="25.8" x14ac:dyDescent="0.3">
      <c r="A7" s="294" t="s">
        <v>226</v>
      </c>
      <c r="B7" s="294"/>
      <c r="C7" s="89"/>
      <c r="D7" s="89"/>
      <c r="E7" s="5"/>
      <c r="F7" s="89"/>
      <c r="G7" s="229"/>
      <c r="H7" s="230"/>
      <c r="I7" s="230"/>
      <c r="J7" s="238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4"/>
      <c r="J8" s="238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0.23599999999999999</v>
      </c>
      <c r="D9" s="36">
        <f t="shared" ref="D9:D18" si="0">C9*$C$5</f>
        <v>1.1564000000000001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49" t="s">
        <v>306</v>
      </c>
      <c r="I9" s="245"/>
      <c r="J9" s="238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0.29099999999999998</v>
      </c>
      <c r="D10" s="36">
        <f t="shared" si="0"/>
        <v>1.4258999999999999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45"/>
      <c r="J10" s="238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13</v>
      </c>
      <c r="C11" s="35">
        <v>8.6999999999999994E-2</v>
      </c>
      <c r="D11" s="36">
        <f t="shared" si="0"/>
        <v>0.42630000000000001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22"/>
      <c r="I11" s="245"/>
      <c r="J11" s="238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</v>
      </c>
      <c r="C12" s="35">
        <v>5.5E-2</v>
      </c>
      <c r="D12" s="36">
        <f t="shared" si="0"/>
        <v>0.26950000000000002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2"/>
      <c r="I12" s="245"/>
      <c r="J12" s="238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2"/>
      <c r="I13" s="245"/>
      <c r="J13" s="238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6</v>
      </c>
      <c r="C14" s="35">
        <v>0.152</v>
      </c>
      <c r="D14" s="36">
        <f t="shared" si="0"/>
        <v>0.74480000000000002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22"/>
      <c r="I14" s="245"/>
      <c r="J14" s="238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9</v>
      </c>
      <c r="C15" s="35">
        <v>1.7000000000000001E-2</v>
      </c>
      <c r="D15" s="36">
        <f t="shared" si="0"/>
        <v>8.3300000000000013E-2</v>
      </c>
      <c r="E15" s="37">
        <v>130</v>
      </c>
      <c r="F15" s="38" t="str">
        <f t="array" ref="F15">IF(E15="","",IF(INDEX(A:A,MAX(IF(ISNUMBER($A$192:$A$211),ROW($A$192:$A$211),"")))&lt;&gt;E15,"Corrigez : révolution incorrecte","OK"))</f>
        <v>OK</v>
      </c>
      <c r="H15" s="222"/>
      <c r="I15" s="245"/>
      <c r="J15" s="238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164</v>
      </c>
      <c r="C16" s="35">
        <v>5.3999999999999999E-2</v>
      </c>
      <c r="D16" s="36">
        <f t="shared" si="0"/>
        <v>0.2646</v>
      </c>
      <c r="E16" s="37">
        <v>105</v>
      </c>
      <c r="F16" s="38" t="str">
        <f t="array" ref="F16">IF(E16="","",IF(INDEX(A:A,MAX(IF(ISNUMBER($A$218:$A$237),ROW($A$218:$A$237),"")))&lt;&gt;E16,"Corrigez : révolution incorrecte","OK"))</f>
        <v>OK</v>
      </c>
      <c r="H16" s="222"/>
      <c r="I16" s="245"/>
      <c r="J16" s="238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50</v>
      </c>
      <c r="C17" s="35">
        <v>2.5999999999999999E-2</v>
      </c>
      <c r="D17" s="36">
        <f t="shared" si="0"/>
        <v>0.12740000000000001</v>
      </c>
      <c r="E17" s="37">
        <v>110</v>
      </c>
      <c r="F17" s="38" t="str">
        <f t="array" ref="F17">IF(E17="","",IF(INDEX(A:A,MAX(IF(ISNUMBER($A$244:$A$263),ROW($A$244:$A$263),"")))&lt;&gt;E17,"Corrigez : révolution incorrecte","OK"))</f>
        <v>OK</v>
      </c>
      <c r="H17" s="222"/>
      <c r="I17" s="245"/>
      <c r="J17" s="238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2"/>
      <c r="I18" s="245"/>
      <c r="J18" s="238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2"/>
      <c r="B19" s="39" t="s">
        <v>175</v>
      </c>
      <c r="C19" s="40">
        <f>SUM(C9:C18)</f>
        <v>0.91800000000000004</v>
      </c>
      <c r="D19" s="41">
        <f>SUM(D9:D18)</f>
        <v>4.4981999999999998</v>
      </c>
      <c r="E19" s="5"/>
      <c r="F19" s="93"/>
      <c r="G19" s="233"/>
      <c r="H19" s="234"/>
      <c r="I19" s="233"/>
      <c r="J19" s="238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2"/>
      <c r="B20" s="42" t="s">
        <v>230</v>
      </c>
      <c r="C20" s="43" t="str">
        <f>IF(C19&gt;100%,"Erreur : corrigez","OK")</f>
        <v>OK</v>
      </c>
      <c r="D20" s="240"/>
      <c r="F20" s="232"/>
      <c r="G20" s="232"/>
      <c r="H20" s="234"/>
      <c r="I20" s="233"/>
      <c r="J20" s="23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35"/>
      <c r="I21" s="246"/>
      <c r="J21" s="238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3" t="s">
        <v>232</v>
      </c>
      <c r="B22" s="293"/>
      <c r="C22" s="91"/>
      <c r="H22" s="221"/>
      <c r="I22" s="239"/>
      <c r="J22" s="239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</row>
    <row r="23" spans="1:45" x14ac:dyDescent="0.3">
      <c r="A23" s="5"/>
      <c r="B23" s="5"/>
      <c r="C23" s="5"/>
      <c r="H23" s="212"/>
      <c r="I23" s="238"/>
      <c r="J23" s="238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4"/>
      <c r="F24" s="94"/>
      <c r="G24" s="236"/>
      <c r="H24" s="222"/>
      <c r="I24" s="236"/>
      <c r="J24" s="237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5"/>
      <c r="E25" s="5"/>
      <c r="F25" s="95"/>
      <c r="G25" s="237"/>
      <c r="H25" s="222"/>
      <c r="I25" s="237"/>
      <c r="J25" s="237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94"/>
      <c r="F26" s="94"/>
      <c r="G26" s="236"/>
      <c r="I26" s="236"/>
      <c r="J26" s="236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4"/>
      <c r="F27" s="94"/>
      <c r="G27" s="236"/>
      <c r="I27" s="236"/>
      <c r="J27" s="236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38"/>
      <c r="I28" s="238"/>
      <c r="J28" s="238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38"/>
      <c r="I29" s="238"/>
      <c r="J29" s="238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5" t="s">
        <v>227</v>
      </c>
      <c r="B30" s="295"/>
      <c r="D30" s="241"/>
      <c r="H30" s="239"/>
      <c r="I30" s="239"/>
      <c r="J30" s="239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</row>
    <row r="31" spans="1:45" x14ac:dyDescent="0.3">
      <c r="A31" s="5"/>
      <c r="B31" s="5"/>
      <c r="H31" s="238"/>
      <c r="I31" s="238"/>
      <c r="J31" s="238"/>
      <c r="K31" s="241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0" t="s">
        <v>307</v>
      </c>
      <c r="K32" s="241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1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4" t="s">
        <v>185</v>
      </c>
      <c r="C34" s="285" t="s">
        <v>186</v>
      </c>
      <c r="D34" s="285"/>
      <c r="E34" s="286" t="s">
        <v>187</v>
      </c>
      <c r="F34" s="287"/>
      <c r="G34" s="287"/>
      <c r="H34" s="288"/>
      <c r="I34" s="96"/>
      <c r="J34" s="242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3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59">
        <f>42+0</f>
        <v>42</v>
      </c>
      <c r="C36" s="59"/>
      <c r="D36" s="59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59">
        <f>62+8</f>
        <v>70</v>
      </c>
      <c r="C37" s="59">
        <v>1</v>
      </c>
      <c r="D37" s="59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59">
        <f>76+21</f>
        <v>97</v>
      </c>
      <c r="C38" s="59"/>
      <c r="D38" s="59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59">
        <f>95+21+21</f>
        <v>137</v>
      </c>
      <c r="C39" s="59">
        <v>2</v>
      </c>
      <c r="D39" s="59">
        <f>21+21</f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59">
        <f>116+21</f>
        <v>137</v>
      </c>
      <c r="C40" s="59"/>
      <c r="D40" s="59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59">
        <f>137+21+21</f>
        <v>179</v>
      </c>
      <c r="C41" s="59">
        <v>3</v>
      </c>
      <c r="D41" s="59">
        <f>21+21</f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59">
        <f>157+21</f>
        <v>178</v>
      </c>
      <c r="C42" s="59"/>
      <c r="D42" s="59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74">
        <v>55</v>
      </c>
      <c r="B43" s="59">
        <f>176+21+21</f>
        <v>218</v>
      </c>
      <c r="C43" s="59">
        <v>4</v>
      </c>
      <c r="D43" s="59">
        <f>21+21</f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74">
        <v>60</v>
      </c>
      <c r="B44" s="59">
        <f>193+21</f>
        <v>214</v>
      </c>
      <c r="C44" s="59"/>
      <c r="D44" s="59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74">
        <v>65</v>
      </c>
      <c r="B45" s="59">
        <f>208+21+21</f>
        <v>250</v>
      </c>
      <c r="C45" s="59">
        <v>5</v>
      </c>
      <c r="D45" s="59">
        <f>21+21</f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74">
        <v>70</v>
      </c>
      <c r="B46" s="59">
        <f>221+21</f>
        <v>242</v>
      </c>
      <c r="C46" s="59"/>
      <c r="D46" s="59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74">
        <v>75</v>
      </c>
      <c r="B47" s="59">
        <f>231+21+21</f>
        <v>273</v>
      </c>
      <c r="C47" s="59">
        <v>6</v>
      </c>
      <c r="D47" s="59">
        <f>21+21</f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74">
        <v>80</v>
      </c>
      <c r="B48" s="59">
        <f>240+21</f>
        <v>261</v>
      </c>
      <c r="C48" s="59"/>
      <c r="D48" s="59"/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74">
        <v>90</v>
      </c>
      <c r="B49" s="59">
        <f>254+21+21</f>
        <v>296</v>
      </c>
      <c r="C49" s="59">
        <v>7</v>
      </c>
      <c r="D49" s="59">
        <f>21+21</f>
        <v>42</v>
      </c>
      <c r="E49" s="54"/>
      <c r="F49" s="54"/>
      <c r="G49" s="54"/>
      <c r="H49" s="54"/>
      <c r="I49" s="52">
        <f t="shared" si="1"/>
        <v>3.5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74">
        <v>105</v>
      </c>
      <c r="B50" s="59">
        <f>264+20+21+21</f>
        <v>326</v>
      </c>
      <c r="C50" s="53">
        <v>8</v>
      </c>
      <c r="D50" s="59">
        <f>20+21+21</f>
        <v>62</v>
      </c>
      <c r="E50" s="54"/>
      <c r="F50" s="54"/>
      <c r="G50" s="54"/>
      <c r="H50" s="54"/>
      <c r="I50" s="52">
        <f t="shared" si="1"/>
        <v>4.8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74">
        <v>120</v>
      </c>
      <c r="B51" s="59">
        <f>268+17+18+19</f>
        <v>322</v>
      </c>
      <c r="C51" s="53">
        <v>9</v>
      </c>
      <c r="D51" s="59">
        <f>17+18+19</f>
        <v>54</v>
      </c>
      <c r="E51" s="54"/>
      <c r="F51" s="54"/>
      <c r="G51" s="54"/>
      <c r="H51" s="54"/>
      <c r="I51" s="52">
        <f t="shared" si="1"/>
        <v>3.8666666666666667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74">
        <v>135</v>
      </c>
      <c r="B52" s="59">
        <f>269+14+15+16</f>
        <v>314</v>
      </c>
      <c r="C52" s="53">
        <v>10</v>
      </c>
      <c r="D52" s="59">
        <f>14+15+16</f>
        <v>45</v>
      </c>
      <c r="E52" s="54"/>
      <c r="F52" s="54"/>
      <c r="G52" s="54"/>
      <c r="H52" s="54"/>
      <c r="I52" s="52">
        <f t="shared" si="1"/>
        <v>3.0666666666666669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74">
        <v>150</v>
      </c>
      <c r="B53" s="59">
        <f>268+12+13+13</f>
        <v>306</v>
      </c>
      <c r="C53" s="53">
        <v>11</v>
      </c>
      <c r="D53" s="59">
        <f>B53</f>
        <v>306</v>
      </c>
      <c r="E53" s="54"/>
      <c r="F53" s="54"/>
      <c r="G53" s="54"/>
      <c r="H53" s="54"/>
      <c r="I53" s="52">
        <f t="shared" si="1"/>
        <v>2.4666666666666668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74"/>
      <c r="B54" s="59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74"/>
      <c r="B55" s="59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C58" s="25" t="s">
        <v>324</v>
      </c>
      <c r="D58" s="250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97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4" t="s">
        <v>185</v>
      </c>
      <c r="C60" s="285" t="s">
        <v>186</v>
      </c>
      <c r="D60" s="285"/>
      <c r="E60" s="286" t="s">
        <v>187</v>
      </c>
      <c r="F60" s="287"/>
      <c r="G60" s="287"/>
      <c r="H60" s="288"/>
      <c r="I60" s="96"/>
      <c r="J60" s="242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3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9">
        <f>42+0</f>
        <v>42</v>
      </c>
      <c r="C62" s="59"/>
      <c r="D62" s="59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59">
        <f>62+8</f>
        <v>70</v>
      </c>
      <c r="C63" s="59">
        <v>1</v>
      </c>
      <c r="D63" s="59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59">
        <f>76+21</f>
        <v>97</v>
      </c>
      <c r="C64" s="59"/>
      <c r="D64" s="59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59">
        <f>95+21+21</f>
        <v>137</v>
      </c>
      <c r="C65" s="59">
        <v>2</v>
      </c>
      <c r="D65" s="59">
        <f>21+21</f>
        <v>42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59">
        <f>116+21</f>
        <v>137</v>
      </c>
      <c r="C66" s="59"/>
      <c r="D66" s="59"/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59">
        <f>137+21+21</f>
        <v>179</v>
      </c>
      <c r="C67" s="59">
        <v>3</v>
      </c>
      <c r="D67" s="59">
        <f>21+21</f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59">
        <f>157+21</f>
        <v>178</v>
      </c>
      <c r="C68" s="59"/>
      <c r="D68" s="59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74">
        <v>55</v>
      </c>
      <c r="B69" s="59">
        <f>176+21+21</f>
        <v>218</v>
      </c>
      <c r="C69" s="59">
        <v>4</v>
      </c>
      <c r="D69" s="59">
        <f>21+21</f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74">
        <v>60</v>
      </c>
      <c r="B70" s="59">
        <f>193+21</f>
        <v>214</v>
      </c>
      <c r="C70" s="59"/>
      <c r="D70" s="59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74">
        <v>65</v>
      </c>
      <c r="B71" s="59">
        <f>208+21+21</f>
        <v>250</v>
      </c>
      <c r="C71" s="59">
        <v>5</v>
      </c>
      <c r="D71" s="59">
        <f>21+21</f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74">
        <v>70</v>
      </c>
      <c r="B72" s="59">
        <f>221+21</f>
        <v>242</v>
      </c>
      <c r="C72" s="59"/>
      <c r="D72" s="59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74">
        <v>75</v>
      </c>
      <c r="B73" s="59">
        <f>231+21+21</f>
        <v>273</v>
      </c>
      <c r="C73" s="59">
        <v>6</v>
      </c>
      <c r="D73" s="59">
        <f>21+21</f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74">
        <v>80</v>
      </c>
      <c r="B74" s="59">
        <f>240+21</f>
        <v>261</v>
      </c>
      <c r="C74" s="59"/>
      <c r="D74" s="59"/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74">
        <v>90</v>
      </c>
      <c r="B75" s="59">
        <f>254+21+21</f>
        <v>296</v>
      </c>
      <c r="C75" s="59">
        <v>7</v>
      </c>
      <c r="D75" s="59">
        <f>21+21</f>
        <v>42</v>
      </c>
      <c r="E75" s="54"/>
      <c r="F75" s="54"/>
      <c r="G75" s="54"/>
      <c r="H75" s="54"/>
      <c r="I75" s="52">
        <f t="shared" si="2"/>
        <v>3.5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74">
        <v>105</v>
      </c>
      <c r="B76" s="59">
        <f>264+20+21+21</f>
        <v>326</v>
      </c>
      <c r="C76" s="53">
        <v>8</v>
      </c>
      <c r="D76" s="59">
        <f>20+21+21</f>
        <v>62</v>
      </c>
      <c r="E76" s="54"/>
      <c r="F76" s="54"/>
      <c r="G76" s="54"/>
      <c r="H76" s="54"/>
      <c r="I76" s="52">
        <f t="shared" si="2"/>
        <v>4.8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74">
        <v>120</v>
      </c>
      <c r="B77" s="59">
        <f>268+17+18+19</f>
        <v>322</v>
      </c>
      <c r="C77" s="53">
        <v>9</v>
      </c>
      <c r="D77" s="59">
        <f>17+18+19</f>
        <v>54</v>
      </c>
      <c r="E77" s="54"/>
      <c r="F77" s="54"/>
      <c r="G77" s="54"/>
      <c r="H77" s="54"/>
      <c r="I77" s="52">
        <f t="shared" si="2"/>
        <v>3.8666666666666667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74">
        <v>135</v>
      </c>
      <c r="B78" s="59">
        <f>269+14+15+16</f>
        <v>314</v>
      </c>
      <c r="C78" s="53">
        <v>10</v>
      </c>
      <c r="D78" s="59">
        <f>14+15+16</f>
        <v>45</v>
      </c>
      <c r="E78" s="54"/>
      <c r="F78" s="54"/>
      <c r="G78" s="54"/>
      <c r="H78" s="54"/>
      <c r="I78" s="52">
        <f t="shared" si="2"/>
        <v>3.0666666666666669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74">
        <v>150</v>
      </c>
      <c r="B79" s="59">
        <f>268+12+13+13</f>
        <v>306</v>
      </c>
      <c r="C79" s="53">
        <v>11</v>
      </c>
      <c r="D79" s="59">
        <f>B79</f>
        <v>306</v>
      </c>
      <c r="E79" s="54"/>
      <c r="F79" s="54"/>
      <c r="G79" s="54"/>
      <c r="H79" s="54"/>
      <c r="I79" s="52">
        <f t="shared" si="2"/>
        <v>2.4666666666666668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rouge d'Amérique</v>
      </c>
      <c r="D84" s="250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97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4" t="s">
        <v>185</v>
      </c>
      <c r="C86" s="285" t="s">
        <v>186</v>
      </c>
      <c r="D86" s="285"/>
      <c r="E86" s="286" t="s">
        <v>187</v>
      </c>
      <c r="F86" s="287"/>
      <c r="G86" s="287"/>
      <c r="H86" s="288"/>
      <c r="I86" s="96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59">
        <f>87/1.56</f>
        <v>55.769230769230766</v>
      </c>
      <c r="C88" s="59">
        <v>1</v>
      </c>
      <c r="D88" s="59">
        <f>21/1.56</f>
        <v>13.461538461538462</v>
      </c>
      <c r="E88" s="54"/>
      <c r="F88" s="54"/>
      <c r="G88" s="54"/>
      <c r="H88" s="86">
        <v>1</v>
      </c>
      <c r="I88" s="56">
        <f>IFERROR(B88/A88,"")</f>
        <v>3.7179487179487176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9">
        <v>20</v>
      </c>
      <c r="B89" s="59">
        <f>137/1.56</f>
        <v>87.820512820512818</v>
      </c>
      <c r="C89" s="59">
        <v>2</v>
      </c>
      <c r="D89" s="59">
        <f>43/1.56</f>
        <v>27.564102564102562</v>
      </c>
      <c r="E89" s="54"/>
      <c r="F89" s="54"/>
      <c r="G89" s="54"/>
      <c r="H89" s="86">
        <v>1</v>
      </c>
      <c r="I89" s="56">
        <f t="shared" ref="I89:I107" si="3">IF(A89&lt;&gt;0,(B89-(B88-D88))/(A89-A88),"")</f>
        <v>9.1025641025641022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9">
        <v>25</v>
      </c>
      <c r="B90" s="59">
        <f>163/1.56</f>
        <v>104.48717948717949</v>
      </c>
      <c r="C90" s="59">
        <v>3</v>
      </c>
      <c r="D90" s="59">
        <f>44/1.56</f>
        <v>28.205128205128204</v>
      </c>
      <c r="E90" s="86"/>
      <c r="F90" s="86">
        <v>0.2</v>
      </c>
      <c r="G90" s="86"/>
      <c r="H90" s="86">
        <v>0.8</v>
      </c>
      <c r="I90" s="56">
        <f t="shared" si="3"/>
        <v>8.8461538461538467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9">
        <v>30</v>
      </c>
      <c r="B91" s="59">
        <f>184/1.56</f>
        <v>117.94871794871794</v>
      </c>
      <c r="C91" s="59">
        <v>4</v>
      </c>
      <c r="D91" s="59">
        <f>44/1.56</f>
        <v>28.205128205128204</v>
      </c>
      <c r="E91" s="86">
        <v>0.2</v>
      </c>
      <c r="F91" s="86">
        <v>0.2</v>
      </c>
      <c r="G91" s="86"/>
      <c r="H91" s="86">
        <v>0.6</v>
      </c>
      <c r="I91" s="56">
        <f t="shared" si="3"/>
        <v>8.3333333333333321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9">
        <v>35</v>
      </c>
      <c r="B92" s="59">
        <f>201/1.56</f>
        <v>128.84615384615384</v>
      </c>
      <c r="C92" s="59">
        <v>5</v>
      </c>
      <c r="D92" s="59">
        <f>42/1.56</f>
        <v>26.923076923076923</v>
      </c>
      <c r="E92" s="86"/>
      <c r="F92" s="86"/>
      <c r="G92" s="86"/>
      <c r="H92" s="86"/>
      <c r="I92" s="56">
        <f t="shared" si="3"/>
        <v>7.8205128205128203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9">
        <v>40</v>
      </c>
      <c r="B93" s="59">
        <f>213/1.56</f>
        <v>136.53846153846155</v>
      </c>
      <c r="C93" s="59">
        <v>6</v>
      </c>
      <c r="D93" s="59">
        <f>39/1.56</f>
        <v>25</v>
      </c>
      <c r="E93" s="86"/>
      <c r="F93" s="86"/>
      <c r="G93" s="86"/>
      <c r="H93" s="86"/>
      <c r="I93" s="56">
        <f t="shared" si="3"/>
        <v>6.9230769230769251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9">
        <v>45</v>
      </c>
      <c r="B94" s="59">
        <f>223/1.56</f>
        <v>142.94871794871796</v>
      </c>
      <c r="C94" s="59">
        <v>7</v>
      </c>
      <c r="D94" s="59">
        <f>36/1.56</f>
        <v>23.076923076923077</v>
      </c>
      <c r="E94" s="86"/>
      <c r="F94" s="86"/>
      <c r="G94" s="86"/>
      <c r="H94" s="86"/>
      <c r="I94" s="56">
        <f t="shared" si="3"/>
        <v>6.2820512820512819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9">
        <v>50</v>
      </c>
      <c r="B95" s="59">
        <f>231/1.56</f>
        <v>148.07692307692307</v>
      </c>
      <c r="C95" s="59">
        <v>8</v>
      </c>
      <c r="D95" s="59">
        <f>33/1.56</f>
        <v>21.153846153846153</v>
      </c>
      <c r="E95" s="54"/>
      <c r="F95" s="54"/>
      <c r="G95" s="54"/>
      <c r="H95" s="54"/>
      <c r="I95" s="56">
        <f t="shared" si="3"/>
        <v>5.6410256410256379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9">
        <v>55</v>
      </c>
      <c r="B96" s="59">
        <f>237/1.56</f>
        <v>151.92307692307691</v>
      </c>
      <c r="C96" s="59">
        <v>9</v>
      </c>
      <c r="D96" s="59">
        <f>29/1.56</f>
        <v>18.589743589743588</v>
      </c>
      <c r="E96" s="54"/>
      <c r="F96" s="54"/>
      <c r="G96" s="54"/>
      <c r="H96" s="54"/>
      <c r="I96" s="56">
        <f t="shared" si="3"/>
        <v>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9">
        <v>60</v>
      </c>
      <c r="B97" s="59">
        <f>242/1.56</f>
        <v>155.12820512820511</v>
      </c>
      <c r="C97" s="59">
        <v>10</v>
      </c>
      <c r="D97" s="59">
        <f>26/1.56</f>
        <v>16.666666666666668</v>
      </c>
      <c r="E97" s="54"/>
      <c r="F97" s="54"/>
      <c r="G97" s="54"/>
      <c r="H97" s="54"/>
      <c r="I97" s="56">
        <f t="shared" si="3"/>
        <v>4.3589743589743595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9">
        <v>65</v>
      </c>
      <c r="B98" s="59">
        <f>246/1.56</f>
        <v>157.69230769230768</v>
      </c>
      <c r="C98" s="59">
        <v>11</v>
      </c>
      <c r="D98" s="59">
        <f>23/1.56</f>
        <v>14.743589743589743</v>
      </c>
      <c r="E98" s="54"/>
      <c r="F98" s="54"/>
      <c r="G98" s="54"/>
      <c r="H98" s="54"/>
      <c r="I98" s="56">
        <f t="shared" si="3"/>
        <v>3.8461538461538454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9">
        <v>70</v>
      </c>
      <c r="B99" s="59">
        <f>249/1.56</f>
        <v>159.61538461538461</v>
      </c>
      <c r="C99" s="59">
        <v>12</v>
      </c>
      <c r="D99" s="59">
        <f>B99</f>
        <v>159.61538461538461</v>
      </c>
      <c r="E99" s="54"/>
      <c r="F99" s="54"/>
      <c r="G99" s="54"/>
      <c r="H99" s="54"/>
      <c r="I99" s="56">
        <f t="shared" si="3"/>
        <v>3.333333333333337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9"/>
      <c r="B100" s="59"/>
      <c r="C100" s="59"/>
      <c r="D100" s="59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9"/>
      <c r="B101" s="59"/>
      <c r="C101" s="59"/>
      <c r="D101" s="59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74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74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74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74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74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74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Alisier torminal</v>
      </c>
      <c r="D110" s="250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97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4" t="s">
        <v>185</v>
      </c>
      <c r="C112" s="285" t="s">
        <v>186</v>
      </c>
      <c r="D112" s="285"/>
      <c r="E112" s="286" t="s">
        <v>187</v>
      </c>
      <c r="F112" s="287"/>
      <c r="G112" s="287"/>
      <c r="H112" s="288"/>
      <c r="I112" s="96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35</v>
      </c>
      <c r="B114" s="59">
        <f>66+13</f>
        <v>79</v>
      </c>
      <c r="C114" s="59">
        <v>1</v>
      </c>
      <c r="D114" s="59">
        <v>13</v>
      </c>
      <c r="E114" s="54"/>
      <c r="F114" s="54"/>
      <c r="G114" s="54"/>
      <c r="H114" s="54">
        <v>1</v>
      </c>
      <c r="I114" s="56">
        <f>IFERROR(B114/A114,"")</f>
        <v>2.2571428571428571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45</v>
      </c>
      <c r="B115" s="59">
        <f>93+14+14</f>
        <v>121</v>
      </c>
      <c r="C115" s="59">
        <v>2</v>
      </c>
      <c r="D115" s="59">
        <f t="shared" ref="D115:D121" si="4">14+14</f>
        <v>28</v>
      </c>
      <c r="E115" s="54"/>
      <c r="F115" s="54"/>
      <c r="G115" s="54"/>
      <c r="H115" s="54"/>
      <c r="I115" s="56">
        <f t="shared" ref="I115:I133" si="5">IF(A115&lt;&gt;0,(B115-(B114-D114))/(A115-A114),"")</f>
        <v>5.5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55</v>
      </c>
      <c r="B116" s="59">
        <f>121+14+14</f>
        <v>149</v>
      </c>
      <c r="C116" s="59">
        <v>3</v>
      </c>
      <c r="D116" s="59">
        <f t="shared" si="4"/>
        <v>28</v>
      </c>
      <c r="E116" s="54"/>
      <c r="F116" s="54"/>
      <c r="G116" s="54"/>
      <c r="H116" s="54"/>
      <c r="I116" s="56">
        <f t="shared" si="5"/>
        <v>5.6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65</v>
      </c>
      <c r="B117" s="59">
        <f>147+14+14</f>
        <v>175</v>
      </c>
      <c r="C117" s="59">
        <v>4</v>
      </c>
      <c r="D117" s="59">
        <f t="shared" si="4"/>
        <v>28</v>
      </c>
      <c r="E117" s="54"/>
      <c r="F117" s="54"/>
      <c r="G117" s="54"/>
      <c r="H117" s="54"/>
      <c r="I117" s="56">
        <f t="shared" si="5"/>
        <v>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75</v>
      </c>
      <c r="B118" s="59">
        <f>169+14+14</f>
        <v>197</v>
      </c>
      <c r="C118" s="59">
        <v>5</v>
      </c>
      <c r="D118" s="59">
        <f t="shared" si="4"/>
        <v>28</v>
      </c>
      <c r="E118" s="54"/>
      <c r="F118" s="54"/>
      <c r="G118" s="54"/>
      <c r="H118" s="54"/>
      <c r="I118" s="56">
        <f t="shared" si="5"/>
        <v>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85</v>
      </c>
      <c r="B119" s="59">
        <f>186+14+14</f>
        <v>214</v>
      </c>
      <c r="C119" s="59">
        <v>6</v>
      </c>
      <c r="D119" s="59">
        <f t="shared" si="4"/>
        <v>28</v>
      </c>
      <c r="E119" s="54"/>
      <c r="F119" s="54"/>
      <c r="G119" s="54"/>
      <c r="H119" s="54"/>
      <c r="I119" s="56">
        <f t="shared" si="5"/>
        <v>4.5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95</v>
      </c>
      <c r="B120" s="59">
        <f>198+14+14</f>
        <v>226</v>
      </c>
      <c r="C120" s="59">
        <v>7</v>
      </c>
      <c r="D120" s="59">
        <f t="shared" si="4"/>
        <v>28</v>
      </c>
      <c r="E120" s="54"/>
      <c r="F120" s="54"/>
      <c r="G120" s="54"/>
      <c r="H120" s="54"/>
      <c r="I120" s="56">
        <f t="shared" si="5"/>
        <v>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105</v>
      </c>
      <c r="B121" s="59">
        <f>204+14+14</f>
        <v>232</v>
      </c>
      <c r="C121" s="59">
        <v>8</v>
      </c>
      <c r="D121" s="59">
        <f t="shared" si="4"/>
        <v>28</v>
      </c>
      <c r="E121" s="54"/>
      <c r="F121" s="54"/>
      <c r="G121" s="54"/>
      <c r="H121" s="54"/>
      <c r="I121" s="56">
        <f t="shared" si="5"/>
        <v>3.4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115</v>
      </c>
      <c r="B122" s="59">
        <f>208+13+13</f>
        <v>234</v>
      </c>
      <c r="C122" s="59">
        <v>9</v>
      </c>
      <c r="D122" s="59">
        <f>13+13</f>
        <v>26</v>
      </c>
      <c r="E122" s="54"/>
      <c r="F122" s="54"/>
      <c r="G122" s="54"/>
      <c r="H122" s="54"/>
      <c r="I122" s="56">
        <f t="shared" si="5"/>
        <v>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125</v>
      </c>
      <c r="B123" s="59">
        <f>209+11+12</f>
        <v>232</v>
      </c>
      <c r="C123" s="59">
        <v>10</v>
      </c>
      <c r="D123" s="59">
        <f>11+12</f>
        <v>23</v>
      </c>
      <c r="E123" s="54"/>
      <c r="F123" s="54"/>
      <c r="G123" s="54"/>
      <c r="H123" s="54"/>
      <c r="I123" s="56">
        <f t="shared" si="5"/>
        <v>2.4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135</v>
      </c>
      <c r="B124" s="59">
        <f>210+9+10</f>
        <v>229</v>
      </c>
      <c r="C124" s="59">
        <v>11</v>
      </c>
      <c r="D124" s="59">
        <f>9+10</f>
        <v>19</v>
      </c>
      <c r="E124" s="54"/>
      <c r="F124" s="54"/>
      <c r="G124" s="54"/>
      <c r="H124" s="54"/>
      <c r="I124" s="56">
        <f t="shared" si="5"/>
        <v>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145</v>
      </c>
      <c r="B125" s="59">
        <f>211+7+8</f>
        <v>226</v>
      </c>
      <c r="C125" s="59"/>
      <c r="D125" s="59"/>
      <c r="E125" s="54"/>
      <c r="F125" s="54"/>
      <c r="G125" s="54"/>
      <c r="H125" s="54"/>
      <c r="I125" s="56">
        <f t="shared" si="5"/>
        <v>1.6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274">
        <v>150</v>
      </c>
      <c r="B126" s="59">
        <f>211+6+7+8</f>
        <v>232</v>
      </c>
      <c r="C126" s="59">
        <v>13</v>
      </c>
      <c r="D126" s="59">
        <f>B126</f>
        <v>232</v>
      </c>
      <c r="E126" s="54"/>
      <c r="F126" s="54"/>
      <c r="G126" s="54"/>
      <c r="H126" s="54"/>
      <c r="I126" s="56">
        <f t="shared" si="5"/>
        <v>1.2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274"/>
      <c r="B127" s="59"/>
      <c r="C127" s="59"/>
      <c r="D127" s="59"/>
      <c r="E127" s="54"/>
      <c r="F127" s="54"/>
      <c r="G127" s="54"/>
      <c r="H127" s="54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274"/>
      <c r="B128" s="59"/>
      <c r="C128" s="53"/>
      <c r="D128" s="59"/>
      <c r="E128" s="54"/>
      <c r="F128" s="54"/>
      <c r="G128" s="54"/>
      <c r="H128" s="54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274"/>
      <c r="B129" s="59"/>
      <c r="C129" s="53"/>
      <c r="D129" s="59"/>
      <c r="E129" s="54"/>
      <c r="F129" s="54"/>
      <c r="G129" s="54"/>
      <c r="H129" s="54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9"/>
      <c r="C130" s="53"/>
      <c r="D130" s="59"/>
      <c r="E130" s="54"/>
      <c r="F130" s="54"/>
      <c r="G130" s="54"/>
      <c r="H130" s="54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9"/>
      <c r="C131" s="53"/>
      <c r="D131" s="59"/>
      <c r="E131" s="54"/>
      <c r="F131" s="54"/>
      <c r="G131" s="54"/>
      <c r="H131" s="54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9"/>
      <c r="C132" s="53"/>
      <c r="D132" s="59"/>
      <c r="E132" s="54"/>
      <c r="F132" s="54"/>
      <c r="G132" s="54"/>
      <c r="H132" s="54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9"/>
      <c r="C133" s="53"/>
      <c r="D133" s="59"/>
      <c r="E133" s="54"/>
      <c r="F133" s="54"/>
      <c r="G133" s="54"/>
      <c r="H133" s="54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0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97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4" t="s">
        <v>185</v>
      </c>
      <c r="C138" s="285" t="s">
        <v>186</v>
      </c>
      <c r="D138" s="285"/>
      <c r="E138" s="286" t="s">
        <v>187</v>
      </c>
      <c r="F138" s="287"/>
      <c r="G138" s="287"/>
      <c r="H138" s="288"/>
      <c r="I138" s="96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59"/>
      <c r="C140" s="59"/>
      <c r="D140" s="59"/>
      <c r="E140" s="54"/>
      <c r="F140" s="54"/>
      <c r="G140" s="54"/>
      <c r="H140" s="54"/>
      <c r="I140" s="57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59"/>
      <c r="C141" s="59"/>
      <c r="D141" s="59"/>
      <c r="E141" s="54"/>
      <c r="F141" s="54"/>
      <c r="G141" s="54"/>
      <c r="H141" s="54"/>
      <c r="I141" s="57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59"/>
      <c r="C142" s="59"/>
      <c r="D142" s="59"/>
      <c r="E142" s="54"/>
      <c r="F142" s="54"/>
      <c r="G142" s="54"/>
      <c r="H142" s="54"/>
      <c r="I142" s="57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59"/>
      <c r="C143" s="59"/>
      <c r="D143" s="59"/>
      <c r="E143" s="54"/>
      <c r="F143" s="54"/>
      <c r="G143" s="54"/>
      <c r="H143" s="54"/>
      <c r="I143" s="57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59"/>
      <c r="C144" s="59"/>
      <c r="D144" s="59"/>
      <c r="E144" s="54"/>
      <c r="F144" s="54"/>
      <c r="G144" s="54"/>
      <c r="H144" s="54"/>
      <c r="I144" s="57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59"/>
      <c r="C145" s="59"/>
      <c r="D145" s="59"/>
      <c r="E145" s="54"/>
      <c r="F145" s="54"/>
      <c r="G145" s="54"/>
      <c r="H145" s="54"/>
      <c r="I145" s="57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59"/>
      <c r="C146" s="59"/>
      <c r="D146" s="59"/>
      <c r="E146" s="54"/>
      <c r="F146" s="54"/>
      <c r="G146" s="54"/>
      <c r="H146" s="54"/>
      <c r="I146" s="57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59"/>
      <c r="C147" s="53"/>
      <c r="D147" s="59"/>
      <c r="E147" s="54"/>
      <c r="F147" s="54"/>
      <c r="G147" s="54"/>
      <c r="H147" s="54"/>
      <c r="I147" s="57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59"/>
      <c r="C148" s="53"/>
      <c r="D148" s="59"/>
      <c r="E148" s="54"/>
      <c r="F148" s="54"/>
      <c r="G148" s="54"/>
      <c r="H148" s="54"/>
      <c r="I148" s="57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59"/>
      <c r="C149" s="53"/>
      <c r="D149" s="59"/>
      <c r="E149" s="54"/>
      <c r="F149" s="54"/>
      <c r="G149" s="54"/>
      <c r="H149" s="54"/>
      <c r="I149" s="57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59"/>
      <c r="C150" s="53"/>
      <c r="D150" s="59"/>
      <c r="E150" s="54"/>
      <c r="F150" s="54"/>
      <c r="G150" s="54"/>
      <c r="H150" s="54"/>
      <c r="I150" s="57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59"/>
      <c r="C151" s="53"/>
      <c r="D151" s="59"/>
      <c r="E151" s="54"/>
      <c r="F151" s="54"/>
      <c r="G151" s="54"/>
      <c r="H151" s="54"/>
      <c r="I151" s="57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59"/>
      <c r="C152" s="53"/>
      <c r="D152" s="59"/>
      <c r="E152" s="54"/>
      <c r="F152" s="54"/>
      <c r="G152" s="54"/>
      <c r="H152" s="54"/>
      <c r="I152" s="57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59"/>
      <c r="C153" s="53"/>
      <c r="D153" s="59"/>
      <c r="E153" s="54"/>
      <c r="F153" s="54"/>
      <c r="G153" s="54"/>
      <c r="H153" s="54"/>
      <c r="I153" s="57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59"/>
      <c r="C154" s="53"/>
      <c r="D154" s="59"/>
      <c r="E154" s="54"/>
      <c r="F154" s="54"/>
      <c r="G154" s="54"/>
      <c r="H154" s="54"/>
      <c r="I154" s="57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59"/>
      <c r="C155" s="53"/>
      <c r="D155" s="59"/>
      <c r="E155" s="54"/>
      <c r="F155" s="54"/>
      <c r="G155" s="54"/>
      <c r="H155" s="54"/>
      <c r="I155" s="57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9"/>
      <c r="C156" s="53"/>
      <c r="D156" s="59"/>
      <c r="E156" s="54"/>
      <c r="F156" s="54"/>
      <c r="G156" s="54"/>
      <c r="H156" s="54"/>
      <c r="I156" s="57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274"/>
      <c r="B157" s="53"/>
      <c r="C157" s="53"/>
      <c r="D157" s="53"/>
      <c r="E157" s="54"/>
      <c r="F157" s="54"/>
      <c r="G157" s="54"/>
      <c r="H157" s="54"/>
      <c r="I157" s="57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274"/>
      <c r="B158" s="53"/>
      <c r="C158" s="53"/>
      <c r="D158" s="53"/>
      <c r="E158" s="54"/>
      <c r="F158" s="54"/>
      <c r="G158" s="54"/>
      <c r="H158" s="54"/>
      <c r="I158" s="57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274"/>
      <c r="B159" s="53"/>
      <c r="C159" s="53"/>
      <c r="D159" s="53"/>
      <c r="E159" s="54"/>
      <c r="F159" s="54"/>
      <c r="G159" s="54"/>
      <c r="H159" s="54"/>
      <c r="I159" s="57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Charme</v>
      </c>
      <c r="D162" s="250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97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4" t="s">
        <v>185</v>
      </c>
      <c r="C164" s="285" t="s">
        <v>186</v>
      </c>
      <c r="D164" s="285"/>
      <c r="E164" s="286" t="s">
        <v>187</v>
      </c>
      <c r="F164" s="287"/>
      <c r="G164" s="287"/>
      <c r="H164" s="288"/>
      <c r="I164" s="96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59">
        <f>(89+10)/1.65</f>
        <v>60</v>
      </c>
      <c r="C166" s="53">
        <v>1</v>
      </c>
      <c r="D166" s="59">
        <f>(14+10)/1.56</f>
        <v>15.384615384615383</v>
      </c>
      <c r="E166" s="54"/>
      <c r="F166" s="54"/>
      <c r="G166" s="54"/>
      <c r="H166" s="54">
        <v>1</v>
      </c>
      <c r="I166" s="52">
        <f>IFERROR(B166/A166,"")</f>
        <v>3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30</v>
      </c>
      <c r="B167" s="59">
        <f>(154+18)/1.65</f>
        <v>104.24242424242425</v>
      </c>
      <c r="C167" s="53">
        <v>2</v>
      </c>
      <c r="D167" s="59">
        <f>(20+18)/1.56</f>
        <v>24.358974358974358</v>
      </c>
      <c r="E167" s="54"/>
      <c r="F167" s="54"/>
      <c r="G167" s="54"/>
      <c r="H167" s="54">
        <v>1</v>
      </c>
      <c r="I167" s="52">
        <f t="shared" ref="I167:I185" si="7">IF(A167&lt;&gt;0,(B167-(B166-D166))/(A167-A166),"")</f>
        <v>5.962703962703964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283">
        <v>40</v>
      </c>
      <c r="B168" s="59">
        <f>(206+21)/1.65</f>
        <v>137.57575757575759</v>
      </c>
      <c r="C168" s="53">
        <v>3</v>
      </c>
      <c r="D168" s="59">
        <f>(22+21)/1.65</f>
        <v>26.060606060606062</v>
      </c>
      <c r="E168" s="54"/>
      <c r="F168" s="54"/>
      <c r="G168" s="54"/>
      <c r="H168" s="54"/>
      <c r="I168" s="52">
        <f t="shared" si="7"/>
        <v>5.7692307692307709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50</v>
      </c>
      <c r="B169" s="59">
        <f>(247+22)/1.65</f>
        <v>163.03030303030303</v>
      </c>
      <c r="C169" s="53">
        <v>4</v>
      </c>
      <c r="D169" s="59">
        <f>(22+22)/1.65</f>
        <v>26.666666666666668</v>
      </c>
      <c r="E169" s="54"/>
      <c r="F169" s="54"/>
      <c r="G169" s="54"/>
      <c r="H169" s="54"/>
      <c r="I169" s="52">
        <f t="shared" si="7"/>
        <v>5.1515151515151505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60</v>
      </c>
      <c r="B170" s="59">
        <f>(278+22)/1.65</f>
        <v>181.81818181818184</v>
      </c>
      <c r="C170" s="53">
        <v>5</v>
      </c>
      <c r="D170" s="59">
        <f>(22+22)/1.65</f>
        <v>26.666666666666668</v>
      </c>
      <c r="E170" s="54"/>
      <c r="F170" s="54"/>
      <c r="G170" s="54"/>
      <c r="H170" s="54"/>
      <c r="I170" s="52">
        <f t="shared" si="7"/>
        <v>4.5454545454545467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283">
        <v>70</v>
      </c>
      <c r="B171" s="59">
        <f>(302+22)/1.65</f>
        <v>196.36363636363637</v>
      </c>
      <c r="C171" s="53">
        <v>6</v>
      </c>
      <c r="D171" s="59">
        <f>(21+22)/1.65</f>
        <v>26.060606060606062</v>
      </c>
      <c r="E171" s="54"/>
      <c r="F171" s="54"/>
      <c r="G171" s="54"/>
      <c r="H171" s="54"/>
      <c r="I171" s="52">
        <f t="shared" si="7"/>
        <v>4.1212121212121193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80</v>
      </c>
      <c r="B172" s="59">
        <f>(322+21)/1.65</f>
        <v>207.8787878787879</v>
      </c>
      <c r="C172" s="53">
        <v>7</v>
      </c>
      <c r="D172" s="59">
        <f>(20+21)/1.65</f>
        <v>24.848484848484851</v>
      </c>
      <c r="E172" s="54"/>
      <c r="F172" s="54"/>
      <c r="G172" s="54"/>
      <c r="H172" s="54"/>
      <c r="I172" s="52">
        <f t="shared" si="7"/>
        <v>3.7575757575757591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90</v>
      </c>
      <c r="B173" s="59">
        <f>(339+20)/1.65</f>
        <v>217.57575757575759</v>
      </c>
      <c r="C173" s="53">
        <v>8</v>
      </c>
      <c r="D173" s="59">
        <f>(19+20)/1.65</f>
        <v>23.636363636363637</v>
      </c>
      <c r="E173" s="54"/>
      <c r="F173" s="54"/>
      <c r="G173" s="54"/>
      <c r="H173" s="54"/>
      <c r="I173" s="52">
        <f t="shared" si="7"/>
        <v>3.4545454545454533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3">
        <v>100</v>
      </c>
      <c r="B174" s="59">
        <f>(353+18)/1.65</f>
        <v>224.84848484848487</v>
      </c>
      <c r="C174" s="53">
        <v>9</v>
      </c>
      <c r="D174" s="59">
        <f>(18+18)/1.65</f>
        <v>21.81818181818182</v>
      </c>
      <c r="E174" s="54"/>
      <c r="F174" s="54"/>
      <c r="G174" s="54"/>
      <c r="H174" s="54"/>
      <c r="I174" s="52">
        <f t="shared" si="7"/>
        <v>3.0909090909090908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110</v>
      </c>
      <c r="B175" s="59">
        <f>(366+17)/1.65</f>
        <v>232.12121212121212</v>
      </c>
      <c r="C175" s="53">
        <v>10</v>
      </c>
      <c r="D175" s="59">
        <f>(17+17)/1.65</f>
        <v>20.606060606060606</v>
      </c>
      <c r="E175" s="54"/>
      <c r="F175" s="54"/>
      <c r="G175" s="54"/>
      <c r="H175" s="54"/>
      <c r="I175" s="52">
        <f t="shared" si="7"/>
        <v>2.9090909090909065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120</v>
      </c>
      <c r="B176" s="59">
        <f>(376+16)/1.65</f>
        <v>237.57575757575759</v>
      </c>
      <c r="C176" s="53">
        <v>11</v>
      </c>
      <c r="D176" s="59">
        <f>B176</f>
        <v>237.57575757575759</v>
      </c>
      <c r="E176" s="54"/>
      <c r="F176" s="54"/>
      <c r="G176" s="54"/>
      <c r="H176" s="54"/>
      <c r="I176" s="52">
        <f t="shared" si="7"/>
        <v>2.6060606060606064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3"/>
      <c r="B177" s="59"/>
      <c r="C177" s="53"/>
      <c r="D177" s="59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9"/>
      <c r="C178" s="53"/>
      <c r="D178" s="59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9"/>
      <c r="C179" s="53"/>
      <c r="D179" s="59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9"/>
      <c r="C180" s="53"/>
      <c r="D180" s="59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9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Chêne chevelu</v>
      </c>
      <c r="D188" s="250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97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4" t="s">
        <v>185</v>
      </c>
      <c r="C190" s="285" t="s">
        <v>186</v>
      </c>
      <c r="D190" s="285"/>
      <c r="E190" s="286" t="s">
        <v>187</v>
      </c>
      <c r="F190" s="287"/>
      <c r="G190" s="287"/>
      <c r="H190" s="288"/>
      <c r="I190" s="96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59">
        <f>(66)/1.56</f>
        <v>42.307692307692307</v>
      </c>
      <c r="C192" s="59"/>
      <c r="D192" s="59"/>
      <c r="E192" s="54"/>
      <c r="F192" s="54"/>
      <c r="G192" s="54"/>
      <c r="H192" s="54"/>
      <c r="I192" s="52">
        <f>IFERROR(B192/A192,"")</f>
        <v>2.8205128205128203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59">
        <f>(116+8)/1.56</f>
        <v>79.487179487179489</v>
      </c>
      <c r="C193" s="59">
        <v>1</v>
      </c>
      <c r="D193" s="59">
        <f>(12+8)/1.56</f>
        <v>12.820512820512819</v>
      </c>
      <c r="E193" s="54"/>
      <c r="F193" s="54"/>
      <c r="G193" s="54"/>
      <c r="H193" s="54">
        <v>1</v>
      </c>
      <c r="I193" s="52">
        <f t="shared" ref="I193:I211" si="8">IF(A193&lt;&gt;0,(B193-(B192-D192))/(A193-A192),"")</f>
        <v>7.4358974358974361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59">
        <f>(168)/1.56</f>
        <v>107.69230769230769</v>
      </c>
      <c r="C194" s="59"/>
      <c r="D194" s="59"/>
      <c r="E194" s="54"/>
      <c r="F194" s="54"/>
      <c r="G194" s="54"/>
      <c r="H194" s="54"/>
      <c r="I194" s="52">
        <f t="shared" si="8"/>
        <v>8.2051282051282044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59">
        <f>(217+16)/1.56</f>
        <v>149.35897435897436</v>
      </c>
      <c r="C195" s="59">
        <v>2</v>
      </c>
      <c r="D195" s="59">
        <f>(19+16)/1.56</f>
        <v>22.435897435897434</v>
      </c>
      <c r="E195" s="54"/>
      <c r="F195" s="54"/>
      <c r="G195" s="54"/>
      <c r="H195" s="54">
        <v>1</v>
      </c>
      <c r="I195" s="52">
        <f t="shared" si="8"/>
        <v>8.3333333333333339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59">
        <f>(263)/1.56</f>
        <v>168.58974358974359</v>
      </c>
      <c r="C196" s="59"/>
      <c r="D196" s="59"/>
      <c r="E196" s="54"/>
      <c r="F196" s="54"/>
      <c r="G196" s="54"/>
      <c r="H196" s="54"/>
      <c r="I196" s="52">
        <f t="shared" si="8"/>
        <v>8.3333333333333321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59">
        <f>(303+21)/1.56</f>
        <v>207.69230769230768</v>
      </c>
      <c r="C197" s="59">
        <v>3</v>
      </c>
      <c r="D197" s="59">
        <f>(22+21)/1.56</f>
        <v>27.564102564102562</v>
      </c>
      <c r="E197" s="54"/>
      <c r="F197" s="54"/>
      <c r="G197" s="54"/>
      <c r="H197" s="54"/>
      <c r="I197" s="52">
        <f t="shared" si="8"/>
        <v>7.8205128205128176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59">
        <f>(340)/1.56</f>
        <v>217.94871794871793</v>
      </c>
      <c r="C198" s="59"/>
      <c r="D198" s="59"/>
      <c r="E198" s="54"/>
      <c r="F198" s="54"/>
      <c r="G198" s="54"/>
      <c r="H198" s="54"/>
      <c r="I198" s="52">
        <f t="shared" si="8"/>
        <v>7.5641025641025639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50</v>
      </c>
      <c r="B199" s="59">
        <f>(374+23)/1.56</f>
        <v>254.48717948717947</v>
      </c>
      <c r="C199" s="59">
        <v>4</v>
      </c>
      <c r="D199" s="59">
        <f>(22+23)/1.56</f>
        <v>28.846153846153847</v>
      </c>
      <c r="E199" s="54"/>
      <c r="F199" s="54"/>
      <c r="G199" s="54"/>
      <c r="H199" s="54"/>
      <c r="I199" s="52">
        <f t="shared" si="8"/>
        <v>7.3076923076923093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55</v>
      </c>
      <c r="B200" s="59">
        <f>(404)/1.56</f>
        <v>258.97435897435895</v>
      </c>
      <c r="C200" s="59"/>
      <c r="D200" s="59"/>
      <c r="E200" s="54"/>
      <c r="F200" s="54"/>
      <c r="G200" s="54"/>
      <c r="H200" s="54"/>
      <c r="I200" s="52">
        <f t="shared" si="8"/>
        <v>6.6666666666666625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60</v>
      </c>
      <c r="B201" s="59">
        <f>(431+23)/1.56</f>
        <v>291.02564102564099</v>
      </c>
      <c r="C201" s="59">
        <v>5</v>
      </c>
      <c r="D201" s="59">
        <f>(23+23)/1.56</f>
        <v>29.487179487179485</v>
      </c>
      <c r="E201" s="54"/>
      <c r="F201" s="54"/>
      <c r="G201" s="54"/>
      <c r="H201" s="54"/>
      <c r="I201" s="52">
        <f t="shared" si="8"/>
        <v>6.4102564102564088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65</v>
      </c>
      <c r="B202" s="59">
        <f>(455)/1.56</f>
        <v>291.66666666666663</v>
      </c>
      <c r="C202" s="59"/>
      <c r="D202" s="59"/>
      <c r="E202" s="54"/>
      <c r="F202" s="54"/>
      <c r="G202" s="54"/>
      <c r="H202" s="54"/>
      <c r="I202" s="52">
        <f t="shared" si="8"/>
        <v>6.0256410256410273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70</v>
      </c>
      <c r="B203" s="59">
        <f>(476+23)/1.56</f>
        <v>319.87179487179486</v>
      </c>
      <c r="C203" s="59">
        <v>6</v>
      </c>
      <c r="D203" s="59">
        <f>(22+23)/1.56</f>
        <v>28.846153846153847</v>
      </c>
      <c r="E203" s="54"/>
      <c r="F203" s="54"/>
      <c r="G203" s="54"/>
      <c r="H203" s="54"/>
      <c r="I203" s="52">
        <f t="shared" si="8"/>
        <v>5.6410256410256467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75</v>
      </c>
      <c r="B204" s="59">
        <f>(495)/1.56</f>
        <v>317.30769230769232</v>
      </c>
      <c r="C204" s="59"/>
      <c r="D204" s="59"/>
      <c r="E204" s="54"/>
      <c r="F204" s="54"/>
      <c r="G204" s="54"/>
      <c r="H204" s="54"/>
      <c r="I204" s="52">
        <f t="shared" si="8"/>
        <v>5.2564102564102653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80</v>
      </c>
      <c r="B205" s="59">
        <f>(512+22)/1.56</f>
        <v>342.30769230769232</v>
      </c>
      <c r="C205" s="59">
        <v>7</v>
      </c>
      <c r="D205" s="59">
        <f>(21+22)/1.56</f>
        <v>27.564102564102562</v>
      </c>
      <c r="E205" s="54"/>
      <c r="F205" s="54"/>
      <c r="G205" s="54"/>
      <c r="H205" s="54"/>
      <c r="I205" s="52">
        <f t="shared" si="8"/>
        <v>5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85</v>
      </c>
      <c r="B206" s="59">
        <f>(528)/1.56</f>
        <v>338.46153846153845</v>
      </c>
      <c r="C206" s="59"/>
      <c r="D206" s="59"/>
      <c r="E206" s="54"/>
      <c r="F206" s="54"/>
      <c r="G206" s="54"/>
      <c r="H206" s="54"/>
      <c r="I206" s="52">
        <f t="shared" si="8"/>
        <v>4.7435897435897347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90</v>
      </c>
      <c r="B207" s="59">
        <f>(542+21)/1.56</f>
        <v>360.89743589743591</v>
      </c>
      <c r="C207" s="59">
        <v>8</v>
      </c>
      <c r="D207" s="59">
        <f>(20+21)/1.56</f>
        <v>26.282051282051281</v>
      </c>
      <c r="E207" s="54"/>
      <c r="F207" s="54"/>
      <c r="G207" s="54"/>
      <c r="H207" s="54"/>
      <c r="I207" s="52">
        <f t="shared" si="8"/>
        <v>4.4871794871794917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100</v>
      </c>
      <c r="B208" s="59">
        <f>(567+19)/1.56</f>
        <v>375.64102564102564</v>
      </c>
      <c r="C208" s="59">
        <v>9</v>
      </c>
      <c r="D208" s="59">
        <f>(19+19)/1.56</f>
        <v>24.358974358974358</v>
      </c>
      <c r="E208" s="54"/>
      <c r="F208" s="54"/>
      <c r="G208" s="54"/>
      <c r="H208" s="54"/>
      <c r="I208" s="52">
        <f t="shared" si="8"/>
        <v>4.1025641025640995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110</v>
      </c>
      <c r="B209" s="59">
        <f>(588+28)/1.56</f>
        <v>394.87179487179486</v>
      </c>
      <c r="C209" s="59">
        <v>10</v>
      </c>
      <c r="D209" s="59">
        <f>(28+28)/1.56</f>
        <v>35.897435897435898</v>
      </c>
      <c r="E209" s="54"/>
      <c r="F209" s="54"/>
      <c r="G209" s="54"/>
      <c r="H209" s="54"/>
      <c r="I209" s="52">
        <f t="shared" si="8"/>
        <v>4.3589743589743595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120</v>
      </c>
      <c r="B210" s="59">
        <f>(606+17)/1.56</f>
        <v>399.35897435897436</v>
      </c>
      <c r="C210" s="59">
        <v>11</v>
      </c>
      <c r="D210" s="59">
        <f>(16+17)/1.56</f>
        <v>21.153846153846153</v>
      </c>
      <c r="E210" s="54"/>
      <c r="F210" s="54"/>
      <c r="G210" s="54"/>
      <c r="H210" s="54"/>
      <c r="I210" s="52">
        <f t="shared" si="8"/>
        <v>4.0384615384615419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130</v>
      </c>
      <c r="B211" s="59">
        <f>(622+16)/1.56</f>
        <v>408.97435897435895</v>
      </c>
      <c r="C211" s="59">
        <v>12</v>
      </c>
      <c r="D211" s="59">
        <f>B211</f>
        <v>408.97435897435895</v>
      </c>
      <c r="E211" s="54"/>
      <c r="F211" s="54"/>
      <c r="G211" s="54"/>
      <c r="H211" s="54"/>
      <c r="I211" s="52">
        <f t="shared" si="8"/>
        <v>3.0769230769230718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Cèdre de l'Atlas</v>
      </c>
      <c r="D214" s="250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97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4" t="s">
        <v>185</v>
      </c>
      <c r="C216" s="285" t="s">
        <v>186</v>
      </c>
      <c r="D216" s="285"/>
      <c r="E216" s="286" t="s">
        <v>187</v>
      </c>
      <c r="F216" s="287"/>
      <c r="G216" s="287"/>
      <c r="H216" s="288"/>
      <c r="I216" s="96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30</v>
      </c>
      <c r="B218" s="59">
        <f>281.83/1.3</f>
        <v>216.79230769230767</v>
      </c>
      <c r="C218" s="59"/>
      <c r="D218" s="59"/>
      <c r="E218" s="54"/>
      <c r="F218" s="54"/>
      <c r="G218" s="54">
        <v>1</v>
      </c>
      <c r="H218" s="54"/>
      <c r="I218" s="56">
        <f>IFERROR(B218/A218,"")</f>
        <v>7.2264102564102561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35</v>
      </c>
      <c r="B219" s="59">
        <f>379.93/1.3</f>
        <v>292.25384615384615</v>
      </c>
      <c r="C219" s="59"/>
      <c r="D219" s="59"/>
      <c r="E219" s="54"/>
      <c r="F219" s="54"/>
      <c r="G219" s="54"/>
      <c r="H219" s="54"/>
      <c r="I219" s="56">
        <f t="shared" ref="I219:I237" si="9">IF(A219&lt;&gt;0,(B219-(B218-D218))/(A219-A218),"")</f>
        <v>15.092307692307696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40</v>
      </c>
      <c r="B220" s="59">
        <f>487.87/1.3</f>
        <v>375.28461538461539</v>
      </c>
      <c r="C220" s="59"/>
      <c r="D220" s="59"/>
      <c r="E220" s="54"/>
      <c r="F220" s="54"/>
      <c r="G220" s="54"/>
      <c r="H220" s="54"/>
      <c r="I220" s="56">
        <f t="shared" si="9"/>
        <v>16.606153846153848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42</v>
      </c>
      <c r="B221" s="59">
        <f>533.48/1.3</f>
        <v>410.3692307692308</v>
      </c>
      <c r="C221" s="59">
        <v>1</v>
      </c>
      <c r="D221" s="59">
        <f>233.8/1.3</f>
        <v>179.84615384615384</v>
      </c>
      <c r="E221" s="54"/>
      <c r="F221" s="54"/>
      <c r="G221" s="54"/>
      <c r="H221" s="54"/>
      <c r="I221" s="56">
        <f t="shared" si="9"/>
        <v>17.542307692307702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49</v>
      </c>
      <c r="B222" s="59">
        <f>441.81/1.3</f>
        <v>339.85384615384612</v>
      </c>
      <c r="C222" s="59">
        <v>2</v>
      </c>
      <c r="D222" s="59">
        <f>122.82/1.3</f>
        <v>94.476923076923072</v>
      </c>
      <c r="E222" s="54"/>
      <c r="F222" s="54"/>
      <c r="G222" s="54"/>
      <c r="H222" s="54"/>
      <c r="I222" s="56">
        <f t="shared" si="9"/>
        <v>15.618681318681309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56</v>
      </c>
      <c r="B223" s="59">
        <f>452.47/1.3</f>
        <v>348.05384615384617</v>
      </c>
      <c r="C223" s="59">
        <v>3</v>
      </c>
      <c r="D223" s="59">
        <f>94.6/1.3</f>
        <v>72.769230769230759</v>
      </c>
      <c r="E223" s="54"/>
      <c r="F223" s="54"/>
      <c r="G223" s="54"/>
      <c r="H223" s="54"/>
      <c r="I223" s="56">
        <f t="shared" si="9"/>
        <v>14.668131868131875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63</v>
      </c>
      <c r="B224" s="59">
        <f>487.73/1.3</f>
        <v>375.17692307692306</v>
      </c>
      <c r="C224" s="59">
        <v>4</v>
      </c>
      <c r="D224" s="59">
        <f>92.46/1.3</f>
        <v>71.123076923076923</v>
      </c>
      <c r="E224" s="54"/>
      <c r="F224" s="54"/>
      <c r="G224" s="54"/>
      <c r="H224" s="54"/>
      <c r="I224" s="56">
        <f t="shared" si="9"/>
        <v>14.270329670329668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274">
        <v>71</v>
      </c>
      <c r="B225" s="59">
        <f>538.14/1.3</f>
        <v>413.95384615384614</v>
      </c>
      <c r="C225" s="59">
        <v>5</v>
      </c>
      <c r="D225" s="59">
        <f>104.52/1.3</f>
        <v>80.399999999999991</v>
      </c>
      <c r="E225" s="54"/>
      <c r="F225" s="54"/>
      <c r="G225" s="54"/>
      <c r="H225" s="54"/>
      <c r="I225" s="56">
        <f t="shared" si="9"/>
        <v>13.737499999999997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274">
        <v>79</v>
      </c>
      <c r="B226" s="59">
        <f>567.92/1.3</f>
        <v>436.86153846153843</v>
      </c>
      <c r="C226" s="59">
        <v>6</v>
      </c>
      <c r="D226" s="59">
        <f>100.54/1.3</f>
        <v>77.338461538461544</v>
      </c>
      <c r="E226" s="54"/>
      <c r="F226" s="54"/>
      <c r="G226" s="54"/>
      <c r="H226" s="54"/>
      <c r="I226" s="56">
        <f t="shared" si="9"/>
        <v>12.913461538461533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274">
        <v>87</v>
      </c>
      <c r="B227" s="59">
        <f>593.47/1.3</f>
        <v>456.51538461538462</v>
      </c>
      <c r="C227" s="59">
        <v>7</v>
      </c>
      <c r="D227" s="59">
        <f>100.53/1.3</f>
        <v>77.330769230769235</v>
      </c>
      <c r="E227" s="54"/>
      <c r="F227" s="54"/>
      <c r="G227" s="54"/>
      <c r="H227" s="54"/>
      <c r="I227" s="56">
        <f t="shared" si="9"/>
        <v>12.124038461538468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274">
        <v>95</v>
      </c>
      <c r="B228" s="59">
        <f>609.86/1.3</f>
        <v>469.12307692307689</v>
      </c>
      <c r="C228" s="59">
        <v>8</v>
      </c>
      <c r="D228" s="59">
        <f>304.75/1.3</f>
        <v>234.42307692307691</v>
      </c>
      <c r="E228" s="54"/>
      <c r="F228" s="54"/>
      <c r="G228" s="54"/>
      <c r="H228" s="54"/>
      <c r="I228" s="56">
        <f t="shared" si="9"/>
        <v>11.242307692307691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274">
        <v>105</v>
      </c>
      <c r="B229" s="59">
        <f>402.63/1.3</f>
        <v>309.71538461538461</v>
      </c>
      <c r="C229" s="59">
        <v>9</v>
      </c>
      <c r="D229" s="59">
        <f>402.63/1.3</f>
        <v>309.71538461538461</v>
      </c>
      <c r="E229" s="54"/>
      <c r="F229" s="54"/>
      <c r="G229" s="54"/>
      <c r="H229" s="54"/>
      <c r="I229" s="56">
        <f t="shared" si="9"/>
        <v>7.5015384615384617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274"/>
      <c r="B230" s="59"/>
      <c r="C230" s="59"/>
      <c r="D230" s="59"/>
      <c r="E230" s="54"/>
      <c r="F230" s="54"/>
      <c r="G230" s="54"/>
      <c r="H230" s="54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274"/>
      <c r="B231" s="59"/>
      <c r="C231" s="59"/>
      <c r="D231" s="59"/>
      <c r="E231" s="54"/>
      <c r="F231" s="54"/>
      <c r="G231" s="54"/>
      <c r="H231" s="54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274"/>
      <c r="B232" s="59"/>
      <c r="C232" s="53"/>
      <c r="D232" s="59"/>
      <c r="E232" s="54"/>
      <c r="F232" s="54"/>
      <c r="G232" s="54"/>
      <c r="H232" s="54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274"/>
      <c r="B233" s="59"/>
      <c r="C233" s="53"/>
      <c r="D233" s="59"/>
      <c r="E233" s="54"/>
      <c r="F233" s="54"/>
      <c r="G233" s="54"/>
      <c r="H233" s="54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274"/>
      <c r="B234" s="59"/>
      <c r="C234" s="53"/>
      <c r="D234" s="59"/>
      <c r="E234" s="54"/>
      <c r="F234" s="54"/>
      <c r="G234" s="54"/>
      <c r="H234" s="54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274"/>
      <c r="B235" s="53"/>
      <c r="C235" s="53"/>
      <c r="D235" s="53"/>
      <c r="E235" s="54"/>
      <c r="F235" s="54"/>
      <c r="G235" s="54"/>
      <c r="H235" s="54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274"/>
      <c r="B236" s="53"/>
      <c r="C236" s="53"/>
      <c r="D236" s="53"/>
      <c r="E236" s="54"/>
      <c r="F236" s="54"/>
      <c r="G236" s="54"/>
      <c r="H236" s="54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274"/>
      <c r="B237" s="53"/>
      <c r="C237" s="53"/>
      <c r="D237" s="53"/>
      <c r="E237" s="54"/>
      <c r="F237" s="54"/>
      <c r="G237" s="54"/>
      <c r="H237" s="54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Tilleul</v>
      </c>
      <c r="D240" s="250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97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4" t="s">
        <v>185</v>
      </c>
      <c r="C242" s="285" t="s">
        <v>186</v>
      </c>
      <c r="D242" s="285"/>
      <c r="E242" s="286" t="s">
        <v>187</v>
      </c>
      <c r="F242" s="287"/>
      <c r="G242" s="287"/>
      <c r="H242" s="288"/>
      <c r="I242" s="96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15</v>
      </c>
      <c r="B244" s="59">
        <f>(110+12)/1.56</f>
        <v>78.205128205128204</v>
      </c>
      <c r="C244" s="59"/>
      <c r="D244" s="59"/>
      <c r="E244" s="54"/>
      <c r="F244" s="54"/>
      <c r="G244" s="54"/>
      <c r="H244" s="54"/>
      <c r="I244" s="56">
        <f>IFERROR(B244/A244,"")</f>
        <v>5.2136752136752138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20</v>
      </c>
      <c r="B245" s="59">
        <f>(166+12+22)/1.56</f>
        <v>128.2051282051282</v>
      </c>
      <c r="C245" s="59">
        <v>1</v>
      </c>
      <c r="D245" s="59">
        <f>(27+22+12)/1.56</f>
        <v>39.102564102564102</v>
      </c>
      <c r="E245" s="59"/>
      <c r="F245" s="54"/>
      <c r="G245" s="54"/>
      <c r="H245" s="54"/>
      <c r="I245" s="56">
        <f>IF(A245&lt;&gt;0,(B245-(B244-D244))/(A245-A244),"")</f>
        <v>10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25</v>
      </c>
      <c r="B246" s="59">
        <f>(215)/1.56</f>
        <v>137.82051282051282</v>
      </c>
      <c r="C246" s="59"/>
      <c r="D246" s="59"/>
      <c r="E246" s="59"/>
      <c r="F246" s="54"/>
      <c r="G246" s="54"/>
      <c r="H246" s="54">
        <v>1</v>
      </c>
      <c r="I246" s="56">
        <f>IF(A246&lt;&gt;0,(B246-(B245-D245))/(A246-A245),"")</f>
        <v>9.7435897435897427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30</v>
      </c>
      <c r="B247" s="59">
        <f>(257+30)/1.56</f>
        <v>183.97435897435898</v>
      </c>
      <c r="C247" s="59">
        <v>2</v>
      </c>
      <c r="D247" s="59">
        <f>(31+30)/1.56</f>
        <v>39.102564102564102</v>
      </c>
      <c r="E247" s="59"/>
      <c r="F247" s="54"/>
      <c r="G247" s="54"/>
      <c r="H247" s="54"/>
      <c r="I247" s="56">
        <f t="shared" ref="I247:I263" si="10">IF(A247&lt;&gt;0,(B247-(B246-D246))/(A247-A246),"")</f>
        <v>9.2307692307692317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35</v>
      </c>
      <c r="B248" s="59">
        <f>(294)/1.56</f>
        <v>188.46153846153845</v>
      </c>
      <c r="C248" s="59"/>
      <c r="D248" s="59"/>
      <c r="E248" s="59"/>
      <c r="F248" s="54"/>
      <c r="G248" s="54"/>
      <c r="H248" s="54">
        <v>1</v>
      </c>
      <c r="I248" s="56">
        <f t="shared" si="10"/>
        <v>8.717948717948719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40</v>
      </c>
      <c r="B249" s="59">
        <f>(325+31)/1.56</f>
        <v>228.2051282051282</v>
      </c>
      <c r="C249" s="59">
        <v>3</v>
      </c>
      <c r="D249" s="59">
        <f>(31+31)/1.56</f>
        <v>39.743589743589745</v>
      </c>
      <c r="E249" s="59"/>
      <c r="F249" s="54"/>
      <c r="G249" s="54"/>
      <c r="H249" s="54"/>
      <c r="I249" s="56">
        <f t="shared" si="10"/>
        <v>7.9487179487179507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45</v>
      </c>
      <c r="B250" s="59">
        <f>(353)/1.56</f>
        <v>226.28205128205127</v>
      </c>
      <c r="C250" s="59"/>
      <c r="D250" s="59"/>
      <c r="E250" s="59"/>
      <c r="F250" s="54"/>
      <c r="G250" s="54"/>
      <c r="H250" s="54"/>
      <c r="I250" s="56">
        <f t="shared" si="10"/>
        <v>7.5641025641025639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>
        <v>50</v>
      </c>
      <c r="B251" s="59">
        <f>(378+30)/1.56</f>
        <v>261.53846153846155</v>
      </c>
      <c r="C251" s="59">
        <v>4</v>
      </c>
      <c r="D251" s="59">
        <f>(27+30)/1.56</f>
        <v>36.53846153846154</v>
      </c>
      <c r="E251" s="59"/>
      <c r="F251" s="54"/>
      <c r="G251" s="54"/>
      <c r="H251" s="54"/>
      <c r="I251" s="56">
        <f t="shared" si="10"/>
        <v>7.0512820512820555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>
        <v>55</v>
      </c>
      <c r="B252" s="59">
        <f>(403)/1.56</f>
        <v>258.33333333333331</v>
      </c>
      <c r="C252" s="59"/>
      <c r="D252" s="59"/>
      <c r="E252" s="59"/>
      <c r="F252" s="54"/>
      <c r="G252" s="54"/>
      <c r="H252" s="54"/>
      <c r="I252" s="56">
        <f t="shared" si="10"/>
        <v>6.6666666666666625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>
        <v>60</v>
      </c>
      <c r="B253" s="59">
        <f>(423+28)/1.56</f>
        <v>289.10256410256409</v>
      </c>
      <c r="C253" s="59">
        <v>5</v>
      </c>
      <c r="D253" s="59">
        <f>(27+28)/1.56</f>
        <v>35.256410256410255</v>
      </c>
      <c r="E253" s="59"/>
      <c r="F253" s="54"/>
      <c r="G253" s="54"/>
      <c r="H253" s="54"/>
      <c r="I253" s="56">
        <f t="shared" si="10"/>
        <v>6.1538461538461551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>
        <v>65</v>
      </c>
      <c r="B254" s="59">
        <f>(441)/1.56</f>
        <v>282.69230769230768</v>
      </c>
      <c r="C254" s="59"/>
      <c r="D254" s="59"/>
      <c r="E254" s="59"/>
      <c r="F254" s="54"/>
      <c r="G254" s="54"/>
      <c r="H254" s="54"/>
      <c r="I254" s="56">
        <f t="shared" si="10"/>
        <v>5.7692307692307683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3">
        <v>70</v>
      </c>
      <c r="B255" s="59">
        <f>(457+25)/1.56</f>
        <v>308.97435897435895</v>
      </c>
      <c r="C255" s="59">
        <v>6</v>
      </c>
      <c r="D255" s="59">
        <f>(24+25)/1.56</f>
        <v>31.410256410256409</v>
      </c>
      <c r="E255" s="59"/>
      <c r="F255" s="54"/>
      <c r="G255" s="54"/>
      <c r="H255" s="54"/>
      <c r="I255" s="56">
        <f t="shared" si="10"/>
        <v>5.2564102564102537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3">
        <v>75</v>
      </c>
      <c r="B256" s="59">
        <f>(473)/1.56</f>
        <v>303.20512820512818</v>
      </c>
      <c r="C256" s="59"/>
      <c r="D256" s="59"/>
      <c r="E256" s="59"/>
      <c r="F256" s="54"/>
      <c r="G256" s="54"/>
      <c r="H256" s="54"/>
      <c r="I256" s="56">
        <f t="shared" si="10"/>
        <v>5.1282051282051269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53">
        <v>80</v>
      </c>
      <c r="B257" s="59">
        <f>(487+23)/1.56</f>
        <v>326.92307692307691</v>
      </c>
      <c r="C257" s="59">
        <v>7</v>
      </c>
      <c r="D257" s="59">
        <f>(22+23)/1.56</f>
        <v>28.846153846153847</v>
      </c>
      <c r="E257" s="59"/>
      <c r="F257" s="54"/>
      <c r="G257" s="54"/>
      <c r="H257" s="54"/>
      <c r="I257" s="56">
        <f t="shared" si="10"/>
        <v>4.7435897435897463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85</v>
      </c>
      <c r="B258" s="59">
        <f>(500)/1.56</f>
        <v>320.5128205128205</v>
      </c>
      <c r="C258" s="59"/>
      <c r="D258" s="59"/>
      <c r="E258" s="59"/>
      <c r="F258" s="54"/>
      <c r="G258" s="54"/>
      <c r="H258" s="54"/>
      <c r="I258" s="56">
        <f t="shared" si="10"/>
        <v>4.4871794871794917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90</v>
      </c>
      <c r="B259" s="59">
        <f>(512+22)/1.56</f>
        <v>342.30769230769232</v>
      </c>
      <c r="C259" s="59">
        <v>8</v>
      </c>
      <c r="D259" s="59">
        <f>(21+22)/1.56</f>
        <v>27.564102564102562</v>
      </c>
      <c r="E259" s="59"/>
      <c r="F259" s="54"/>
      <c r="G259" s="54"/>
      <c r="H259" s="54"/>
      <c r="I259" s="56">
        <f t="shared" si="10"/>
        <v>4.3589743589743648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>
        <v>95</v>
      </c>
      <c r="B260" s="59">
        <f>(523)/1.56</f>
        <v>335.25641025641022</v>
      </c>
      <c r="C260" s="59"/>
      <c r="D260" s="59"/>
      <c r="E260" s="59"/>
      <c r="F260" s="54"/>
      <c r="G260" s="54"/>
      <c r="H260" s="54"/>
      <c r="I260" s="56">
        <f t="shared" si="10"/>
        <v>4.102564102564088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>
        <v>100</v>
      </c>
      <c r="B261" s="59">
        <f>(534+20)/1.56</f>
        <v>355.12820512820514</v>
      </c>
      <c r="C261" s="59">
        <v>9</v>
      </c>
      <c r="D261" s="59">
        <f>(19+20)/1.56</f>
        <v>25</v>
      </c>
      <c r="E261" s="59"/>
      <c r="F261" s="54"/>
      <c r="G261" s="54"/>
      <c r="H261" s="54"/>
      <c r="I261" s="56">
        <f t="shared" si="10"/>
        <v>3.9743589743589838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>
        <v>105</v>
      </c>
      <c r="B262" s="59">
        <f>(543)/1.56</f>
        <v>348.07692307692304</v>
      </c>
      <c r="C262" s="59"/>
      <c r="D262" s="59"/>
      <c r="E262" s="59"/>
      <c r="F262" s="54"/>
      <c r="G262" s="54"/>
      <c r="H262" s="54"/>
      <c r="I262" s="56">
        <f t="shared" si="10"/>
        <v>3.5897435897435797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>
        <v>110</v>
      </c>
      <c r="B263" s="59">
        <f>(553+19)/1.56</f>
        <v>366.66666666666663</v>
      </c>
      <c r="C263" s="59">
        <v>10</v>
      </c>
      <c r="D263" s="59">
        <f>B263</f>
        <v>366.66666666666663</v>
      </c>
      <c r="E263" s="59"/>
      <c r="F263" s="54"/>
      <c r="G263" s="54"/>
      <c r="H263" s="54"/>
      <c r="I263" s="56">
        <f t="shared" si="10"/>
        <v>3.7179487179487181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0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97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4" t="s">
        <v>185</v>
      </c>
      <c r="C268" s="285" t="s">
        <v>186</v>
      </c>
      <c r="D268" s="285"/>
      <c r="E268" s="286" t="s">
        <v>187</v>
      </c>
      <c r="F268" s="287"/>
      <c r="G268" s="287"/>
      <c r="H268" s="288"/>
      <c r="I268" s="96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9"/>
      <c r="C270" s="59"/>
      <c r="D270" s="59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9"/>
      <c r="C271" s="59"/>
      <c r="D271" s="59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9"/>
      <c r="C272" s="59"/>
      <c r="D272" s="59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9"/>
      <c r="C273" s="59"/>
      <c r="D273" s="59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9"/>
      <c r="C274" s="59"/>
      <c r="D274" s="59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59"/>
      <c r="C275" s="59"/>
      <c r="D275" s="59"/>
      <c r="E275" s="54"/>
      <c r="F275" s="54"/>
      <c r="G275" s="54"/>
      <c r="H275" s="54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59"/>
      <c r="C276" s="59"/>
      <c r="D276" s="59"/>
      <c r="E276" s="54"/>
      <c r="F276" s="54"/>
      <c r="G276" s="54"/>
      <c r="H276" s="54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274"/>
      <c r="B277" s="59"/>
      <c r="C277" s="59"/>
      <c r="D277" s="59"/>
      <c r="E277" s="54"/>
      <c r="F277" s="54"/>
      <c r="G277" s="54"/>
      <c r="H277" s="54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274"/>
      <c r="B278" s="59"/>
      <c r="C278" s="59"/>
      <c r="D278" s="59"/>
      <c r="E278" s="54"/>
      <c r="F278" s="54"/>
      <c r="G278" s="54"/>
      <c r="H278" s="54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274"/>
      <c r="B279" s="59"/>
      <c r="C279" s="59"/>
      <c r="D279" s="59"/>
      <c r="E279" s="54"/>
      <c r="F279" s="54"/>
      <c r="G279" s="54"/>
      <c r="H279" s="54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274"/>
      <c r="B280" s="59"/>
      <c r="C280" s="59"/>
      <c r="D280" s="59"/>
      <c r="E280" s="54"/>
      <c r="F280" s="54"/>
      <c r="G280" s="54"/>
      <c r="H280" s="54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274"/>
      <c r="B281" s="59"/>
      <c r="C281" s="59"/>
      <c r="D281" s="59"/>
      <c r="E281" s="54"/>
      <c r="F281" s="54"/>
      <c r="G281" s="54"/>
      <c r="H281" s="54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274"/>
      <c r="B282" s="59"/>
      <c r="C282" s="59"/>
      <c r="D282" s="59"/>
      <c r="E282" s="54"/>
      <c r="F282" s="54"/>
      <c r="G282" s="54"/>
      <c r="H282" s="54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274"/>
      <c r="B283" s="59"/>
      <c r="C283" s="59"/>
      <c r="D283" s="59"/>
      <c r="E283" s="54"/>
      <c r="F283" s="54"/>
      <c r="G283" s="54"/>
      <c r="H283" s="54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274"/>
      <c r="B284" s="59"/>
      <c r="C284" s="53"/>
      <c r="D284" s="59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274"/>
      <c r="B285" s="59"/>
      <c r="C285" s="53"/>
      <c r="D285" s="59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274"/>
      <c r="B286" s="59"/>
      <c r="C286" s="53"/>
      <c r="D286" s="59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274"/>
      <c r="B287" s="59"/>
      <c r="C287" s="53"/>
      <c r="D287" s="59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274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274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1" sqref="C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98"/>
      <c r="K1" s="98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0" t="s">
        <v>191</v>
      </c>
      <c r="C2" s="301"/>
      <c r="D2" s="301"/>
      <c r="E2" s="301"/>
      <c r="F2" s="301"/>
      <c r="G2" s="30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99"/>
      <c r="C4" s="299"/>
      <c r="D4" s="299"/>
      <c r="E4" s="299"/>
      <c r="F4" s="299"/>
      <c r="G4" s="29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99" t="s">
        <v>296</v>
      </c>
      <c r="C5" s="99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28"/>
      <c r="C6" s="228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0"/>
      <c r="B7" s="29" t="s">
        <v>295</v>
      </c>
      <c r="C7" s="101" t="s">
        <v>214</v>
      </c>
      <c r="D7" s="226"/>
      <c r="E7" s="102"/>
      <c r="F7" s="29" t="s">
        <v>295</v>
      </c>
      <c r="G7" s="101" t="s">
        <v>215</v>
      </c>
      <c r="H7" s="227"/>
      <c r="I7" s="227"/>
      <c r="J7" s="227"/>
      <c r="K7" s="227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</row>
    <row r="8" spans="1:38" ht="17.25" customHeight="1" x14ac:dyDescent="0.3">
      <c r="A8" s="106">
        <v>1</v>
      </c>
      <c r="B8" s="60">
        <v>1</v>
      </c>
      <c r="C8" s="52" t="s">
        <v>177</v>
      </c>
      <c r="D8" s="25"/>
      <c r="E8" s="106">
        <v>4</v>
      </c>
      <c r="F8" s="60">
        <v>0</v>
      </c>
      <c r="G8" s="103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06">
        <v>2</v>
      </c>
      <c r="B9" s="60">
        <v>0</v>
      </c>
      <c r="C9" s="109" t="s">
        <v>216</v>
      </c>
      <c r="D9" s="25"/>
      <c r="E9" s="106">
        <v>5</v>
      </c>
      <c r="F9" s="60">
        <v>0</v>
      </c>
      <c r="G9" s="104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06">
        <v>3</v>
      </c>
      <c r="B10" s="60">
        <v>0</v>
      </c>
      <c r="C10" s="110" t="s">
        <v>217</v>
      </c>
      <c r="D10" s="25"/>
      <c r="E10" s="5"/>
      <c r="F10" s="107">
        <f>SUM(F7:F9)</f>
        <v>0</v>
      </c>
      <c r="G10" s="105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07">
        <v>0</v>
      </c>
      <c r="C11" s="105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27"/>
      <c r="B13" s="108"/>
      <c r="C13" s="99" t="s">
        <v>273</v>
      </c>
      <c r="D13" s="227"/>
      <c r="E13" s="100"/>
      <c r="F13" s="108"/>
      <c r="G13" s="99" t="s">
        <v>301</v>
      </c>
      <c r="H13" s="227"/>
      <c r="I13" s="227"/>
      <c r="J13" s="227"/>
      <c r="K13" s="227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</row>
    <row r="14" spans="1:38" s="4" customFormat="1" ht="21" customHeight="1" x14ac:dyDescent="0.3">
      <c r="A14" s="227"/>
      <c r="B14" s="108"/>
      <c r="C14" s="99" t="s">
        <v>309</v>
      </c>
      <c r="D14" s="227"/>
      <c r="E14" s="100"/>
      <c r="F14" s="108"/>
      <c r="G14" s="99" t="s">
        <v>294</v>
      </c>
      <c r="H14" s="227"/>
      <c r="I14" s="227"/>
      <c r="J14" s="227"/>
      <c r="K14" s="227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0">
        <v>0</v>
      </c>
      <c r="C16" s="111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0">
        <v>1</v>
      </c>
      <c r="C17" s="111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0">
        <v>0</v>
      </c>
      <c r="C18" s="111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07">
        <f>SUM(B16:B18)</f>
        <v>1</v>
      </c>
      <c r="C19" s="105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1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4" bestFit="1" customWidth="1"/>
    <col min="2" max="4" width="11.44140625" style="64"/>
    <col min="5" max="5" width="9.5546875" style="64" customWidth="1"/>
    <col min="6" max="7" width="11.44140625" style="64"/>
    <col min="8" max="8" width="10.6640625" style="64" customWidth="1"/>
    <col min="9" max="9" width="9.44140625" style="64" customWidth="1"/>
    <col min="10" max="11" width="10.5546875" style="64" bestFit="1" customWidth="1"/>
    <col min="12" max="12" width="14" style="64" bestFit="1" customWidth="1"/>
    <col min="13" max="13" width="14" style="64" customWidth="1"/>
    <col min="14" max="23" width="11.44140625" style="64"/>
    <col min="24" max="24" width="11.6640625" style="64" bestFit="1" customWidth="1"/>
    <col min="25" max="25" width="14.5546875" style="64" bestFit="1" customWidth="1"/>
    <col min="26" max="26" width="12.44140625" style="64" bestFit="1" customWidth="1"/>
    <col min="27" max="27" width="9.6640625" style="64" bestFit="1" customWidth="1"/>
    <col min="28" max="28" width="11" style="64" bestFit="1" customWidth="1"/>
    <col min="29" max="29" width="9.44140625" style="64" bestFit="1" customWidth="1"/>
    <col min="30" max="31" width="9.44140625" style="64" customWidth="1"/>
    <col min="32" max="32" width="11.44140625" style="64"/>
    <col min="33" max="34" width="14" style="64" bestFit="1" customWidth="1"/>
    <col min="35" max="35" width="10.5546875" style="64" bestFit="1" customWidth="1"/>
    <col min="36" max="36" width="9.44140625" style="64" bestFit="1" customWidth="1"/>
    <col min="37" max="38" width="10.5546875" style="64" bestFit="1" customWidth="1"/>
    <col min="39" max="41" width="10.5546875" style="64" customWidth="1"/>
    <col min="42" max="42" width="9" style="64" bestFit="1" customWidth="1"/>
    <col min="43" max="43" width="10.5546875" style="64" bestFit="1" customWidth="1"/>
    <col min="44" max="44" width="9.33203125" style="64" bestFit="1" customWidth="1"/>
    <col min="45" max="45" width="11.6640625" style="64" bestFit="1" customWidth="1"/>
    <col min="46" max="46" width="8.44140625" style="64" bestFit="1" customWidth="1"/>
    <col min="47" max="47" width="9.44140625" style="64" bestFit="1" customWidth="1"/>
    <col min="48" max="48" width="9.6640625" style="64" bestFit="1" customWidth="1"/>
    <col min="49" max="49" width="11" style="64" bestFit="1" customWidth="1"/>
    <col min="50" max="50" width="9.44140625" style="64" bestFit="1" customWidth="1"/>
    <col min="51" max="52" width="9.44140625" style="64" customWidth="1"/>
    <col min="53" max="53" width="10.5546875" style="64" bestFit="1" customWidth="1"/>
    <col min="54" max="54" width="14.33203125" style="64" customWidth="1"/>
    <col min="55" max="55" width="14" style="64" customWidth="1"/>
    <col min="56" max="56" width="10.5546875" style="64" bestFit="1" customWidth="1"/>
    <col min="57" max="57" width="9.44140625" style="64" bestFit="1" customWidth="1"/>
    <col min="58" max="59" width="10.5546875" style="64" bestFit="1" customWidth="1"/>
    <col min="60" max="62" width="10.5546875" style="64" customWidth="1"/>
    <col min="63" max="63" width="9" style="64" bestFit="1" customWidth="1"/>
    <col min="64" max="64" width="10.5546875" style="64" bestFit="1" customWidth="1"/>
    <col min="65" max="65" width="9.33203125" style="64" bestFit="1" customWidth="1"/>
    <col min="66" max="66" width="11.6640625" style="64" bestFit="1" customWidth="1"/>
    <col min="67" max="67" width="8.44140625" style="64" bestFit="1" customWidth="1"/>
    <col min="68" max="68" width="9.44140625" style="64" bestFit="1" customWidth="1"/>
    <col min="69" max="69" width="9.6640625" style="64" bestFit="1" customWidth="1"/>
    <col min="70" max="70" width="11" style="64" bestFit="1" customWidth="1"/>
    <col min="71" max="71" width="9.44140625" style="64" bestFit="1" customWidth="1"/>
    <col min="72" max="73" width="9.44140625" style="64" customWidth="1"/>
    <col min="74" max="74" width="10.5546875" style="64" bestFit="1" customWidth="1"/>
    <col min="75" max="75" width="14" style="64" bestFit="1" customWidth="1"/>
    <col min="76" max="76" width="13.88671875" style="64" customWidth="1"/>
    <col min="77" max="77" width="10.5546875" style="64" bestFit="1" customWidth="1"/>
    <col min="78" max="78" width="9.44140625" style="64" bestFit="1" customWidth="1"/>
    <col min="79" max="80" width="10.5546875" style="64" bestFit="1" customWidth="1"/>
    <col min="81" max="83" width="10.5546875" style="64" customWidth="1"/>
    <col min="84" max="84" width="11.44140625" style="64"/>
    <col min="85" max="85" width="10.5546875" style="64" bestFit="1" customWidth="1"/>
    <col min="86" max="86" width="9.33203125" style="64" bestFit="1" customWidth="1"/>
    <col min="87" max="87" width="11.6640625" style="64" bestFit="1" customWidth="1"/>
    <col min="88" max="88" width="8.44140625" style="64" bestFit="1" customWidth="1"/>
    <col min="89" max="89" width="9.44140625" style="64" bestFit="1" customWidth="1"/>
    <col min="90" max="90" width="9.6640625" style="64" bestFit="1" customWidth="1"/>
    <col min="91" max="91" width="11" style="64" bestFit="1" customWidth="1"/>
    <col min="92" max="92" width="9.44140625" style="64" bestFit="1" customWidth="1"/>
    <col min="93" max="94" width="9.44140625" style="64" customWidth="1"/>
    <col min="95" max="95" width="11.44140625" style="64"/>
    <col min="96" max="97" width="14" style="64" customWidth="1"/>
    <col min="98" max="98" width="10.5546875" style="64" bestFit="1" customWidth="1"/>
    <col min="99" max="99" width="9.44140625" style="64" bestFit="1" customWidth="1"/>
    <col min="100" max="101" width="10.5546875" style="64" bestFit="1" customWidth="1"/>
    <col min="102" max="104" width="10.5546875" style="64" customWidth="1"/>
    <col min="105" max="105" width="9" style="64" bestFit="1" customWidth="1"/>
    <col min="106" max="106" width="10.5546875" style="64" bestFit="1" customWidth="1"/>
    <col min="107" max="107" width="9.33203125" style="64" bestFit="1" customWidth="1"/>
    <col min="108" max="108" width="11.6640625" style="64" bestFit="1" customWidth="1"/>
    <col min="109" max="109" width="8.44140625" style="64" bestFit="1" customWidth="1"/>
    <col min="110" max="110" width="9.44140625" style="64" bestFit="1" customWidth="1"/>
    <col min="111" max="111" width="9.6640625" style="64" bestFit="1" customWidth="1"/>
    <col min="112" max="112" width="11" style="64" bestFit="1" customWidth="1"/>
    <col min="113" max="113" width="9.44140625" style="64" bestFit="1" customWidth="1"/>
    <col min="114" max="115" width="9.44140625" style="64" customWidth="1"/>
    <col min="116" max="116" width="10.5546875" style="64" bestFit="1" customWidth="1"/>
    <col min="117" max="117" width="14.33203125" style="64" customWidth="1"/>
    <col min="118" max="118" width="14" style="64" bestFit="1" customWidth="1"/>
    <col min="119" max="119" width="10.5546875" style="64" bestFit="1" customWidth="1"/>
    <col min="120" max="120" width="9.44140625" style="64" bestFit="1" customWidth="1"/>
    <col min="121" max="122" width="10.5546875" style="64" bestFit="1" customWidth="1"/>
    <col min="123" max="125" width="10.5546875" style="64" customWidth="1"/>
    <col min="126" max="126" width="9" style="64" bestFit="1" customWidth="1"/>
    <col min="127" max="127" width="10.5546875" style="64" bestFit="1" customWidth="1"/>
    <col min="128" max="128" width="9.33203125" style="64" bestFit="1" customWidth="1"/>
    <col min="129" max="129" width="11.6640625" style="64" bestFit="1" customWidth="1"/>
    <col min="130" max="130" width="8.44140625" style="64" bestFit="1" customWidth="1"/>
    <col min="131" max="131" width="9.44140625" style="64" bestFit="1" customWidth="1"/>
    <col min="132" max="132" width="9.6640625" style="64" bestFit="1" customWidth="1"/>
    <col min="133" max="133" width="11" style="64" bestFit="1" customWidth="1"/>
    <col min="134" max="134" width="9.44140625" style="64" bestFit="1" customWidth="1"/>
    <col min="135" max="136" width="9.44140625" style="64" customWidth="1"/>
    <col min="137" max="137" width="10.5546875" style="64" bestFit="1" customWidth="1"/>
    <col min="138" max="139" width="14" style="64" customWidth="1"/>
    <col min="140" max="140" width="10.5546875" style="64" bestFit="1" customWidth="1"/>
    <col min="141" max="141" width="9.44140625" style="64" bestFit="1" customWidth="1"/>
    <col min="142" max="143" width="10.5546875" style="64" bestFit="1" customWidth="1"/>
    <col min="144" max="146" width="10.5546875" style="64" customWidth="1"/>
    <col min="147" max="147" width="9" style="64" bestFit="1" customWidth="1"/>
    <col min="148" max="148" width="10.5546875" style="64" bestFit="1" customWidth="1"/>
    <col min="149" max="149" width="9.33203125" style="64" bestFit="1" customWidth="1"/>
    <col min="150" max="150" width="11.6640625" style="64" bestFit="1" customWidth="1"/>
    <col min="151" max="151" width="8.44140625" style="64" bestFit="1" customWidth="1"/>
    <col min="152" max="152" width="9.44140625" style="64" bestFit="1" customWidth="1"/>
    <col min="153" max="153" width="9.6640625" style="64" bestFit="1" customWidth="1"/>
    <col min="154" max="154" width="11" style="64" bestFit="1" customWidth="1"/>
    <col min="155" max="155" width="9.44140625" style="64" bestFit="1" customWidth="1"/>
    <col min="156" max="157" width="9.44140625" style="64" customWidth="1"/>
    <col min="158" max="158" width="11.44140625" style="64"/>
    <col min="159" max="160" width="14" style="64" bestFit="1" customWidth="1"/>
    <col min="161" max="161" width="10.5546875" style="64" bestFit="1" customWidth="1"/>
    <col min="162" max="162" width="9.44140625" style="64" bestFit="1" customWidth="1"/>
    <col min="163" max="164" width="10.5546875" style="64" bestFit="1" customWidth="1"/>
    <col min="165" max="167" width="10.5546875" style="64" customWidth="1"/>
    <col min="168" max="168" width="9" style="64" bestFit="1" customWidth="1"/>
    <col min="169" max="169" width="10.5546875" style="64" bestFit="1" customWidth="1"/>
    <col min="170" max="170" width="9.33203125" style="64" bestFit="1" customWidth="1"/>
    <col min="171" max="171" width="11.6640625" style="64" bestFit="1" customWidth="1"/>
    <col min="172" max="172" width="8.109375" style="64" bestFit="1" customWidth="1"/>
    <col min="173" max="173" width="9.44140625" style="64" bestFit="1" customWidth="1"/>
    <col min="174" max="174" width="9.6640625" style="64" bestFit="1" customWidth="1"/>
    <col min="175" max="175" width="11" style="64" bestFit="1" customWidth="1"/>
    <col min="176" max="176" width="9.44140625" style="64" bestFit="1" customWidth="1"/>
    <col min="177" max="178" width="9.44140625" style="64" customWidth="1"/>
    <col min="179" max="179" width="10.5546875" style="64" bestFit="1" customWidth="1"/>
    <col min="180" max="181" width="14" style="64" bestFit="1" customWidth="1"/>
    <col min="182" max="182" width="10.5546875" style="64" bestFit="1" customWidth="1"/>
    <col min="183" max="183" width="9.44140625" style="64" bestFit="1" customWidth="1"/>
    <col min="184" max="185" width="10.5546875" style="64" bestFit="1" customWidth="1"/>
    <col min="186" max="188" width="10.5546875" style="64" customWidth="1"/>
    <col min="189" max="189" width="9" style="64" bestFit="1" customWidth="1"/>
    <col min="190" max="190" width="10.5546875" style="64" bestFit="1" customWidth="1"/>
    <col min="191" max="191" width="9.33203125" style="64" bestFit="1" customWidth="1"/>
    <col min="192" max="192" width="11.44140625" style="64"/>
    <col min="193" max="193" width="8.44140625" style="64" bestFit="1" customWidth="1"/>
    <col min="194" max="194" width="9.44140625" style="64" bestFit="1" customWidth="1"/>
    <col min="195" max="195" width="9.6640625" style="64" bestFit="1" customWidth="1"/>
    <col min="196" max="196" width="11" style="64" bestFit="1" customWidth="1"/>
    <col min="197" max="197" width="9.44140625" style="64" bestFit="1" customWidth="1"/>
    <col min="198" max="199" width="9.44140625" style="64" customWidth="1"/>
    <col min="200" max="200" width="10.5546875" style="64" bestFit="1" customWidth="1"/>
    <col min="201" max="201" width="14" style="64" customWidth="1"/>
    <col min="202" max="202" width="14.33203125" style="64" customWidth="1"/>
    <col min="203" max="203" width="10.5546875" style="64" bestFit="1" customWidth="1"/>
    <col min="204" max="204" width="9.44140625" style="64" bestFit="1" customWidth="1"/>
    <col min="205" max="206" width="10.5546875" style="64" bestFit="1" customWidth="1"/>
    <col min="207" max="209" width="10.5546875" style="64" customWidth="1"/>
    <col min="210" max="210" width="9" style="64" bestFit="1" customWidth="1"/>
    <col min="211" max="211" width="10.5546875" style="64" bestFit="1" customWidth="1"/>
    <col min="212" max="212" width="9.33203125" style="64" bestFit="1" customWidth="1"/>
    <col min="213" max="213" width="11.6640625" style="64" bestFit="1" customWidth="1"/>
    <col min="214" max="214" width="8.44140625" style="64" bestFit="1" customWidth="1"/>
    <col min="215" max="215" width="9.44140625" style="64" bestFit="1" customWidth="1"/>
    <col min="216" max="216" width="9.6640625" style="64" bestFit="1" customWidth="1"/>
    <col min="217" max="217" width="11" style="64" bestFit="1" customWidth="1"/>
    <col min="218" max="218" width="9.44140625" style="64" bestFit="1" customWidth="1"/>
    <col min="219" max="16384" width="11.44140625" style="64"/>
  </cols>
  <sheetData>
    <row r="1" spans="1:218" s="5" customFormat="1" ht="26.4" thickBot="1" x14ac:dyDescent="0.55000000000000004">
      <c r="B1" s="306" t="s">
        <v>176</v>
      </c>
      <c r="C1" s="307"/>
      <c r="D1" s="307"/>
      <c r="E1" s="307"/>
      <c r="F1" s="307"/>
      <c r="G1" s="307"/>
      <c r="H1" s="308"/>
      <c r="I1" s="303" t="str">
        <f>IF('Données projet'!$B$9="","",'Données projet'!$B$9)</f>
        <v>Chêne pubescent</v>
      </c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5"/>
      <c r="AD1" s="304" t="str">
        <f>IF('Données projet'!$B$10="","",'Données projet'!$B$10)</f>
        <v>Chêne sessile</v>
      </c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5"/>
      <c r="AY1" s="303" t="str">
        <f>IF('Données projet'!$B$11="","",'Données projet'!$B$11)</f>
        <v>Chêne rouge d'Amérique</v>
      </c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  <c r="BL1" s="304"/>
      <c r="BM1" s="304"/>
      <c r="BN1" s="304"/>
      <c r="BO1" s="304"/>
      <c r="BP1" s="304"/>
      <c r="BQ1" s="304"/>
      <c r="BR1" s="304"/>
      <c r="BS1" s="305"/>
      <c r="BT1" s="303" t="str">
        <f>IF('Données projet'!$B$12="","",'Données projet'!$B$12)</f>
        <v>Alisier torminal</v>
      </c>
      <c r="BU1" s="304"/>
      <c r="BV1" s="304"/>
      <c r="BW1" s="304"/>
      <c r="BX1" s="304"/>
      <c r="BY1" s="304"/>
      <c r="BZ1" s="304"/>
      <c r="CA1" s="304"/>
      <c r="CB1" s="304"/>
      <c r="CC1" s="304"/>
      <c r="CD1" s="304"/>
      <c r="CE1" s="304"/>
      <c r="CF1" s="304"/>
      <c r="CG1" s="304"/>
      <c r="CH1" s="304"/>
      <c r="CI1" s="304"/>
      <c r="CJ1" s="304"/>
      <c r="CK1" s="304"/>
      <c r="CL1" s="304"/>
      <c r="CM1" s="304"/>
      <c r="CN1" s="305"/>
      <c r="CO1" s="303" t="str">
        <f>IF('Données projet'!$B$13="","",'Données projet'!$B$13)</f>
        <v/>
      </c>
      <c r="CP1" s="304"/>
      <c r="CQ1" s="304"/>
      <c r="CR1" s="304"/>
      <c r="CS1" s="304"/>
      <c r="CT1" s="304"/>
      <c r="CU1" s="304"/>
      <c r="CV1" s="304"/>
      <c r="CW1" s="304"/>
      <c r="CX1" s="304"/>
      <c r="CY1" s="304"/>
      <c r="CZ1" s="304"/>
      <c r="DA1" s="304"/>
      <c r="DB1" s="304"/>
      <c r="DC1" s="304"/>
      <c r="DD1" s="304"/>
      <c r="DE1" s="304"/>
      <c r="DF1" s="304"/>
      <c r="DG1" s="304"/>
      <c r="DH1" s="304"/>
      <c r="DI1" s="305"/>
      <c r="DJ1" s="303" t="str">
        <f>IF('Données projet'!$B$14="","",'Données projet'!$B$14)</f>
        <v>Charme</v>
      </c>
      <c r="DK1" s="304"/>
      <c r="DL1" s="304"/>
      <c r="DM1" s="304"/>
      <c r="DN1" s="304"/>
      <c r="DO1" s="304"/>
      <c r="DP1" s="304"/>
      <c r="DQ1" s="304"/>
      <c r="DR1" s="304"/>
      <c r="DS1" s="304"/>
      <c r="DT1" s="304"/>
      <c r="DU1" s="304"/>
      <c r="DV1" s="304"/>
      <c r="DW1" s="304"/>
      <c r="DX1" s="304"/>
      <c r="DY1" s="304"/>
      <c r="DZ1" s="304"/>
      <c r="EA1" s="304"/>
      <c r="EB1" s="304"/>
      <c r="EC1" s="304"/>
      <c r="ED1" s="305"/>
      <c r="EE1" s="303" t="str">
        <f>IF('Données projet'!$B$15="","",'Données projet'!$B$15)</f>
        <v>Chêne chevelu</v>
      </c>
      <c r="EF1" s="304"/>
      <c r="EG1" s="304"/>
      <c r="EH1" s="304"/>
      <c r="EI1" s="304"/>
      <c r="EJ1" s="304"/>
      <c r="EK1" s="304"/>
      <c r="EL1" s="304"/>
      <c r="EM1" s="304"/>
      <c r="EN1" s="304"/>
      <c r="EO1" s="304"/>
      <c r="EP1" s="304"/>
      <c r="EQ1" s="304"/>
      <c r="ER1" s="304"/>
      <c r="ES1" s="304"/>
      <c r="ET1" s="304"/>
      <c r="EU1" s="304"/>
      <c r="EV1" s="304"/>
      <c r="EW1" s="304"/>
      <c r="EX1" s="304"/>
      <c r="EY1" s="305"/>
      <c r="EZ1" s="303" t="str">
        <f>IF('Données projet'!$B$16="","",'Données projet'!$B$16)</f>
        <v>Cèdre de l'Atlas</v>
      </c>
      <c r="FA1" s="304"/>
      <c r="FB1" s="304"/>
      <c r="FC1" s="304"/>
      <c r="FD1" s="304"/>
      <c r="FE1" s="304"/>
      <c r="FF1" s="304"/>
      <c r="FG1" s="304"/>
      <c r="FH1" s="304"/>
      <c r="FI1" s="304"/>
      <c r="FJ1" s="304"/>
      <c r="FK1" s="304"/>
      <c r="FL1" s="304"/>
      <c r="FM1" s="304"/>
      <c r="FN1" s="304"/>
      <c r="FO1" s="304"/>
      <c r="FP1" s="304"/>
      <c r="FQ1" s="304"/>
      <c r="FR1" s="304"/>
      <c r="FS1" s="304"/>
      <c r="FT1" s="305"/>
      <c r="FU1" s="303" t="str">
        <f>IF('Données projet'!$B$17="","",'Données projet'!$B$17)</f>
        <v>Tilleul</v>
      </c>
      <c r="FV1" s="304"/>
      <c r="FW1" s="304"/>
      <c r="FX1" s="304"/>
      <c r="FY1" s="304"/>
      <c r="FZ1" s="304"/>
      <c r="GA1" s="304"/>
      <c r="GB1" s="304"/>
      <c r="GC1" s="304"/>
      <c r="GD1" s="304"/>
      <c r="GE1" s="304"/>
      <c r="GF1" s="304"/>
      <c r="GG1" s="304"/>
      <c r="GH1" s="304"/>
      <c r="GI1" s="304"/>
      <c r="GJ1" s="304"/>
      <c r="GK1" s="304"/>
      <c r="GL1" s="304"/>
      <c r="GM1" s="304"/>
      <c r="GN1" s="304"/>
      <c r="GO1" s="305"/>
      <c r="GP1" s="303" t="str">
        <f>IF('Données projet'!$B$18="","",'Données projet'!$B$18)</f>
        <v/>
      </c>
      <c r="GQ1" s="304"/>
      <c r="GR1" s="304"/>
      <c r="GS1" s="304"/>
      <c r="GT1" s="304"/>
      <c r="GU1" s="304"/>
      <c r="GV1" s="304"/>
      <c r="GW1" s="304"/>
      <c r="GX1" s="304"/>
      <c r="GY1" s="304"/>
      <c r="GZ1" s="304"/>
      <c r="HA1" s="304"/>
      <c r="HB1" s="304"/>
      <c r="HC1" s="304"/>
      <c r="HD1" s="304"/>
      <c r="HE1" s="304"/>
      <c r="HF1" s="304"/>
      <c r="HG1" s="304"/>
      <c r="HH1" s="304"/>
      <c r="HI1" s="304"/>
      <c r="HJ1" s="305"/>
    </row>
    <row r="2" spans="1:218" s="5" customFormat="1" ht="58.2" thickBot="1" x14ac:dyDescent="0.35">
      <c r="A2" s="68" t="s">
        <v>178</v>
      </c>
      <c r="B2" s="69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2" t="s">
        <v>299</v>
      </c>
      <c r="I2" s="65" t="s">
        <v>298</v>
      </c>
      <c r="J2" s="66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66" t="s">
        <v>298</v>
      </c>
      <c r="AE2" s="66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5" t="s">
        <v>298</v>
      </c>
      <c r="AZ2" s="66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5" t="s">
        <v>298</v>
      </c>
      <c r="BU2" s="66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5" t="s">
        <v>298</v>
      </c>
      <c r="CP2" s="66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5" t="s">
        <v>298</v>
      </c>
      <c r="DK2" s="66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5" t="s">
        <v>298</v>
      </c>
      <c r="EF2" s="66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5" t="s">
        <v>298</v>
      </c>
      <c r="FA2" s="66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5" t="s">
        <v>298</v>
      </c>
      <c r="FV2" s="66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5" t="s">
        <v>298</v>
      </c>
      <c r="GQ2" s="66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0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3">
        <f>(B3+E3+F3)*44/12+(C3+D3)*0.475*44/12</f>
        <v>256.66666666666669</v>
      </c>
      <c r="I3" s="6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58">
        <f t="shared" ref="R3:R66" si="0">Q3+(I3+J3)*44/12</f>
        <v>256.66666666666669</v>
      </c>
      <c r="S3" s="58">
        <f ca="1">AVERAGE(OFFSET($R$3,0,0,'Données projet'!$E$9+1,1))-AVERAGE(OFFSET($H$3,0,0,'Données projet'!$E$9+1,1))</f>
        <v>483.15009705023641</v>
      </c>
      <c r="T3" s="58">
        <f>IF('Données projet'!E9&gt;30,$R$33-$H$33,LOOKUP('Données projet'!$E$9,$A$3:$A$203,R3:R203)-LOOKUP('Données projet'!$E$9,$A$3:$A$203,$H$3:$H$203))</f>
        <v>254.25036207346591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58">
        <f>AL3+(AD3+AE3)*44/12</f>
        <v>256.66666666666669</v>
      </c>
      <c r="AN3" s="58">
        <f ca="1">AVERAGE(OFFSET($AM$3,0,0,'Données projet'!$E$10+1,1))-AVERAGE(OFFSET($H$3,0,0,'Données projet'!$E$10+1,1))</f>
        <v>435.7095890216213</v>
      </c>
      <c r="AO3" s="58">
        <f>IF('Données projet'!E10&gt;30,$AM$33-$H$33,LOOKUP('Données projet'!$E$10,$A$3:$A$203,AM3:AM203)-LOOKUP('Données projet'!$E$10,$A$3:$A$203,$H$3:$H$203))</f>
        <v>231.36959598460686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58">
        <f>BG3+(AY3+AZ3)*44/12</f>
        <v>256.66666666666669</v>
      </c>
      <c r="BI3" s="58">
        <f ca="1">AVERAGE(OFFSET($BH$3,0,0,'Données projet'!$E$11+1,1))-AVERAGE(OFFSET($H$3,0,0,'Données projet'!$E$11+1,1))</f>
        <v>218.76424742311815</v>
      </c>
      <c r="BJ3" s="58">
        <f>IF('Données projet'!E11&gt;30,$BH$33-$H$33,LOOKUP('Données projet'!$E$11,$A$3:$A$203,BH3:BH203)-LOOKUP('Données projet'!$E$11,$A$3:$A$203,$H$3:$H$203))</f>
        <v>264.34598683038593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58">
        <f>CB3+(BT3+BU3)*44/12</f>
        <v>256.66666666666669</v>
      </c>
      <c r="CD3" s="58">
        <f ca="1">AVERAGE(OFFSET($CC$3,0,0,'Données projet'!$E$12+1,1))-AVERAGE(OFFSET($H$3,0,0,'Données projet'!$E$12+1,1))</f>
        <v>343.86347628565426</v>
      </c>
      <c r="CE3" s="58">
        <f>IF('Données projet'!E12&gt;30,$CC$33-$H$33,LOOKUP('Données projet'!$E$12,$A$3:$A$203,CC3:CC203)-LOOKUP('Données projet'!$E$12,$A$3:$A$203,$H$3:$H$203))</f>
        <v>129.28196646107097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58" t="e">
        <f>CW3+(CO3+CP3)*44/12</f>
        <v>#N/A</v>
      </c>
      <c r="CY3" s="58" t="e">
        <f ca="1">AVERAGE(OFFSET($CX$3,0,0,'Données projet'!$E$13+1,1))-AVERAGE(OFFSET($H$3,0,0,'Données projet'!$E$13+1,1))</f>
        <v>#N/A</v>
      </c>
      <c r="CZ3" s="58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58">
        <f>DR3+(DJ3+DK3)*44/12</f>
        <v>256.66666666666669</v>
      </c>
      <c r="DT3" s="58">
        <f ca="1">AVERAGE(OFFSET($DS$3,0,0,'Données projet'!$E$14+1,1))-AVERAGE(OFFSET($H$3,0,0,'Données projet'!$E$14+1,1))</f>
        <v>332.49889399440514</v>
      </c>
      <c r="DU3" s="58">
        <f>IF('Données projet'!E14&gt;30,$DS$33-$H$33,LOOKUP('Données projet'!$E$14,$A$3:$A$203,DS3:DS203)-LOOKUP('Données projet'!$E$14,$A$3:$A$203,$H$3:$H$203))</f>
        <v>256.06044006790529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58">
        <f>EM3+(EE3+EF3)*44/12</f>
        <v>256.66666666666669</v>
      </c>
      <c r="EO3" s="58">
        <f ca="1">AVERAGE(OFFSET($EN$3,0,0,'Données projet'!$E$15+1,1))-AVERAGE(OFFSET($H$3,0,0,'Données projet'!$E$15+1,1))</f>
        <v>596.00698505207174</v>
      </c>
      <c r="EP3" s="58">
        <f>IF('Données projet'!E15&gt;30,$EN$33-$H$33,LOOKUP('Données projet'!$E$15,$A$3:$A$203,EN3:EN203)-LOOKUP('Données projet'!$E$15,$A$3:$A$203,$H$3:$H$203))</f>
        <v>378.16197659288338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58">
        <f>FH3+(EZ3+FA3)*44/12</f>
        <v>256.66666666666669</v>
      </c>
      <c r="FJ3" s="58">
        <f ca="1">AVERAGE(OFFSET($FI$3,0,0,'Données projet'!$E$16+1,1))-AVERAGE(OFFSET($H$3,0,0,'Données projet'!$E$16+1,1))</f>
        <v>294.31042006404056</v>
      </c>
      <c r="FK3" s="58">
        <f>IF('Données projet'!E16&gt;30,$FI$33-$H$33,LOOKUP('Données projet'!$E$16,$A$3:$A$203,FI3:FI203)-LOOKUP('Données projet'!$E$16,$A$3:$A$203,$H$3:$H$203))</f>
        <v>260.93767498478502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58">
        <f>GC3+(FU3+FV3)*44/12</f>
        <v>256.66666666666669</v>
      </c>
      <c r="GE3" s="58">
        <f ca="1">AVERAGE(OFFSET($GD$3,0,0,'Données projet'!$E$17+1,1))-AVERAGE(OFFSET($H$3,0,0,'Données projet'!$E$17+1,1))</f>
        <v>362.1372269575329</v>
      </c>
      <c r="GF3" s="58">
        <f>IF('Données projet'!E17&gt;30,$GD$33-$H$33,LOOKUP('Données projet'!$E$17,$A$3:$A$203,GD3:GD203)-LOOKUP('Données projet'!$E$17,$A$3:$A$203,$H$3:$H$203))</f>
        <v>308.1559670593121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58" t="e">
        <f>GX3+(GP3+GQ3)*44/12</f>
        <v>#N/A</v>
      </c>
      <c r="GZ3" s="58" t="e">
        <f ca="1">AVERAGE(OFFSET($GY$3,0,0,'Données projet'!$E$18+1,1))-AVERAGE(OFFSET($H$3,0,0,'Données projet'!$E$18+1,1))</f>
        <v>#N/A</v>
      </c>
      <c r="HA3" s="58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0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3">
        <f t="shared" ref="H4:H67" si="1">(B4+E4+F4)*44/12+(C4+D4)*0.475*44/12</f>
        <v>256.66666666666669</v>
      </c>
      <c r="I4" s="6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58">
        <f t="shared" si="0"/>
        <v>260.97628431819578</v>
      </c>
      <c r="S4" s="58">
        <f ca="1">AVERAGE(OFFSET($R$3,0,0,'Données projet'!$E$9+1,1))-AVERAGE(OFFSET($H$3,0,0,'Données projet'!$E$9+1,1))</f>
        <v>483.15009705023641</v>
      </c>
      <c r="T4" s="58">
        <f>$T$3</f>
        <v>254.25036207346591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58">
        <f t="shared" ref="AM4:AM67" si="5">AL4+(AD4+AE4)*44/12</f>
        <v>260.65521412271448</v>
      </c>
      <c r="AN4" s="58">
        <f ca="1">AVERAGE(OFFSET($AM$3,0,0,'Données projet'!$E$10+1,1))-AVERAGE(OFFSET($H$3,0,0,'Données projet'!$E$10+1,1))</f>
        <v>435.7095890216213</v>
      </c>
      <c r="AO4" s="58">
        <f>$AO$3</f>
        <v>231.36959598460686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3.7179487179487176</v>
      </c>
      <c r="BD4" s="13">
        <f>IF('Données projet'!$A$88&gt;35,BD3+BC4-BL3,IF(A4&lt;'Données projet'!$A$88,$BA$205^A4,IF(A4='Données projet'!$A$88,'Données projet'!$B$88,BD3+BC4-BL3)))</f>
        <v>1.3074536754888892</v>
      </c>
      <c r="BE4" s="14">
        <f>BD4*VLOOKUP('Données projet'!$B$11,Paramètres!$A$1:$I$89,3,0)*VLOOKUP('Données projet'!$B$11,Paramètres!$A$1:$I$89,5,0)</f>
        <v>1.1421915309070938</v>
      </c>
      <c r="BF4" s="14">
        <f>EXP(-1.0587+0.8836*LN(BE4)+0.284)</f>
        <v>0.51828684805179914</v>
      </c>
      <c r="BG4" s="22">
        <f t="shared" ref="BG4:BG67" si="7">(BE4+BF4)*0.475*44/12</f>
        <v>2.8919998433534051</v>
      </c>
      <c r="BH4" s="58">
        <f t="shared" ref="BH4:BH67" si="8">BG4+(AY4+AZ4)*44/12</f>
        <v>260.78088873224226</v>
      </c>
      <c r="BI4" s="58">
        <f ca="1">AVERAGE(OFFSET($BH$3,0,0,'Données projet'!$E$11+1,1))-AVERAGE(OFFSET($H$3,0,0,'Données projet'!$E$11+1,1))</f>
        <v>218.76424742311815</v>
      </c>
      <c r="BJ4" s="58">
        <f>$BJ$3</f>
        <v>264.34598683038593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2.2571428571428571</v>
      </c>
      <c r="BY4" s="13">
        <f>IF('Données projet'!$A$114&gt;35,BY3+BX4-CG3,IF(A4&lt;'Données projet'!$A$114,$BV$205^A4,IF(A4='Données projet'!$A$114,'Données projet'!$B$114,BY3+BX4-CG3)))</f>
        <v>1.1329687128267454</v>
      </c>
      <c r="BZ4" s="14">
        <f>BY4*VLOOKUP('Données projet'!$B$12,Paramètres!$A$1:$I$89,3,0)*VLOOKUP('Données projet'!$B$12,Paramètres!$A$1:$I$89,5,0)</f>
        <v>1.0958073390460283</v>
      </c>
      <c r="CA4" s="14">
        <f>EXP(-1.0587+0.8836*LN(BZ4)+0.284)</f>
        <v>0.49964461165227481</v>
      </c>
      <c r="CB4" s="22">
        <f t="shared" ref="CB4:CB67" si="10">(BZ4+CA4)*0.475*44/12</f>
        <v>2.7787454807995444</v>
      </c>
      <c r="CC4" s="58">
        <f t="shared" ref="CC4:CC67" si="11">CB4+(BT4+BU4)*44/12</f>
        <v>260.66763436968841</v>
      </c>
      <c r="CD4" s="58">
        <f ca="1">AVERAGE(OFFSET($CC$3,0,0,'Données projet'!$E$12+1,1))-AVERAGE(OFFSET($H$3,0,0,'Données projet'!$E$12+1,1))</f>
        <v>343.86347628565426</v>
      </c>
      <c r="CE4" s="58">
        <f>$CE$3</f>
        <v>129.28196646107097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58" t="e">
        <f t="shared" ref="CX4:CX67" si="14">CW4+(CO4+CP4)*44/12</f>
        <v>#N/A</v>
      </c>
      <c r="CY4" s="58" t="e">
        <f ca="1">AVERAGE(OFFSET($CX$3,0,0,'Données projet'!$E$13+1,1))-AVERAGE(OFFSET($H$3,0,0,'Données projet'!$E$13+1,1))</f>
        <v>#N/A</v>
      </c>
      <c r="CZ4" s="58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</v>
      </c>
      <c r="DO4" s="13">
        <f>IF('Données projet'!$A$166&gt;35,DO3+DN4-DW3,IF(A4&lt;'Données projet'!$A$166,$DL$205^A4,IF(A4='Données projet'!$A$166,'Données projet'!$B$166,DO3+DN4-DW3)))</f>
        <v>1.2271780044536826</v>
      </c>
      <c r="DP4" s="18">
        <f>DO4*VLOOKUP('Données projet'!$B$14,Paramètres!$A$1:$I$89,3,0)*VLOOKUP('Données projet'!$B$14,Paramètres!$A$1:$I$89,5,0)</f>
        <v>1.1677825890381244</v>
      </c>
      <c r="DQ4" s="14">
        <f>EXP(-1.0587+0.8836*LN(DP4)+0.284)</f>
        <v>0.52853423635686114</v>
      </c>
      <c r="DR4" s="22">
        <f t="shared" ref="DR4:DR67" si="16">(DP4+DQ4)*0.475*44/12</f>
        <v>2.9544184708962664</v>
      </c>
      <c r="DS4" s="58">
        <f t="shared" ref="DS4:DS67" si="17">DR4+(DJ4+DK4)*44/12</f>
        <v>260.84330735978511</v>
      </c>
      <c r="DT4" s="58">
        <f ca="1">AVERAGE(OFFSET($DS$3,0,0,'Données projet'!$E$14+1,1))-AVERAGE(OFFSET($H$3,0,0,'Données projet'!$E$14+1,1))</f>
        <v>332.49889399440514</v>
      </c>
      <c r="DU4" s="58">
        <f>$DU$3</f>
        <v>256.06044006790529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2.8205128205128203</v>
      </c>
      <c r="EJ4" s="13">
        <f>IF('Données projet'!$A$192&gt;35,EJ3+EI4-ER3,IF(A4&lt;'Données projet'!$A$192,$EG$205^A4,IF(A4='Données projet'!$A$192,'Données projet'!$B$192,EJ3+EI4-ER3)))</f>
        <v>1.2835948199965717</v>
      </c>
      <c r="EK4" s="18">
        <f>EJ4*VLOOKUP('Données projet'!$B$15,Paramètres!$A$1:$I$89,3,0)*VLOOKUP('Données projet'!$B$15,Paramètres!$A$1:$I$89,5,0)</f>
        <v>1.3416133058604169</v>
      </c>
      <c r="EL4" s="14">
        <f>EXP(-1.0587+0.8836*LN(EK4)+0.284)</f>
        <v>0.59748030964646115</v>
      </c>
      <c r="EM4" s="22">
        <f t="shared" ref="EM4:EM67" si="19">(EK4+EL4)*0.475*44/12</f>
        <v>3.3772547136744788</v>
      </c>
      <c r="EN4" s="58">
        <f t="shared" ref="EN4:EN67" si="20">EM4+(EE4+EF4)*44/12</f>
        <v>261.26614360256332</v>
      </c>
      <c r="EO4" s="58">
        <f ca="1">AVERAGE(OFFSET($EN$3,0,0,'Données projet'!$E$15+1,1))-AVERAGE(OFFSET($H$3,0,0,'Données projet'!$E$15+1,1))</f>
        <v>596.00698505207174</v>
      </c>
      <c r="EP4" s="58">
        <f>$EP$3</f>
        <v>378.16197659288338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7.2264102564102561</v>
      </c>
      <c r="FE4" s="13">
        <f>IF('Données projet'!$A$218&gt;35,FE3+FD4-FM3,IF(A4&lt;'Données projet'!$A$218,$FB$205^A4,IF(A4='Données projet'!$A$218,'Données projet'!$B$218,FE3+FD4-FM3)))</f>
        <v>1.1963772029987372</v>
      </c>
      <c r="FF4" s="18">
        <f>FE4*VLOOKUP('Données projet'!$B$16,Paramètres!$A$1:$I$89,3,0)*VLOOKUP('Données projet'!$B$16,Paramètres!$A$1:$I$89,5,0)</f>
        <v>0.55990453100340898</v>
      </c>
      <c r="FG4" s="14">
        <f>EXP(-1.0587+0.8836*LN(FF4)+0.284)</f>
        <v>0.2760486193577778</v>
      </c>
      <c r="FH4" s="22">
        <f t="shared" ref="FH4:FH67" si="22">(FF4+FG4)*0.475*44/12</f>
        <v>1.4559517368790669</v>
      </c>
      <c r="FI4" s="58">
        <f t="shared" ref="FI4:FI67" si="23">FH4+(EZ4+FA4)*44/12</f>
        <v>259.34484062576792</v>
      </c>
      <c r="FJ4" s="58">
        <f ca="1">AVERAGE(OFFSET($FI$3,0,0,'Données projet'!$E$16+1,1))-AVERAGE(OFFSET($H$3,0,0,'Données projet'!$E$16+1,1))</f>
        <v>294.31042006404056</v>
      </c>
      <c r="FK4" s="58">
        <f>$FK$3</f>
        <v>260.93767498478502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5.2136752136752138</v>
      </c>
      <c r="FZ4" s="13">
        <f>IF('Données projet'!$A$244&gt;35,FZ3+FY4-GH3,IF(A4&lt;'Données projet'!$A$244,$FW$205^A4,IF(A4='Données projet'!$A$244,'Données projet'!$B$244,FZ3+FY4-GH3)))</f>
        <v>1.3372594701735672</v>
      </c>
      <c r="GA4" s="18">
        <f>FZ4*VLOOKUP('Données projet'!$B$17,Paramètres!$A$1:$I$89,3,0)*VLOOKUP('Données projet'!$B$17,Paramètres!$A$1:$I$89,5,0)</f>
        <v>0.89703365259242895</v>
      </c>
      <c r="GB4" s="14">
        <f>EXP(-1.0587+0.8836*LN(GA4)+0.284)</f>
        <v>0.41865266881156721</v>
      </c>
      <c r="GC4" s="22">
        <f t="shared" ref="GC4:GC67" si="25">(GA4+GB4)*0.475*44/12</f>
        <v>2.2914870097786264</v>
      </c>
      <c r="GD4" s="58">
        <f t="shared" ref="GD4:GD67" si="26">GC4+(FU4+FV4)*44/12</f>
        <v>260.18037589866748</v>
      </c>
      <c r="GE4" s="58">
        <f ca="1">AVERAGE(OFFSET($GD$3,0,0,'Données projet'!$E$17+1,1))-AVERAGE(OFFSET($H$3,0,0,'Données projet'!$E$17+1,1))</f>
        <v>362.1372269575329</v>
      </c>
      <c r="GF4" s="58">
        <f>$GF$3</f>
        <v>308.1559670593121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58" t="e">
        <f t="shared" ref="GY4:GY67" si="29">GX4+(GP4+GQ4)*44/12</f>
        <v>#N/A</v>
      </c>
      <c r="GZ4" s="58" t="e">
        <f ca="1">AVERAGE(OFFSET($GY$3,0,0,'Données projet'!$E$18+1,1))-AVERAGE(OFFSET($H$3,0,0,'Données projet'!$E$18+1,1))</f>
        <v>#N/A</v>
      </c>
      <c r="HA4" s="58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0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3">
        <f t="shared" si="1"/>
        <v>256.66666666666669</v>
      </c>
      <c r="I5" s="6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58">
        <f t="shared" si="0"/>
        <v>262.80806344386446</v>
      </c>
      <c r="S5" s="58">
        <f ca="1">AVERAGE(OFFSET($R$3,0,0,'Données projet'!$E$9+1,1))-AVERAGE(OFFSET($H$3,0,0,'Données projet'!$E$9+1,1))</f>
        <v>483.15009705023641</v>
      </c>
      <c r="T5" s="58">
        <f t="shared" ref="T5:T68" si="34">$T$3</f>
        <v>254.25036207346591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58">
        <f t="shared" si="5"/>
        <v>262.42339882093205</v>
      </c>
      <c r="AN5" s="58">
        <f ca="1">AVERAGE(OFFSET($AM$3,0,0,'Données projet'!$E$10+1,1))-AVERAGE(OFFSET($H$3,0,0,'Données projet'!$E$10+1,1))</f>
        <v>435.7095890216213</v>
      </c>
      <c r="AO5" s="58">
        <f t="shared" ref="AO5:AO68" si="36">$AO$3</f>
        <v>231.36959598460686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3.7179487179487176</v>
      </c>
      <c r="BD5" s="13">
        <f>IF('Données projet'!$A$88&gt;35,BD4+BC5-BL4,IF(A5&lt;'Données projet'!$A$88,$BA$205^A5,IF(A5='Données projet'!$A$88,'Données projet'!$B$88,BD4+BC5-BL4)))</f>
        <v>1.7094351135494057</v>
      </c>
      <c r="BE5" s="14">
        <f>BD5*VLOOKUP('Données projet'!$B$11,Paramètres!$A$1:$I$89,3,0)*VLOOKUP('Données projet'!$B$11,Paramètres!$A$1:$I$89,5,0)</f>
        <v>1.4933625151967609</v>
      </c>
      <c r="BF5" s="14">
        <f t="shared" ref="BF5:BF68" si="37">EXP(-1.0587+0.8836*LN(BE5)+0.284)</f>
        <v>0.65681713812913922</v>
      </c>
      <c r="BG5" s="22">
        <f t="shared" si="7"/>
        <v>3.7448962295426091</v>
      </c>
      <c r="BH5" s="58">
        <f t="shared" si="8"/>
        <v>262.85600734065378</v>
      </c>
      <c r="BI5" s="58">
        <f ca="1">AVERAGE(OFFSET($BH$3,0,0,'Données projet'!$E$11+1,1))-AVERAGE(OFFSET($H$3,0,0,'Données projet'!$E$11+1,1))</f>
        <v>218.76424742311815</v>
      </c>
      <c r="BJ5" s="58">
        <f t="shared" ref="BJ5:BJ68" si="38">$BJ$3</f>
        <v>264.34598683038593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2.2571428571428571</v>
      </c>
      <c r="BY5" s="13">
        <f>IF('Données projet'!$A$114&gt;35,BY4+BX5-CG4,IF(A5&lt;'Données projet'!$A$114,$BV$205^A5,IF(A5='Données projet'!$A$114,'Données projet'!$B$114,BY4+BX5-CG4)))</f>
        <v>1.2836181042442922</v>
      </c>
      <c r="BZ5" s="14">
        <f>BY5*VLOOKUP('Données projet'!$B$12,Paramètres!$A$1:$I$89,3,0)*VLOOKUP('Données projet'!$B$12,Paramètres!$A$1:$I$89,5,0)</f>
        <v>1.2415154304250795</v>
      </c>
      <c r="CA5" s="14">
        <f t="shared" ref="CA5:CA68" si="39">EXP(-1.0587+0.8836*LN(BZ5)+0.284)</f>
        <v>0.557915156241933</v>
      </c>
      <c r="CB5" s="22">
        <f t="shared" si="10"/>
        <v>3.1340082717783795</v>
      </c>
      <c r="CC5" s="58">
        <f t="shared" si="11"/>
        <v>262.24511938288953</v>
      </c>
      <c r="CD5" s="58">
        <f ca="1">AVERAGE(OFFSET($CC$3,0,0,'Données projet'!$E$12+1,1))-AVERAGE(OFFSET($H$3,0,0,'Données projet'!$E$12+1,1))</f>
        <v>343.86347628565426</v>
      </c>
      <c r="CE5" s="58">
        <f t="shared" ref="CE5:CE68" si="40">$CE$3</f>
        <v>129.28196646107097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58" t="e">
        <f t="shared" si="14"/>
        <v>#N/A</v>
      </c>
      <c r="CY5" s="58" t="e">
        <f ca="1">AVERAGE(OFFSET($CX$3,0,0,'Données projet'!$E$13+1,1))-AVERAGE(OFFSET($H$3,0,0,'Données projet'!$E$13+1,1))</f>
        <v>#N/A</v>
      </c>
      <c r="CZ5" s="58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</v>
      </c>
      <c r="DO5" s="13">
        <f>IF('Données projet'!$A$166&gt;35,DO4+DN5-DW4,IF(A5&lt;'Données projet'!$A$166,$DL$205^A5,IF(A5='Données projet'!$A$166,'Données projet'!$B$166,DO4+DN5-DW4)))</f>
        <v>1.5059658546149228</v>
      </c>
      <c r="DP5" s="18">
        <f>DO5*VLOOKUP('Données projet'!$B$14,Paramètres!$A$1:$I$89,3,0)*VLOOKUP('Données projet'!$B$14,Paramètres!$A$1:$I$89,5,0)</f>
        <v>1.4330771072515605</v>
      </c>
      <c r="DQ5" s="14">
        <f t="shared" ref="DQ5:DQ68" si="43">EXP(-1.0587+0.8836*LN(DP5)+0.284)</f>
        <v>0.63333260482608356</v>
      </c>
      <c r="DR5" s="22">
        <f t="shared" si="16"/>
        <v>3.5989969152018966</v>
      </c>
      <c r="DS5" s="58">
        <f t="shared" si="17"/>
        <v>262.71010802631304</v>
      </c>
      <c r="DT5" s="58">
        <f ca="1">AVERAGE(OFFSET($DS$3,0,0,'Données projet'!$E$14+1,1))-AVERAGE(OFFSET($H$3,0,0,'Données projet'!$E$14+1,1))</f>
        <v>332.49889399440514</v>
      </c>
      <c r="DU5" s="58">
        <f t="shared" ref="DU5:DU68" si="44">$DU$3</f>
        <v>256.06044006790529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2.8205128205128203</v>
      </c>
      <c r="EJ5" s="13">
        <f>IF('Données projet'!$A$192&gt;35,EJ4+EI5-ER4,IF(A5&lt;'Données projet'!$A$192,$EG$205^A5,IF(A5='Données projet'!$A$192,'Données projet'!$B$192,EJ4+EI5-ER4)))</f>
        <v>1.6476156619220312</v>
      </c>
      <c r="EK5" s="18">
        <f>EJ5*VLOOKUP('Données projet'!$B$15,Paramètres!$A$1:$I$89,3,0)*VLOOKUP('Données projet'!$B$15,Paramètres!$A$1:$I$89,5,0)</f>
        <v>1.7220878898409073</v>
      </c>
      <c r="EL5" s="14">
        <f t="shared" ref="EL5:EL68" si="45">EXP(-1.0587+0.8836*LN(EK5)+0.284)</f>
        <v>0.74495585723355318</v>
      </c>
      <c r="EM5" s="22">
        <f t="shared" si="19"/>
        <v>4.2967678594880176</v>
      </c>
      <c r="EN5" s="58">
        <f t="shared" si="20"/>
        <v>263.40787897059914</v>
      </c>
      <c r="EO5" s="58">
        <f ca="1">AVERAGE(OFFSET($EN$3,0,0,'Données projet'!$E$15+1,1))-AVERAGE(OFFSET($H$3,0,0,'Données projet'!$E$15+1,1))</f>
        <v>596.00698505207174</v>
      </c>
      <c r="EP5" s="58">
        <f t="shared" ref="EP5:EP68" si="46">$EP$3</f>
        <v>378.16197659288338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7.2264102564102561</v>
      </c>
      <c r="FE5" s="13">
        <f>IF('Données projet'!$A$218&gt;35,FE4+FD5-FM4,IF(A5&lt;'Données projet'!$A$218,$FB$205^A5,IF(A5='Données projet'!$A$218,'Données projet'!$B$218,FE4+FD5-FM4)))</f>
        <v>1.4313184118550817</v>
      </c>
      <c r="FF5" s="18">
        <f>FE5*VLOOKUP('Données projet'!$B$16,Paramètres!$A$1:$I$89,3,0)*VLOOKUP('Données projet'!$B$16,Paramètres!$A$1:$I$89,5,0)</f>
        <v>0.66985701674817832</v>
      </c>
      <c r="FG5" s="14">
        <f t="shared" ref="FG5:FG68" si="47">EXP(-1.0587+0.8836*LN(FF5)+0.284)</f>
        <v>0.32343711768198868</v>
      </c>
      <c r="FH5" s="22">
        <f t="shared" si="22"/>
        <v>1.729987284132541</v>
      </c>
      <c r="FI5" s="58">
        <f t="shared" si="23"/>
        <v>260.8410983952437</v>
      </c>
      <c r="FJ5" s="58">
        <f ca="1">AVERAGE(OFFSET($FI$3,0,0,'Données projet'!$E$16+1,1))-AVERAGE(OFFSET($H$3,0,0,'Données projet'!$E$16+1,1))</f>
        <v>294.31042006404056</v>
      </c>
      <c r="FK5" s="58">
        <f t="shared" ref="FK5:FK68" si="48">$FK$3</f>
        <v>260.93767498478502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5.2136752136752138</v>
      </c>
      <c r="FZ5" s="13">
        <f>IF('Données projet'!$A$244&gt;35,FZ4+FY5-GH4,IF(A5&lt;'Données projet'!$A$244,$FW$205^A5,IF(A5='Données projet'!$A$244,'Données projet'!$B$244,FZ4+FY5-GH4)))</f>
        <v>1.7882628905688895</v>
      </c>
      <c r="GA5" s="18">
        <f>FZ5*VLOOKUP('Données projet'!$B$17,Paramètres!$A$1:$I$89,3,0)*VLOOKUP('Données projet'!$B$17,Paramètres!$A$1:$I$89,5,0)</f>
        <v>1.1995667469936111</v>
      </c>
      <c r="GB5" s="14">
        <f t="shared" ref="GB5:GB68" si="49">EXP(-1.0587+0.8836*LN(GA5)+0.284)</f>
        <v>0.54122523892796182</v>
      </c>
      <c r="GC5" s="22">
        <f t="shared" si="25"/>
        <v>3.0318793754800732</v>
      </c>
      <c r="GD5" s="58">
        <f t="shared" si="26"/>
        <v>262.1429904865912</v>
      </c>
      <c r="GE5" s="58">
        <f ca="1">AVERAGE(OFFSET($GD$3,0,0,'Données projet'!$E$17+1,1))-AVERAGE(OFFSET($H$3,0,0,'Données projet'!$E$17+1,1))</f>
        <v>362.1372269575329</v>
      </c>
      <c r="GF5" s="58">
        <f t="shared" ref="GF5:GF68" si="50">$GF$3</f>
        <v>308.1559670593121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58" t="e">
        <f t="shared" si="29"/>
        <v>#N/A</v>
      </c>
      <c r="GZ5" s="58" t="e">
        <f ca="1">AVERAGE(OFFSET($GY$3,0,0,'Données projet'!$E$18+1,1))-AVERAGE(OFFSET($H$3,0,0,'Données projet'!$E$18+1,1))</f>
        <v>#N/A</v>
      </c>
      <c r="HA5" s="58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0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3">
        <f t="shared" si="1"/>
        <v>256.66666666666669</v>
      </c>
      <c r="I6" s="6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58">
        <f t="shared" si="0"/>
        <v>264.76063455825545</v>
      </c>
      <c r="S6" s="58">
        <f ca="1">AVERAGE(OFFSET($R$3,0,0,'Données projet'!$E$9+1,1))-AVERAGE(OFFSET($H$3,0,0,'Données projet'!$E$9+1,1))</f>
        <v>483.15009705023641</v>
      </c>
      <c r="T6" s="58">
        <f t="shared" si="34"/>
        <v>254.25036207346591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58">
        <f t="shared" si="5"/>
        <v>264.29973523978072</v>
      </c>
      <c r="AN6" s="58">
        <f ca="1">AVERAGE(OFFSET($AM$3,0,0,'Données projet'!$E$10+1,1))-AVERAGE(OFFSET($H$3,0,0,'Données projet'!$E$10+1,1))</f>
        <v>435.7095890216213</v>
      </c>
      <c r="AO6" s="58">
        <f t="shared" si="36"/>
        <v>231.36959598460686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3.7179487179487176</v>
      </c>
      <c r="BD6" s="13">
        <f>IF('Données projet'!$A$88&gt;35,BD5+BC6-BL5,IF(A6&lt;'Données projet'!$A$88,$BA$205^A6,IF(A6='Données projet'!$A$88,'Données projet'!$B$88,BD5+BC6-BL5)))</f>
        <v>2.2350072222199371</v>
      </c>
      <c r="BE6" s="14">
        <f>BD6*VLOOKUP('Données projet'!$B$11,Paramètres!$A$1:$I$89,3,0)*VLOOKUP('Données projet'!$B$11,Paramètres!$A$1:$I$89,5,0)</f>
        <v>1.9525023093313372</v>
      </c>
      <c r="BF6" s="14">
        <f t="shared" si="37"/>
        <v>0.83237449408910436</v>
      </c>
      <c r="BG6" s="22">
        <f t="shared" si="7"/>
        <v>4.8503270992906016</v>
      </c>
      <c r="BH6" s="58">
        <f t="shared" si="8"/>
        <v>265.18366043262392</v>
      </c>
      <c r="BI6" s="58">
        <f ca="1">AVERAGE(OFFSET($BH$3,0,0,'Données projet'!$E$11+1,1))-AVERAGE(OFFSET($H$3,0,0,'Données projet'!$E$11+1,1))</f>
        <v>218.76424742311815</v>
      </c>
      <c r="BJ6" s="58">
        <f t="shared" si="38"/>
        <v>264.34598683038593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2.2571428571428571</v>
      </c>
      <c r="BY6" s="13">
        <f>IF('Données projet'!$A$114&gt;35,BY5+BX6-CG5,IF(A6&lt;'Données projet'!$A$114,$BV$205^A6,IF(A6='Données projet'!$A$114,'Données projet'!$B$114,BY5+BX6-CG5)))</f>
        <v>1.4542991513267629</v>
      </c>
      <c r="BZ6" s="14">
        <f>BY6*VLOOKUP('Données projet'!$B$12,Paramètres!$A$1:$I$89,3,0)*VLOOKUP('Données projet'!$B$12,Paramètres!$A$1:$I$89,5,0)</f>
        <v>1.4065981391632452</v>
      </c>
      <c r="CA6" s="14">
        <f t="shared" si="39"/>
        <v>0.62298144382088705</v>
      </c>
      <c r="CB6" s="22">
        <f t="shared" si="10"/>
        <v>3.5348511070306965</v>
      </c>
      <c r="CC6" s="58">
        <f t="shared" si="11"/>
        <v>263.86818444036402</v>
      </c>
      <c r="CD6" s="58">
        <f ca="1">AVERAGE(OFFSET($CC$3,0,0,'Données projet'!$E$12+1,1))-AVERAGE(OFFSET($H$3,0,0,'Données projet'!$E$12+1,1))</f>
        <v>343.86347628565426</v>
      </c>
      <c r="CE6" s="58">
        <f t="shared" si="40"/>
        <v>129.28196646107097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58" t="e">
        <f t="shared" si="14"/>
        <v>#N/A</v>
      </c>
      <c r="CY6" s="58" t="e">
        <f ca="1">AVERAGE(OFFSET($CX$3,0,0,'Données projet'!$E$13+1,1))-AVERAGE(OFFSET($H$3,0,0,'Données projet'!$E$13+1,1))</f>
        <v>#N/A</v>
      </c>
      <c r="CZ6" s="58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</v>
      </c>
      <c r="DO6" s="13">
        <f>IF('Données projet'!$A$166&gt;35,DO5+DN6-DW5,IF(A6&lt;'Données projet'!$A$166,$DL$205^A6,IF(A6='Données projet'!$A$166,'Données projet'!$B$166,DO5+DN6-DW5)))</f>
        <v>1.8480881722417257</v>
      </c>
      <c r="DP6" s="18">
        <f>DO6*VLOOKUP('Données projet'!$B$14,Paramètres!$A$1:$I$89,3,0)*VLOOKUP('Données projet'!$B$14,Paramètres!$A$1:$I$89,5,0)</f>
        <v>1.7586407047052264</v>
      </c>
      <c r="DQ6" s="14">
        <f t="shared" si="43"/>
        <v>0.75891051278079646</v>
      </c>
      <c r="DR6" s="22">
        <f t="shared" si="16"/>
        <v>4.3847350371214899</v>
      </c>
      <c r="DS6" s="58">
        <f t="shared" si="17"/>
        <v>264.71806837045483</v>
      </c>
      <c r="DT6" s="58">
        <f ca="1">AVERAGE(OFFSET($DS$3,0,0,'Données projet'!$E$14+1,1))-AVERAGE(OFFSET($H$3,0,0,'Données projet'!$E$14+1,1))</f>
        <v>332.49889399440514</v>
      </c>
      <c r="DU6" s="58">
        <f t="shared" si="44"/>
        <v>256.06044006790529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2.8205128205128203</v>
      </c>
      <c r="EJ6" s="13">
        <f>IF('Données projet'!$A$192&gt;35,EJ5+EI6-ER5,IF(A6&lt;'Données projet'!$A$192,$EG$205^A6,IF(A6='Données projet'!$A$192,'Données projet'!$B$192,EJ5+EI6-ER5)))</f>
        <v>2.1148709289883421</v>
      </c>
      <c r="EK6" s="18">
        <f>EJ6*VLOOKUP('Données projet'!$B$15,Paramètres!$A$1:$I$89,3,0)*VLOOKUP('Données projet'!$B$15,Paramètres!$A$1:$I$89,5,0)</f>
        <v>2.2104630949786155</v>
      </c>
      <c r="EL6" s="14">
        <f t="shared" si="45"/>
        <v>0.92883266656093877</v>
      </c>
      <c r="EM6" s="22">
        <f t="shared" si="19"/>
        <v>5.4676067846813901</v>
      </c>
      <c r="EN6" s="58">
        <f t="shared" si="20"/>
        <v>265.80094011801469</v>
      </c>
      <c r="EO6" s="58">
        <f ca="1">AVERAGE(OFFSET($EN$3,0,0,'Données projet'!$E$15+1,1))-AVERAGE(OFFSET($H$3,0,0,'Données projet'!$E$15+1,1))</f>
        <v>596.00698505207174</v>
      </c>
      <c r="EP6" s="58">
        <f t="shared" si="46"/>
        <v>378.16197659288338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7.2264102564102561</v>
      </c>
      <c r="FE6" s="13">
        <f>IF('Données projet'!$A$218&gt;35,FE5+FD6-FM5,IF(A6&lt;'Données projet'!$A$218,$FB$205^A6,IF(A6='Données projet'!$A$218,'Données projet'!$B$218,FE5+FD6-FM5)))</f>
        <v>1.7123967181757771</v>
      </c>
      <c r="FF6" s="18">
        <f>FE6*VLOOKUP('Données projet'!$B$16,Paramètres!$A$1:$I$89,3,0)*VLOOKUP('Données projet'!$B$16,Paramètres!$A$1:$I$89,5,0)</f>
        <v>0.80140166410626379</v>
      </c>
      <c r="FG6" s="14">
        <f t="shared" si="47"/>
        <v>0.37896066764546593</v>
      </c>
      <c r="FH6" s="22">
        <f t="shared" si="22"/>
        <v>2.0557977278009294</v>
      </c>
      <c r="FI6" s="58">
        <f t="shared" si="23"/>
        <v>262.38913106113426</v>
      </c>
      <c r="FJ6" s="58">
        <f ca="1">AVERAGE(OFFSET($FI$3,0,0,'Données projet'!$E$16+1,1))-AVERAGE(OFFSET($H$3,0,0,'Données projet'!$E$16+1,1))</f>
        <v>294.31042006404056</v>
      </c>
      <c r="FK6" s="58">
        <f t="shared" si="48"/>
        <v>260.93767498478502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5.2136752136752138</v>
      </c>
      <c r="FZ6" s="13">
        <f>IF('Données projet'!$A$244&gt;35,FZ5+FY6-GH5,IF(A6&lt;'Données projet'!$A$244,$FW$205^A6,IF(A6='Données projet'!$A$244,'Données projet'!$B$244,FZ5+FY6-GH5)))</f>
        <v>2.3913714855732051</v>
      </c>
      <c r="GA6" s="18">
        <f>FZ6*VLOOKUP('Données projet'!$B$17,Paramètres!$A$1:$I$89,3,0)*VLOOKUP('Données projet'!$B$17,Paramètres!$A$1:$I$89,5,0)</f>
        <v>1.6041319925225062</v>
      </c>
      <c r="GB6" s="14">
        <f t="shared" si="49"/>
        <v>0.69968444267692698</v>
      </c>
      <c r="GC6" s="22">
        <f t="shared" si="25"/>
        <v>4.0124802913056792</v>
      </c>
      <c r="GD6" s="58">
        <f t="shared" si="26"/>
        <v>264.34581362463899</v>
      </c>
      <c r="GE6" s="58">
        <f ca="1">AVERAGE(OFFSET($GD$3,0,0,'Données projet'!$E$17+1,1))-AVERAGE(OFFSET($H$3,0,0,'Données projet'!$E$17+1,1))</f>
        <v>362.1372269575329</v>
      </c>
      <c r="GF6" s="58">
        <f t="shared" si="50"/>
        <v>308.1559670593121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58" t="e">
        <f t="shared" si="29"/>
        <v>#N/A</v>
      </c>
      <c r="GZ6" s="58" t="e">
        <f ca="1">AVERAGE(OFFSET($GY$3,0,0,'Données projet'!$E$18+1,1))-AVERAGE(OFFSET($H$3,0,0,'Données projet'!$E$18+1,1))</f>
        <v>#N/A</v>
      </c>
      <c r="HA6" s="58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0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3">
        <f t="shared" si="1"/>
        <v>256.66666666666669</v>
      </c>
      <c r="I7" s="6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58">
        <f t="shared" si="0"/>
        <v>266.8580173405054</v>
      </c>
      <c r="S7" s="58">
        <f ca="1">AVERAGE(OFFSET($R$3,0,0,'Données projet'!$E$9+1,1))-AVERAGE(OFFSET($H$3,0,0,'Données projet'!$E$9+1,1))</f>
        <v>483.15009705023641</v>
      </c>
      <c r="T7" s="58">
        <f t="shared" si="34"/>
        <v>254.25036207346591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58">
        <f t="shared" si="5"/>
        <v>266.30572241486152</v>
      </c>
      <c r="AN7" s="58">
        <f ca="1">AVERAGE(OFFSET($AM$3,0,0,'Données projet'!$E$10+1,1))-AVERAGE(OFFSET($H$3,0,0,'Données projet'!$E$10+1,1))</f>
        <v>435.7095890216213</v>
      </c>
      <c r="AO7" s="58">
        <f t="shared" si="36"/>
        <v>231.36959598460686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3.7179487179487176</v>
      </c>
      <c r="BD7" s="13">
        <f>IF('Données projet'!$A$88&gt;35,BD6+BC7-BL6,IF(A7&lt;'Données projet'!$A$88,$BA$205^A7,IF(A7='Données projet'!$A$88,'Données projet'!$B$88,BD6+BC7-BL6)))</f>
        <v>2.9221684074356697</v>
      </c>
      <c r="BE7" s="14">
        <f>BD7*VLOOKUP('Données projet'!$B$11,Paramètres!$A$1:$I$89,3,0)*VLOOKUP('Données projet'!$B$11,Paramètres!$A$1:$I$89,5,0)</f>
        <v>2.5528063207358014</v>
      </c>
      <c r="BF7" s="14">
        <f t="shared" si="37"/>
        <v>1.0548556945142764</v>
      </c>
      <c r="BG7" s="22">
        <f t="shared" si="7"/>
        <v>6.2833446765605521</v>
      </c>
      <c r="BH7" s="58">
        <f t="shared" si="8"/>
        <v>267.83890023211609</v>
      </c>
      <c r="BI7" s="58">
        <f ca="1">AVERAGE(OFFSET($BH$3,0,0,'Données projet'!$E$11+1,1))-AVERAGE(OFFSET($H$3,0,0,'Données projet'!$E$11+1,1))</f>
        <v>218.76424742311815</v>
      </c>
      <c r="BJ7" s="58">
        <f t="shared" si="38"/>
        <v>264.34598683038593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2.2571428571428571</v>
      </c>
      <c r="BY7" s="13">
        <f>IF('Données projet'!$A$114&gt;35,BY6+BX7-CG6,IF(A7&lt;'Données projet'!$A$114,$BV$205^A7,IF(A7='Données projet'!$A$114,'Données projet'!$B$114,BY6+BX7-CG6)))</f>
        <v>1.6476754375437106</v>
      </c>
      <c r="BZ7" s="14">
        <f>BY7*VLOOKUP('Données projet'!$B$12,Paramètres!$A$1:$I$89,3,0)*VLOOKUP('Données projet'!$B$12,Paramètres!$A$1:$I$89,5,0)</f>
        <v>1.593631683192277</v>
      </c>
      <c r="CA7" s="14">
        <f t="shared" si="39"/>
        <v>0.69563602100255484</v>
      </c>
      <c r="CB7" s="22">
        <f t="shared" si="10"/>
        <v>3.9871412514726656</v>
      </c>
      <c r="CC7" s="58">
        <f t="shared" si="11"/>
        <v>265.54269680702822</v>
      </c>
      <c r="CD7" s="58">
        <f ca="1">AVERAGE(OFFSET($CC$3,0,0,'Données projet'!$E$12+1,1))-AVERAGE(OFFSET($H$3,0,0,'Données projet'!$E$12+1,1))</f>
        <v>343.86347628565426</v>
      </c>
      <c r="CE7" s="58">
        <f t="shared" si="40"/>
        <v>129.28196646107097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58" t="e">
        <f t="shared" si="14"/>
        <v>#N/A</v>
      </c>
      <c r="CY7" s="58" t="e">
        <f ca="1">AVERAGE(OFFSET($CX$3,0,0,'Données projet'!$E$13+1,1))-AVERAGE(OFFSET($H$3,0,0,'Données projet'!$E$13+1,1))</f>
        <v>#N/A</v>
      </c>
      <c r="CZ7" s="58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</v>
      </c>
      <c r="DO7" s="13">
        <f>IF('Données projet'!$A$166&gt;35,DO6+DN7-DW6,IF(A7&lt;'Données projet'!$A$166,$DL$205^A7,IF(A7='Données projet'!$A$166,'Données projet'!$B$166,DO6+DN7-DW6)))</f>
        <v>2.2679331552660549</v>
      </c>
      <c r="DP7" s="18">
        <f>DO7*VLOOKUP('Données projet'!$B$14,Paramètres!$A$1:$I$89,3,0)*VLOOKUP('Données projet'!$B$14,Paramètres!$A$1:$I$89,5,0)</f>
        <v>2.1581651905511778</v>
      </c>
      <c r="DQ7" s="14">
        <f t="shared" si="43"/>
        <v>0.90938815090274538</v>
      </c>
      <c r="DR7" s="22">
        <f t="shared" si="16"/>
        <v>5.3426554030322491</v>
      </c>
      <c r="DS7" s="58">
        <f t="shared" si="17"/>
        <v>266.89821095858781</v>
      </c>
      <c r="DT7" s="58">
        <f ca="1">AVERAGE(OFFSET($DS$3,0,0,'Données projet'!$E$14+1,1))-AVERAGE(OFFSET($H$3,0,0,'Données projet'!$E$14+1,1))</f>
        <v>332.49889399440514</v>
      </c>
      <c r="DU7" s="58">
        <f t="shared" si="44"/>
        <v>256.06044006790529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2.8205128205128203</v>
      </c>
      <c r="EJ7" s="13">
        <f>IF('Données projet'!$A$192&gt;35,EJ6+EI7-ER6,IF(A7&lt;'Données projet'!$A$192,$EG$205^A7,IF(A7='Données projet'!$A$192,'Données projet'!$B$192,EJ6+EI7-ER6)))</f>
        <v>2.7146373694107733</v>
      </c>
      <c r="EK7" s="18">
        <f>EJ7*VLOOKUP('Données projet'!$B$15,Paramètres!$A$1:$I$89,3,0)*VLOOKUP('Données projet'!$B$15,Paramètres!$A$1:$I$89,5,0)</f>
        <v>2.8373389785081402</v>
      </c>
      <c r="EL7" s="14">
        <f t="shared" si="45"/>
        <v>1.1580956295511442</v>
      </c>
      <c r="EM7" s="22">
        <f t="shared" si="19"/>
        <v>6.9587152757032529</v>
      </c>
      <c r="EN7" s="58">
        <f t="shared" si="20"/>
        <v>268.51427083125878</v>
      </c>
      <c r="EO7" s="58">
        <f ca="1">AVERAGE(OFFSET($EN$3,0,0,'Données projet'!$E$15+1,1))-AVERAGE(OFFSET($H$3,0,0,'Données projet'!$E$15+1,1))</f>
        <v>596.00698505207174</v>
      </c>
      <c r="EP7" s="58">
        <f t="shared" si="46"/>
        <v>378.16197659288338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7.2264102564102561</v>
      </c>
      <c r="FE7" s="13">
        <f>IF('Données projet'!$A$218&gt;35,FE6+FD7-FM6,IF(A7&lt;'Données projet'!$A$218,$FB$205^A7,IF(A7='Données projet'!$A$218,'Données projet'!$B$218,FE6+FD7-FM6)))</f>
        <v>2.0486723961153532</v>
      </c>
      <c r="FF7" s="18">
        <f>FE7*VLOOKUP('Données projet'!$B$16,Paramètres!$A$1:$I$89,3,0)*VLOOKUP('Données projet'!$B$16,Paramètres!$A$1:$I$89,5,0)</f>
        <v>0.95877868138198519</v>
      </c>
      <c r="FG7" s="14">
        <f t="shared" si="47"/>
        <v>0.44401579092570115</v>
      </c>
      <c r="FH7" s="22">
        <f t="shared" si="22"/>
        <v>2.4432003726025537</v>
      </c>
      <c r="FI7" s="58">
        <f t="shared" si="23"/>
        <v>263.99875592815812</v>
      </c>
      <c r="FJ7" s="58">
        <f ca="1">AVERAGE(OFFSET($FI$3,0,0,'Données projet'!$E$16+1,1))-AVERAGE(OFFSET($H$3,0,0,'Données projet'!$E$16+1,1))</f>
        <v>294.31042006404056</v>
      </c>
      <c r="FK7" s="58">
        <f t="shared" si="48"/>
        <v>260.93767498478502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5.2136752136752138</v>
      </c>
      <c r="FZ7" s="13">
        <f>IF('Données projet'!$A$244&gt;35,FZ6+FY7-GH6,IF(A7&lt;'Données projet'!$A$244,$FW$205^A7,IF(A7='Données projet'!$A$244,'Données projet'!$B$244,FZ6+FY7-GH6)))</f>
        <v>3.1978841657858004</v>
      </c>
      <c r="GA7" s="18">
        <f>FZ7*VLOOKUP('Données projet'!$B$17,Paramètres!$A$1:$I$89,3,0)*VLOOKUP('Données projet'!$B$17,Paramètres!$A$1:$I$89,5,0)</f>
        <v>2.145140698409115</v>
      </c>
      <c r="GB7" s="14">
        <f t="shared" si="49"/>
        <v>0.90453712079987292</v>
      </c>
      <c r="GC7" s="22">
        <f t="shared" si="25"/>
        <v>5.3115222017889865</v>
      </c>
      <c r="GD7" s="58">
        <f t="shared" si="26"/>
        <v>266.86707775734453</v>
      </c>
      <c r="GE7" s="58">
        <f ca="1">AVERAGE(OFFSET($GD$3,0,0,'Données projet'!$E$17+1,1))-AVERAGE(OFFSET($H$3,0,0,'Données projet'!$E$17+1,1))</f>
        <v>362.1372269575329</v>
      </c>
      <c r="GF7" s="58">
        <f t="shared" si="50"/>
        <v>308.1559670593121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58" t="e">
        <f t="shared" si="29"/>
        <v>#N/A</v>
      </c>
      <c r="GZ7" s="58" t="e">
        <f ca="1">AVERAGE(OFFSET($GY$3,0,0,'Données projet'!$E$18+1,1))-AVERAGE(OFFSET($H$3,0,0,'Données projet'!$E$18+1,1))</f>
        <v>#N/A</v>
      </c>
      <c r="HA7" s="58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0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3">
        <f t="shared" si="1"/>
        <v>256.66666666666669</v>
      </c>
      <c r="I8" s="6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58">
        <f t="shared" si="0"/>
        <v>269.12902329365244</v>
      </c>
      <c r="S8" s="58">
        <f ca="1">AVERAGE(OFFSET($R$3,0,0,'Données projet'!$E$9+1,1))-AVERAGE(OFFSET($H$3,0,0,'Données projet'!$E$9+1,1))</f>
        <v>483.15009705023641</v>
      </c>
      <c r="T8" s="58">
        <f t="shared" si="34"/>
        <v>254.25036207346591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58">
        <f t="shared" si="5"/>
        <v>268.46714702955143</v>
      </c>
      <c r="AN8" s="58">
        <f ca="1">AVERAGE(OFFSET($AM$3,0,0,'Données projet'!$E$10+1,1))-AVERAGE(OFFSET($H$3,0,0,'Données projet'!$E$10+1,1))</f>
        <v>435.7095890216213</v>
      </c>
      <c r="AO8" s="58">
        <f t="shared" si="36"/>
        <v>231.36959598460686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3.7179487179487176</v>
      </c>
      <c r="BD8" s="13">
        <f>IF('Données projet'!$A$88&gt;35,BD7+BC8-BL7,IF(A8&lt;'Données projet'!$A$88,$BA$205^A8,IF(A8='Données projet'!$A$88,'Données projet'!$B$88,BD7+BC8-BL7)))</f>
        <v>3.8205998246992805</v>
      </c>
      <c r="BE8" s="14">
        <f>BD8*VLOOKUP('Données projet'!$B$11,Paramètres!$A$1:$I$89,3,0)*VLOOKUP('Données projet'!$B$11,Paramètres!$A$1:$I$89,5,0)</f>
        <v>3.3376760068572922</v>
      </c>
      <c r="BF8" s="14">
        <f t="shared" si="37"/>
        <v>1.336802778257741</v>
      </c>
      <c r="BG8" s="22">
        <f t="shared" si="7"/>
        <v>8.1413838840753492</v>
      </c>
      <c r="BH8" s="58">
        <f t="shared" si="8"/>
        <v>270.91916166185314</v>
      </c>
      <c r="BI8" s="58">
        <f ca="1">AVERAGE(OFFSET($BH$3,0,0,'Données projet'!$E$11+1,1))-AVERAGE(OFFSET($H$3,0,0,'Données projet'!$E$11+1,1))</f>
        <v>218.76424742311815</v>
      </c>
      <c r="BJ8" s="58">
        <f t="shared" si="38"/>
        <v>264.34598683038593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2.2571428571428571</v>
      </c>
      <c r="BY8" s="13">
        <f>IF('Données projet'!$A$114&gt;35,BY7+BX8-CG7,IF(A8&lt;'Données projet'!$A$114,$BV$205^A8,IF(A8='Données projet'!$A$114,'Données projet'!$B$114,BY7+BX8-CG7)))</f>
        <v>1.8667647196301422</v>
      </c>
      <c r="BZ8" s="14">
        <f>BY8*VLOOKUP('Données projet'!$B$12,Paramètres!$A$1:$I$89,3,0)*VLOOKUP('Données projet'!$B$12,Paramètres!$A$1:$I$89,5,0)</f>
        <v>1.8055348368262736</v>
      </c>
      <c r="CA8" s="14">
        <f t="shared" si="39"/>
        <v>0.77676386434295697</v>
      </c>
      <c r="CB8" s="22">
        <f t="shared" si="10"/>
        <v>4.497503571203076</v>
      </c>
      <c r="CC8" s="58">
        <f t="shared" si="11"/>
        <v>267.27528134898085</v>
      </c>
      <c r="CD8" s="58">
        <f ca="1">AVERAGE(OFFSET($CC$3,0,0,'Données projet'!$E$12+1,1))-AVERAGE(OFFSET($H$3,0,0,'Données projet'!$E$12+1,1))</f>
        <v>343.86347628565426</v>
      </c>
      <c r="CE8" s="58">
        <f t="shared" si="40"/>
        <v>129.28196646107097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58" t="e">
        <f t="shared" si="14"/>
        <v>#N/A</v>
      </c>
      <c r="CY8" s="58" t="e">
        <f ca="1">AVERAGE(OFFSET($CX$3,0,0,'Données projet'!$E$13+1,1))-AVERAGE(OFFSET($H$3,0,0,'Données projet'!$E$13+1,1))</f>
        <v>#N/A</v>
      </c>
      <c r="CZ8" s="58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</v>
      </c>
      <c r="DO8" s="13">
        <f>IF('Données projet'!$A$166&gt;35,DO7+DN8-DW7,IF(A8&lt;'Données projet'!$A$166,$DL$205^A8,IF(A8='Données projet'!$A$166,'Données projet'!$B$166,DO7+DN8-DW7)))</f>
        <v>2.7831576837137413</v>
      </c>
      <c r="DP8" s="18">
        <f>DO8*VLOOKUP('Données projet'!$B$14,Paramètres!$A$1:$I$89,3,0)*VLOOKUP('Données projet'!$B$14,Paramètres!$A$1:$I$89,5,0)</f>
        <v>2.6484528518219963</v>
      </c>
      <c r="DQ8" s="14">
        <f t="shared" si="43"/>
        <v>1.0897026659600133</v>
      </c>
      <c r="DR8" s="22">
        <f t="shared" si="16"/>
        <v>6.5106208601369993</v>
      </c>
      <c r="DS8" s="58">
        <f t="shared" si="17"/>
        <v>269.28839863791478</v>
      </c>
      <c r="DT8" s="58">
        <f ca="1">AVERAGE(OFFSET($DS$3,0,0,'Données projet'!$E$14+1,1))-AVERAGE(OFFSET($H$3,0,0,'Données projet'!$E$14+1,1))</f>
        <v>332.49889399440514</v>
      </c>
      <c r="DU8" s="58">
        <f t="shared" si="44"/>
        <v>256.06044006790529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2.8205128205128203</v>
      </c>
      <c r="EJ8" s="13">
        <f>IF('Données projet'!$A$192&gt;35,EJ7+EI8-ER7,IF(A8&lt;'Données projet'!$A$192,$EG$205^A8,IF(A8='Données projet'!$A$192,'Données projet'!$B$192,EJ7+EI8-ER7)))</f>
        <v>3.4844944655447883</v>
      </c>
      <c r="EK8" s="18">
        <f>EJ8*VLOOKUP('Données projet'!$B$15,Paramètres!$A$1:$I$89,3,0)*VLOOKUP('Données projet'!$B$15,Paramètres!$A$1:$I$89,5,0)</f>
        <v>3.6419936153874133</v>
      </c>
      <c r="EL8" s="14">
        <f t="shared" si="45"/>
        <v>1.4439473712216484</v>
      </c>
      <c r="EM8" s="22">
        <f t="shared" si="19"/>
        <v>8.8580138850107826</v>
      </c>
      <c r="EN8" s="58">
        <f t="shared" si="20"/>
        <v>271.63579166278856</v>
      </c>
      <c r="EO8" s="58">
        <f ca="1">AVERAGE(OFFSET($EN$3,0,0,'Données projet'!$E$15+1,1))-AVERAGE(OFFSET($H$3,0,0,'Données projet'!$E$15+1,1))</f>
        <v>596.00698505207174</v>
      </c>
      <c r="EP8" s="58">
        <f t="shared" si="46"/>
        <v>378.16197659288338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7.2264102564102561</v>
      </c>
      <c r="FE8" s="13">
        <f>IF('Données projet'!$A$218&gt;35,FE7+FD8-FM7,IF(A8&lt;'Données projet'!$A$218,$FB$205^A8,IF(A8='Données projet'!$A$218,'Données projet'!$B$218,FE7+FD8-FM7)))</f>
        <v>2.4509849511252071</v>
      </c>
      <c r="FF8" s="18">
        <f>FE8*VLOOKUP('Données projet'!$B$16,Paramètres!$A$1:$I$89,3,0)*VLOOKUP('Données projet'!$B$16,Paramètres!$A$1:$I$89,5,0)</f>
        <v>1.1470609571265968</v>
      </c>
      <c r="FG8" s="14">
        <f t="shared" si="47"/>
        <v>0.52023874619045773</v>
      </c>
      <c r="FH8" s="22">
        <f t="shared" si="22"/>
        <v>2.9038803166105365</v>
      </c>
      <c r="FI8" s="58">
        <f t="shared" si="23"/>
        <v>265.6816580943883</v>
      </c>
      <c r="FJ8" s="58">
        <f ca="1">AVERAGE(OFFSET($FI$3,0,0,'Données projet'!$E$16+1,1))-AVERAGE(OFFSET($H$3,0,0,'Données projet'!$E$16+1,1))</f>
        <v>294.31042006404056</v>
      </c>
      <c r="FK8" s="58">
        <f t="shared" si="48"/>
        <v>260.93767498478502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5.2136752136752138</v>
      </c>
      <c r="FZ8" s="13">
        <f>IF('Données projet'!$A$244&gt;35,FZ7+FY8-GH7,IF(A8&lt;'Données projet'!$A$244,$FW$205^A8,IF(A8='Données projet'!$A$244,'Données projet'!$B$244,FZ7+FY8-GH7)))</f>
        <v>4.2764008852151596</v>
      </c>
      <c r="GA8" s="18">
        <f>FZ8*VLOOKUP('Données projet'!$B$17,Paramètres!$A$1:$I$89,3,0)*VLOOKUP('Données projet'!$B$17,Paramètres!$A$1:$I$89,5,0)</f>
        <v>2.868609713802329</v>
      </c>
      <c r="GB8" s="14">
        <f t="shared" si="49"/>
        <v>1.1693662928599864</v>
      </c>
      <c r="GC8" s="22">
        <f t="shared" si="25"/>
        <v>7.0328082116035331</v>
      </c>
      <c r="GD8" s="58">
        <f t="shared" si="26"/>
        <v>269.81058598938131</v>
      </c>
      <c r="GE8" s="58">
        <f ca="1">AVERAGE(OFFSET($GD$3,0,0,'Données projet'!$E$17+1,1))-AVERAGE(OFFSET($H$3,0,0,'Données projet'!$E$17+1,1))</f>
        <v>362.1372269575329</v>
      </c>
      <c r="GF8" s="58">
        <f t="shared" si="50"/>
        <v>308.1559670593121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58" t="e">
        <f t="shared" si="29"/>
        <v>#N/A</v>
      </c>
      <c r="GZ8" s="58" t="e">
        <f ca="1">AVERAGE(OFFSET($GY$3,0,0,'Données projet'!$E$18+1,1))-AVERAGE(OFFSET($H$3,0,0,'Données projet'!$E$18+1,1))</f>
        <v>#N/A</v>
      </c>
      <c r="HA8" s="58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0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3">
        <f t="shared" si="1"/>
        <v>256.66666666666669</v>
      </c>
      <c r="I9" s="6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58">
        <f t="shared" si="0"/>
        <v>271.60821456387049</v>
      </c>
      <c r="S9" s="58">
        <f ca="1">AVERAGE(OFFSET($R$3,0,0,'Données projet'!$E$9+1,1))-AVERAGE(OFFSET($H$3,0,0,'Données projet'!$E$9+1,1))</f>
        <v>483.15009705023641</v>
      </c>
      <c r="T9" s="58">
        <f t="shared" si="34"/>
        <v>254.25036207346591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58">
        <f t="shared" si="5"/>
        <v>270.81494110736412</v>
      </c>
      <c r="AN9" s="58">
        <f ca="1">AVERAGE(OFFSET($AM$3,0,0,'Données projet'!$E$10+1,1))-AVERAGE(OFFSET($H$3,0,0,'Données projet'!$E$10+1,1))</f>
        <v>435.7095890216213</v>
      </c>
      <c r="AO9" s="58">
        <f t="shared" si="36"/>
        <v>231.36959598460686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3.7179487179487176</v>
      </c>
      <c r="BD9" s="13">
        <f>IF('Données projet'!$A$88&gt;35,BD8+BC9-BL8,IF(A9&lt;'Données projet'!$A$88,$BA$205^A9,IF(A9='Données projet'!$A$88,'Données projet'!$B$88,BD8+BC9-BL8)))</f>
        <v>4.9952572833752802</v>
      </c>
      <c r="BE9" s="14">
        <f>BD9*VLOOKUP('Données projet'!$B$11,Paramètres!$A$1:$I$89,3,0)*VLOOKUP('Données projet'!$B$11,Paramètres!$A$1:$I$89,5,0)</f>
        <v>4.3638567627566456</v>
      </c>
      <c r="BF9" s="14">
        <f t="shared" si="37"/>
        <v>1.6941100827829194</v>
      </c>
      <c r="BG9" s="22">
        <f t="shared" si="7"/>
        <v>10.550958922648077</v>
      </c>
      <c r="BH9" s="58">
        <f t="shared" si="8"/>
        <v>274.55095892264808</v>
      </c>
      <c r="BI9" s="58">
        <f ca="1">AVERAGE(OFFSET($BH$3,0,0,'Données projet'!$E$11+1,1))-AVERAGE(OFFSET($H$3,0,0,'Données projet'!$E$11+1,1))</f>
        <v>218.76424742311815</v>
      </c>
      <c r="BJ9" s="58">
        <f t="shared" si="38"/>
        <v>264.34598683038593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2.2571428571428571</v>
      </c>
      <c r="BY9" s="13">
        <f>IF('Données projet'!$A$114&gt;35,BY8+BX9-CG8,IF(A9&lt;'Données projet'!$A$114,$BV$205^A9,IF(A9='Données projet'!$A$114,'Données projet'!$B$114,BY8+BX9-CG8)))</f>
        <v>2.1149860215497425</v>
      </c>
      <c r="BZ9" s="14">
        <f>BY9*VLOOKUP('Données projet'!$B$12,Paramètres!$A$1:$I$89,3,0)*VLOOKUP('Données projet'!$B$12,Paramètres!$A$1:$I$89,5,0)</f>
        <v>2.0456144800429108</v>
      </c>
      <c r="CA9" s="14">
        <f t="shared" si="39"/>
        <v>0.86735315988875128</v>
      </c>
      <c r="CB9" s="22">
        <f t="shared" si="10"/>
        <v>5.0734186395476444</v>
      </c>
      <c r="CC9" s="58">
        <f t="shared" si="11"/>
        <v>269.07341863954764</v>
      </c>
      <c r="CD9" s="58">
        <f ca="1">AVERAGE(OFFSET($CC$3,0,0,'Données projet'!$E$12+1,1))-AVERAGE(OFFSET($H$3,0,0,'Données projet'!$E$12+1,1))</f>
        <v>343.86347628565426</v>
      </c>
      <c r="CE9" s="58">
        <f t="shared" si="40"/>
        <v>129.28196646107097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58" t="e">
        <f t="shared" si="14"/>
        <v>#N/A</v>
      </c>
      <c r="CY9" s="58" t="e">
        <f ca="1">AVERAGE(OFFSET($CX$3,0,0,'Données projet'!$E$13+1,1))-AVERAGE(OFFSET($H$3,0,0,'Données projet'!$E$13+1,1))</f>
        <v>#N/A</v>
      </c>
      <c r="CZ9" s="58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</v>
      </c>
      <c r="DO9" s="13">
        <f>IF('Données projet'!$A$166&gt;35,DO8+DN9-DW8,IF(A9&lt;'Données projet'!$A$166,$DL$205^A9,IF(A9='Données projet'!$A$166,'Données projet'!$B$166,DO8+DN9-DW8)))</f>
        <v>3.415429892379763</v>
      </c>
      <c r="DP9" s="18">
        <f>DO9*VLOOKUP('Données projet'!$B$14,Paramètres!$A$1:$I$89,3,0)*VLOOKUP('Données projet'!$B$14,Paramètres!$A$1:$I$89,5,0)</f>
        <v>3.2501230855885828</v>
      </c>
      <c r="DQ9" s="14">
        <f t="shared" si="43"/>
        <v>1.3057701477873691</v>
      </c>
      <c r="DR9" s="22">
        <f t="shared" si="16"/>
        <v>7.9348473814631157</v>
      </c>
      <c r="DS9" s="58">
        <f t="shared" si="17"/>
        <v>271.9348473814631</v>
      </c>
      <c r="DT9" s="58">
        <f ca="1">AVERAGE(OFFSET($DS$3,0,0,'Données projet'!$E$14+1,1))-AVERAGE(OFFSET($H$3,0,0,'Données projet'!$E$14+1,1))</f>
        <v>332.49889399440514</v>
      </c>
      <c r="DU9" s="58">
        <f t="shared" si="44"/>
        <v>256.06044006790529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2.8205128205128203</v>
      </c>
      <c r="EJ9" s="13">
        <f>IF('Données projet'!$A$192&gt;35,EJ8+EI9-ER8,IF(A9&lt;'Données projet'!$A$192,$EG$205^A9,IF(A9='Données projet'!$A$192,'Données projet'!$B$192,EJ8+EI9-ER8)))</f>
        <v>4.472679046280013</v>
      </c>
      <c r="EK9" s="18">
        <f>EJ9*VLOOKUP('Données projet'!$B$15,Paramètres!$A$1:$I$89,3,0)*VLOOKUP('Données projet'!$B$15,Paramètres!$A$1:$I$89,5,0)</f>
        <v>4.6748441391718698</v>
      </c>
      <c r="EL9" s="14">
        <f t="shared" si="45"/>
        <v>1.8003556508248011</v>
      </c>
      <c r="EM9" s="22">
        <f t="shared" si="19"/>
        <v>11.277639634244201</v>
      </c>
      <c r="EN9" s="58">
        <f t="shared" si="20"/>
        <v>275.27763963424422</v>
      </c>
      <c r="EO9" s="58">
        <f ca="1">AVERAGE(OFFSET($EN$3,0,0,'Données projet'!$E$15+1,1))-AVERAGE(OFFSET($H$3,0,0,'Données projet'!$E$15+1,1))</f>
        <v>596.00698505207174</v>
      </c>
      <c r="EP9" s="58">
        <f t="shared" si="46"/>
        <v>378.16197659288338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7.2264102564102561</v>
      </c>
      <c r="FE9" s="13">
        <f>IF('Données projet'!$A$218&gt;35,FE8+FD9-FM8,IF(A9&lt;'Données projet'!$A$218,$FB$205^A9,IF(A9='Données projet'!$A$218,'Données projet'!$B$218,FE8+FD9-FM8)))</f>
        <v>2.9323025204191722</v>
      </c>
      <c r="FF9" s="18">
        <f>FE9*VLOOKUP('Données projet'!$B$16,Paramètres!$A$1:$I$89,3,0)*VLOOKUP('Données projet'!$B$16,Paramètres!$A$1:$I$89,5,0)</f>
        <v>1.3723175795561726</v>
      </c>
      <c r="FG9" s="14">
        <f t="shared" si="47"/>
        <v>0.60954668407977464</v>
      </c>
      <c r="FH9" s="22">
        <f t="shared" si="22"/>
        <v>3.4517469258326074</v>
      </c>
      <c r="FI9" s="58">
        <f t="shared" si="23"/>
        <v>267.45174692583259</v>
      </c>
      <c r="FJ9" s="58">
        <f ca="1">AVERAGE(OFFSET($FI$3,0,0,'Données projet'!$E$16+1,1))-AVERAGE(OFFSET($H$3,0,0,'Données projet'!$E$16+1,1))</f>
        <v>294.31042006404056</v>
      </c>
      <c r="FK9" s="58">
        <f t="shared" si="48"/>
        <v>260.93767498478502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5.2136752136752138</v>
      </c>
      <c r="FZ9" s="13">
        <f>IF('Données projet'!$A$244&gt;35,FZ8+FY9-GH8,IF(A9&lt;'Données projet'!$A$244,$FW$205^A9,IF(A9='Données projet'!$A$244,'Données projet'!$B$244,FZ8+FY9-GH8)))</f>
        <v>5.7186575820125976</v>
      </c>
      <c r="GA9" s="18">
        <f>FZ9*VLOOKUP('Données projet'!$B$17,Paramètres!$A$1:$I$89,3,0)*VLOOKUP('Données projet'!$B$17,Paramètres!$A$1:$I$89,5,0)</f>
        <v>3.8360755060140503</v>
      </c>
      <c r="GB9" s="14">
        <f t="shared" si="49"/>
        <v>1.5117317967756967</v>
      </c>
      <c r="GC9" s="22">
        <f t="shared" si="25"/>
        <v>9.3140977190254759</v>
      </c>
      <c r="GD9" s="58">
        <f t="shared" si="26"/>
        <v>273.31409771902548</v>
      </c>
      <c r="GE9" s="58">
        <f ca="1">AVERAGE(OFFSET($GD$3,0,0,'Données projet'!$E$17+1,1))-AVERAGE(OFFSET($H$3,0,0,'Données projet'!$E$17+1,1))</f>
        <v>362.1372269575329</v>
      </c>
      <c r="GF9" s="58">
        <f t="shared" si="50"/>
        <v>308.1559670593121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58" t="e">
        <f t="shared" si="29"/>
        <v>#N/A</v>
      </c>
      <c r="GZ9" s="58" t="e">
        <f ca="1">AVERAGE(OFFSET($GY$3,0,0,'Données projet'!$E$18+1,1))-AVERAGE(OFFSET($H$3,0,0,'Données projet'!$E$18+1,1))</f>
        <v>#N/A</v>
      </c>
      <c r="HA9" s="58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0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3">
        <f t="shared" si="1"/>
        <v>256.66666666666669</v>
      </c>
      <c r="I10" s="6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58">
        <f t="shared" si="0"/>
        <v>274.33705514539406</v>
      </c>
      <c r="S10" s="58">
        <f ca="1">AVERAGE(OFFSET($R$3,0,0,'Données projet'!$E$9+1,1))-AVERAGE(OFFSET($H$3,0,0,'Données projet'!$E$9+1,1))</f>
        <v>483.15009705023641</v>
      </c>
      <c r="T10" s="58">
        <f t="shared" si="34"/>
        <v>254.25036207346591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58">
        <f t="shared" si="5"/>
        <v>273.38621175408076</v>
      </c>
      <c r="AN10" s="58">
        <f ca="1">AVERAGE(OFFSET($AM$3,0,0,'Données projet'!$E$10+1,1))-AVERAGE(OFFSET($H$3,0,0,'Données projet'!$E$10+1,1))</f>
        <v>435.7095890216213</v>
      </c>
      <c r="AO10" s="58">
        <f t="shared" si="36"/>
        <v>231.36959598460686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3.7179487179487176</v>
      </c>
      <c r="BD10" s="13">
        <f>IF('Données projet'!$A$88&gt;35,BD9+BC10-BL9,IF(A10&lt;'Données projet'!$A$88,$BA$205^A10,IF(A10='Données projet'!$A$88,'Données projet'!$B$88,BD9+BC10-BL9)))</f>
        <v>6.5310674951616532</v>
      </c>
      <c r="BE10" s="14">
        <f>BD10*VLOOKUP('Données projet'!$B$11,Paramètres!$A$1:$I$89,3,0)*VLOOKUP('Données projet'!$B$11,Paramètres!$A$1:$I$89,5,0)</f>
        <v>5.7055405637732211</v>
      </c>
      <c r="BF10" s="14">
        <f t="shared" si="37"/>
        <v>2.1469202632322784</v>
      </c>
      <c r="BG10" s="22">
        <f t="shared" si="7"/>
        <v>13.676369273701242</v>
      </c>
      <c r="BH10" s="58">
        <f t="shared" si="8"/>
        <v>278.89859149592348</v>
      </c>
      <c r="BI10" s="58">
        <f ca="1">AVERAGE(OFFSET($BH$3,0,0,'Données projet'!$E$11+1,1))-AVERAGE(OFFSET($H$3,0,0,'Données projet'!$E$11+1,1))</f>
        <v>218.76424742311815</v>
      </c>
      <c r="BJ10" s="58">
        <f t="shared" si="38"/>
        <v>264.34598683038593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2.2571428571428571</v>
      </c>
      <c r="BY10" s="13">
        <f>IF('Données projet'!$A$114&gt;35,BY9+BX10-CG9,IF(A10&lt;'Données projet'!$A$114,$BV$205^A10,IF(A10='Données projet'!$A$114,'Données projet'!$B$114,BY9+BX10-CG9)))</f>
        <v>2.3962129904817711</v>
      </c>
      <c r="BZ10" s="14">
        <f>BY10*VLOOKUP('Données projet'!$B$12,Paramètres!$A$1:$I$89,3,0)*VLOOKUP('Données projet'!$B$12,Paramètres!$A$1:$I$89,5,0)</f>
        <v>2.3176172043939687</v>
      </c>
      <c r="CA10" s="14">
        <f t="shared" si="39"/>
        <v>0.96850733987909277</v>
      </c>
      <c r="CB10" s="22">
        <f t="shared" si="10"/>
        <v>5.7233335812755817</v>
      </c>
      <c r="CC10" s="58">
        <f t="shared" si="11"/>
        <v>270.94555580349783</v>
      </c>
      <c r="CD10" s="58">
        <f ca="1">AVERAGE(OFFSET($CC$3,0,0,'Données projet'!$E$12+1,1))-AVERAGE(OFFSET($H$3,0,0,'Données projet'!$E$12+1,1))</f>
        <v>343.86347628565426</v>
      </c>
      <c r="CE10" s="58">
        <f t="shared" si="40"/>
        <v>129.28196646107097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58" t="e">
        <f t="shared" si="14"/>
        <v>#N/A</v>
      </c>
      <c r="CY10" s="58" t="e">
        <f ca="1">AVERAGE(OFFSET($CX$3,0,0,'Données projet'!$E$13+1,1))-AVERAGE(OFFSET($H$3,0,0,'Données projet'!$E$13+1,1))</f>
        <v>#N/A</v>
      </c>
      <c r="CZ10" s="58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</v>
      </c>
      <c r="DO10" s="13">
        <f>IF('Données projet'!$A$166&gt;35,DO9+DN10-DW9,IF(A10&lt;'Données projet'!$A$166,$DL$205^A10,IF(A10='Données projet'!$A$166,'Données projet'!$B$166,DO9+DN10-DW9)))</f>
        <v>4.1913404396820537</v>
      </c>
      <c r="DP10" s="18">
        <f>DO10*VLOOKUP('Données projet'!$B$14,Paramètres!$A$1:$I$89,3,0)*VLOOKUP('Données projet'!$B$14,Paramètres!$A$1:$I$89,5,0)</f>
        <v>3.9884795624014422</v>
      </c>
      <c r="DQ10" s="14">
        <f t="shared" si="43"/>
        <v>1.5646797352289983</v>
      </c>
      <c r="DR10" s="22">
        <f t="shared" si="16"/>
        <v>9.671752443373018</v>
      </c>
      <c r="DS10" s="58">
        <f t="shared" si="17"/>
        <v>274.89397466559524</v>
      </c>
      <c r="DT10" s="58">
        <f ca="1">AVERAGE(OFFSET($DS$3,0,0,'Données projet'!$E$14+1,1))-AVERAGE(OFFSET($H$3,0,0,'Données projet'!$E$14+1,1))</f>
        <v>332.49889399440514</v>
      </c>
      <c r="DU10" s="58">
        <f t="shared" si="44"/>
        <v>256.06044006790529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2.8205128205128203</v>
      </c>
      <c r="EJ10" s="13">
        <f>IF('Données projet'!$A$192&gt;35,EJ9+EI10-ER9,IF(A10&lt;'Données projet'!$A$192,$EG$205^A10,IF(A10='Données projet'!$A$192,'Données projet'!$B$192,EJ9+EI10-ER9)))</f>
        <v>5.7411076553122316</v>
      </c>
      <c r="EK10" s="18">
        <f>EJ10*VLOOKUP('Données projet'!$B$15,Paramètres!$A$1:$I$89,3,0)*VLOOKUP('Données projet'!$B$15,Paramètres!$A$1:$I$89,5,0)</f>
        <v>6.0006057213323452</v>
      </c>
      <c r="EL10" s="14">
        <f t="shared" si="45"/>
        <v>2.2447358775372241</v>
      </c>
      <c r="EM10" s="22">
        <f t="shared" si="19"/>
        <v>14.360636618031165</v>
      </c>
      <c r="EN10" s="58">
        <f t="shared" si="20"/>
        <v>279.58285884025338</v>
      </c>
      <c r="EO10" s="58">
        <f ca="1">AVERAGE(OFFSET($EN$3,0,0,'Données projet'!$E$15+1,1))-AVERAGE(OFFSET($H$3,0,0,'Données projet'!$E$15+1,1))</f>
        <v>596.00698505207174</v>
      </c>
      <c r="EP10" s="58">
        <f t="shared" si="46"/>
        <v>378.16197659288338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7.2264102564102561</v>
      </c>
      <c r="FE10" s="13">
        <f>IF('Données projet'!$A$218&gt;35,FE9+FD10-FM9,IF(A10&lt;'Données projet'!$A$218,$FB$205^A10,IF(A10='Données projet'!$A$218,'Données projet'!$B$218,FE9+FD10-FM9)))</f>
        <v>3.5081398877252363</v>
      </c>
      <c r="FF10" s="18">
        <f>FE10*VLOOKUP('Données projet'!$B$16,Paramètres!$A$1:$I$89,3,0)*VLOOKUP('Données projet'!$B$16,Paramètres!$A$1:$I$89,5,0)</f>
        <v>1.6418094674554107</v>
      </c>
      <c r="FG10" s="14">
        <f t="shared" si="47"/>
        <v>0.71418586714920729</v>
      </c>
      <c r="FH10" s="22">
        <f t="shared" si="22"/>
        <v>4.1033585411030424</v>
      </c>
      <c r="FI10" s="58">
        <f t="shared" si="23"/>
        <v>269.32558076332526</v>
      </c>
      <c r="FJ10" s="58">
        <f ca="1">AVERAGE(OFFSET($FI$3,0,0,'Données projet'!$E$16+1,1))-AVERAGE(OFFSET($H$3,0,0,'Données projet'!$E$16+1,1))</f>
        <v>294.31042006404056</v>
      </c>
      <c r="FK10" s="58">
        <f t="shared" si="48"/>
        <v>260.93767498478502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5.2136752136752138</v>
      </c>
      <c r="FZ10" s="13">
        <f>IF('Données projet'!$A$244&gt;35,FZ9+FY10-GH9,IF(A10&lt;'Données projet'!$A$244,$FW$205^A10,IF(A10='Données projet'!$A$244,'Données projet'!$B$244,FZ9+FY10-GH9)))</f>
        <v>7.6473290082262189</v>
      </c>
      <c r="GA10" s="18">
        <f>FZ10*VLOOKUP('Données projet'!$B$17,Paramètres!$A$1:$I$89,3,0)*VLOOKUP('Données projet'!$B$17,Paramètres!$A$1:$I$89,5,0)</f>
        <v>5.1298282987181478</v>
      </c>
      <c r="GB10" s="14">
        <f t="shared" si="49"/>
        <v>1.9543346163957804</v>
      </c>
      <c r="GC10" s="22">
        <f t="shared" si="25"/>
        <v>12.33825041049009</v>
      </c>
      <c r="GD10" s="58">
        <f t="shared" si="26"/>
        <v>277.56047263271233</v>
      </c>
      <c r="GE10" s="58">
        <f ca="1">AVERAGE(OFFSET($GD$3,0,0,'Données projet'!$E$17+1,1))-AVERAGE(OFFSET($H$3,0,0,'Données projet'!$E$17+1,1))</f>
        <v>362.1372269575329</v>
      </c>
      <c r="GF10" s="58">
        <f t="shared" si="50"/>
        <v>308.1559670593121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58" t="e">
        <f t="shared" si="29"/>
        <v>#N/A</v>
      </c>
      <c r="GZ10" s="58" t="e">
        <f ca="1">AVERAGE(OFFSET($GY$3,0,0,'Données projet'!$E$18+1,1))-AVERAGE(OFFSET($H$3,0,0,'Données projet'!$E$18+1,1))</f>
        <v>#N/A</v>
      </c>
      <c r="HA10" s="58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0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3">
        <f t="shared" si="1"/>
        <v>256.66666666666669</v>
      </c>
      <c r="I11" s="6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58">
        <f t="shared" si="0"/>
        <v>277.36529317093459</v>
      </c>
      <c r="S11" s="58">
        <f ca="1">AVERAGE(OFFSET($R$3,0,0,'Données projet'!$E$9+1,1))-AVERAGE(OFFSET($H$3,0,0,'Données projet'!$E$9+1,1))</f>
        <v>483.15009705023641</v>
      </c>
      <c r="T11" s="58">
        <f t="shared" si="34"/>
        <v>254.25036207346591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58">
        <f t="shared" si="5"/>
        <v>276.22547755046565</v>
      </c>
      <c r="AN11" s="58">
        <f ca="1">AVERAGE(OFFSET($AM$3,0,0,'Données projet'!$E$10+1,1))-AVERAGE(OFFSET($H$3,0,0,'Données projet'!$E$10+1,1))</f>
        <v>435.7095890216213</v>
      </c>
      <c r="AO11" s="58">
        <f t="shared" si="36"/>
        <v>231.36959598460686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3.7179487179487176</v>
      </c>
      <c r="BD11" s="13">
        <f>IF('Données projet'!$A$88&gt;35,BD10+BC11-BL10,IF(A11&lt;'Données projet'!$A$88,$BA$205^A11,IF(A11='Données projet'!$A$88,'Données projet'!$B$88,BD10+BC11-BL10)))</f>
        <v>8.5390682014151178</v>
      </c>
      <c r="BE11" s="14">
        <f>BD11*VLOOKUP('Données projet'!$B$11,Paramètres!$A$1:$I$89,3,0)*VLOOKUP('Données projet'!$B$11,Paramètres!$A$1:$I$89,5,0)</f>
        <v>7.459729980756248</v>
      </c>
      <c r="BF11" s="14">
        <f t="shared" si="37"/>
        <v>2.72075980393535</v>
      </c>
      <c r="BG11" s="22">
        <f t="shared" si="7"/>
        <v>17.731019708337868</v>
      </c>
      <c r="BH11" s="58">
        <f t="shared" si="8"/>
        <v>284.1754641527823</v>
      </c>
      <c r="BI11" s="58">
        <f ca="1">AVERAGE(OFFSET($BH$3,0,0,'Données projet'!$E$11+1,1))-AVERAGE(OFFSET($H$3,0,0,'Données projet'!$E$11+1,1))</f>
        <v>218.76424742311815</v>
      </c>
      <c r="BJ11" s="58">
        <f t="shared" si="38"/>
        <v>264.34598683038593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2.2571428571428571</v>
      </c>
      <c r="BY11" s="13">
        <f>IF('Données projet'!$A$114&gt;35,BY10+BX11-CG10,IF(A11&lt;'Données projet'!$A$114,$BV$205^A11,IF(A11='Données projet'!$A$114,'Données projet'!$B$114,BY10+BX11-CG10)))</f>
        <v>2.714834347484858</v>
      </c>
      <c r="BZ11" s="14">
        <f>BY11*VLOOKUP('Données projet'!$B$12,Paramètres!$A$1:$I$89,3,0)*VLOOKUP('Données projet'!$B$12,Paramètres!$A$1:$I$89,5,0)</f>
        <v>2.6257877808873546</v>
      </c>
      <c r="CA11" s="14">
        <f t="shared" si="39"/>
        <v>1.081458523215604</v>
      </c>
      <c r="CB11" s="22">
        <f t="shared" si="10"/>
        <v>6.4567873129793192</v>
      </c>
      <c r="CC11" s="58">
        <f t="shared" si="11"/>
        <v>272.90123175742377</v>
      </c>
      <c r="CD11" s="58">
        <f ca="1">AVERAGE(OFFSET($CC$3,0,0,'Données projet'!$E$12+1,1))-AVERAGE(OFFSET($H$3,0,0,'Données projet'!$E$12+1,1))</f>
        <v>343.86347628565426</v>
      </c>
      <c r="CE11" s="58">
        <f t="shared" si="40"/>
        <v>129.28196646107097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58" t="e">
        <f t="shared" si="14"/>
        <v>#N/A</v>
      </c>
      <c r="CY11" s="58" t="e">
        <f ca="1">AVERAGE(OFFSET($CX$3,0,0,'Données projet'!$E$13+1,1))-AVERAGE(OFFSET($H$3,0,0,'Données projet'!$E$13+1,1))</f>
        <v>#N/A</v>
      </c>
      <c r="CZ11" s="58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</v>
      </c>
      <c r="DO11" s="13">
        <f>IF('Données projet'!$A$166&gt;35,DO10+DN11-DW10,IF(A11&lt;'Données projet'!$A$166,$DL$205^A11,IF(A11='Données projet'!$A$166,'Données projet'!$B$166,DO10+DN11-DW10)))</f>
        <v>5.1435207967550438</v>
      </c>
      <c r="DP11" s="18">
        <f>DO11*VLOOKUP('Données projet'!$B$14,Paramètres!$A$1:$I$89,3,0)*VLOOKUP('Données projet'!$B$14,Paramètres!$A$1:$I$89,5,0)</f>
        <v>4.8945743901921004</v>
      </c>
      <c r="DQ11" s="14">
        <f t="shared" si="43"/>
        <v>1.8749262096279424</v>
      </c>
      <c r="DR11" s="22">
        <f t="shared" si="16"/>
        <v>11.790213544686575</v>
      </c>
      <c r="DS11" s="58">
        <f t="shared" si="17"/>
        <v>278.23465798913105</v>
      </c>
      <c r="DT11" s="58">
        <f ca="1">AVERAGE(OFFSET($DS$3,0,0,'Données projet'!$E$14+1,1))-AVERAGE(OFFSET($H$3,0,0,'Données projet'!$E$14+1,1))</f>
        <v>332.49889399440514</v>
      </c>
      <c r="DU11" s="58">
        <f t="shared" si="44"/>
        <v>256.06044006790529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2.8205128205128203</v>
      </c>
      <c r="EJ11" s="13">
        <f>IF('Données projet'!$A$192&gt;35,EJ10+EI11-ER10,IF(A11&lt;'Données projet'!$A$192,$EG$205^A11,IF(A11='Données projet'!$A$192,'Données projet'!$B$192,EJ10+EI11-ER10)))</f>
        <v>7.3692560474014428</v>
      </c>
      <c r="EK11" s="18">
        <f>EJ11*VLOOKUP('Données projet'!$B$15,Paramètres!$A$1:$I$89,3,0)*VLOOKUP('Données projet'!$B$15,Paramètres!$A$1:$I$89,5,0)</f>
        <v>7.7023464207439885</v>
      </c>
      <c r="EL11" s="14">
        <f t="shared" si="45"/>
        <v>2.7988020909059581</v>
      </c>
      <c r="EM11" s="22">
        <f t="shared" si="19"/>
        <v>18.289500324456991</v>
      </c>
      <c r="EN11" s="58">
        <f t="shared" si="20"/>
        <v>284.73394476890144</v>
      </c>
      <c r="EO11" s="58">
        <f ca="1">AVERAGE(OFFSET($EN$3,0,0,'Données projet'!$E$15+1,1))-AVERAGE(OFFSET($H$3,0,0,'Données projet'!$E$15+1,1))</f>
        <v>596.00698505207174</v>
      </c>
      <c r="EP11" s="58">
        <f t="shared" si="46"/>
        <v>378.16197659288338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7.2264102564102561</v>
      </c>
      <c r="FE11" s="13">
        <f>IF('Données projet'!$A$218&gt;35,FE10+FD11-FM10,IF(A11&lt;'Données projet'!$A$218,$FB$205^A11,IF(A11='Données projet'!$A$218,'Données projet'!$B$218,FE10+FD11-FM10)))</f>
        <v>4.1970585866050225</v>
      </c>
      <c r="FF11" s="18">
        <f>FE11*VLOOKUP('Données projet'!$B$16,Paramètres!$A$1:$I$89,3,0)*VLOOKUP('Données projet'!$B$16,Paramètres!$A$1:$I$89,5,0)</f>
        <v>1.9642234185311505</v>
      </c>
      <c r="FG11" s="14">
        <f t="shared" si="47"/>
        <v>0.83678816759654573</v>
      </c>
      <c r="FH11" s="22">
        <f t="shared" si="22"/>
        <v>4.8784285125057369</v>
      </c>
      <c r="FI11" s="58">
        <f t="shared" si="23"/>
        <v>271.32287295695022</v>
      </c>
      <c r="FJ11" s="58">
        <f ca="1">AVERAGE(OFFSET($FI$3,0,0,'Données projet'!$E$16+1,1))-AVERAGE(OFFSET($H$3,0,0,'Données projet'!$E$16+1,1))</f>
        <v>294.31042006404056</v>
      </c>
      <c r="FK11" s="58">
        <f t="shared" si="48"/>
        <v>260.93767498478502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5.2136752136752138</v>
      </c>
      <c r="FZ11" s="13">
        <f>IF('Données projet'!$A$244&gt;35,FZ10+FY11-GH10,IF(A11&lt;'Données projet'!$A$244,$FW$205^A11,IF(A11='Données projet'!$A$244,'Données projet'!$B$244,FZ10+FY11-GH10)))</f>
        <v>10.226463137783544</v>
      </c>
      <c r="GA11" s="18">
        <f>FZ11*VLOOKUP('Données projet'!$B$17,Paramètres!$A$1:$I$89,3,0)*VLOOKUP('Données projet'!$B$17,Paramètres!$A$1:$I$89,5,0)</f>
        <v>6.8599114728252015</v>
      </c>
      <c r="GB11" s="14">
        <f t="shared" si="49"/>
        <v>2.5265220993493118</v>
      </c>
      <c r="GC11" s="22">
        <f t="shared" si="25"/>
        <v>16.348038471537279</v>
      </c>
      <c r="GD11" s="58">
        <f t="shared" si="26"/>
        <v>282.79248291598174</v>
      </c>
      <c r="GE11" s="58">
        <f ca="1">AVERAGE(OFFSET($GD$3,0,0,'Données projet'!$E$17+1,1))-AVERAGE(OFFSET($H$3,0,0,'Données projet'!$E$17+1,1))</f>
        <v>362.1372269575329</v>
      </c>
      <c r="GF11" s="58">
        <f t="shared" si="50"/>
        <v>308.1559670593121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58" t="e">
        <f t="shared" si="29"/>
        <v>#N/A</v>
      </c>
      <c r="GZ11" s="58" t="e">
        <f ca="1">AVERAGE(OFFSET($GY$3,0,0,'Données projet'!$E$18+1,1))-AVERAGE(OFFSET($H$3,0,0,'Données projet'!$E$18+1,1))</f>
        <v>#N/A</v>
      </c>
      <c r="HA11" s="58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0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3">
        <f t="shared" si="1"/>
        <v>256.66666666666669</v>
      </c>
      <c r="I12" s="6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58">
        <f t="shared" si="0"/>
        <v>280.75262079014198</v>
      </c>
      <c r="S12" s="58">
        <f ca="1">AVERAGE(OFFSET($R$3,0,0,'Données projet'!$E$9+1,1))-AVERAGE(OFFSET($H$3,0,0,'Données projet'!$E$9+1,1))</f>
        <v>483.15009705023641</v>
      </c>
      <c r="T12" s="58">
        <f t="shared" si="34"/>
        <v>254.25036207346591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58">
        <f t="shared" si="5"/>
        <v>279.38615317116773</v>
      </c>
      <c r="AN12" s="58">
        <f ca="1">AVERAGE(OFFSET($AM$3,0,0,'Données projet'!$E$10+1,1))-AVERAGE(OFFSET($H$3,0,0,'Données projet'!$E$10+1,1))</f>
        <v>435.7095890216213</v>
      </c>
      <c r="AO12" s="58">
        <f t="shared" si="36"/>
        <v>231.36959598460686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3.7179487179487176</v>
      </c>
      <c r="BD12" s="13">
        <f>IF('Données projet'!$A$88&gt;35,BD11+BC12-BL11,IF(A12&lt;'Données projet'!$A$88,$BA$205^A12,IF(A12='Données projet'!$A$88,'Données projet'!$B$88,BD11+BC12-BL11)))</f>
        <v>11.164436105190495</v>
      </c>
      <c r="BE12" s="14">
        <f>BD12*VLOOKUP('Données projet'!$B$11,Paramètres!$A$1:$I$89,3,0)*VLOOKUP('Données projet'!$B$11,Paramètres!$A$1:$I$89,5,0)</f>
        <v>9.7532513814944171</v>
      </c>
      <c r="BF12" s="14">
        <f t="shared" si="37"/>
        <v>3.4479780350880365</v>
      </c>
      <c r="BG12" s="22">
        <f t="shared" si="7"/>
        <v>22.992141233881103</v>
      </c>
      <c r="BH12" s="58">
        <f t="shared" si="8"/>
        <v>290.6588079005478</v>
      </c>
      <c r="BI12" s="58">
        <f ca="1">AVERAGE(OFFSET($BH$3,0,0,'Données projet'!$E$11+1,1))-AVERAGE(OFFSET($H$3,0,0,'Données projet'!$E$11+1,1))</f>
        <v>218.76424742311815</v>
      </c>
      <c r="BJ12" s="58">
        <f t="shared" si="38"/>
        <v>264.34598683038593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2.2571428571428571</v>
      </c>
      <c r="BY12" s="13">
        <f>IF('Données projet'!$A$114&gt;35,BY11+BX12-CG11,IF(A12&lt;'Données projet'!$A$114,$BV$205^A12,IF(A12='Données projet'!$A$114,'Données projet'!$B$114,BY11+BX12-CG11)))</f>
        <v>3.0758223762077566</v>
      </c>
      <c r="BZ12" s="14">
        <f>BY12*VLOOKUP('Données projet'!$B$12,Paramètres!$A$1:$I$89,3,0)*VLOOKUP('Données projet'!$B$12,Paramètres!$A$1:$I$89,5,0)</f>
        <v>2.9749354022681422</v>
      </c>
      <c r="CA12" s="14">
        <f t="shared" si="39"/>
        <v>1.2075825234134834</v>
      </c>
      <c r="CB12" s="22">
        <f t="shared" si="10"/>
        <v>7.2845520538954966</v>
      </c>
      <c r="CC12" s="58">
        <f t="shared" si="11"/>
        <v>274.95121872056217</v>
      </c>
      <c r="CD12" s="58">
        <f ca="1">AVERAGE(OFFSET($CC$3,0,0,'Données projet'!$E$12+1,1))-AVERAGE(OFFSET($H$3,0,0,'Données projet'!$E$12+1,1))</f>
        <v>343.86347628565426</v>
      </c>
      <c r="CE12" s="58">
        <f t="shared" si="40"/>
        <v>129.28196646107097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58" t="e">
        <f t="shared" si="14"/>
        <v>#N/A</v>
      </c>
      <c r="CY12" s="58" t="e">
        <f ca="1">AVERAGE(OFFSET($CX$3,0,0,'Données projet'!$E$13+1,1))-AVERAGE(OFFSET($H$3,0,0,'Données projet'!$E$13+1,1))</f>
        <v>#N/A</v>
      </c>
      <c r="CZ12" s="58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</v>
      </c>
      <c r="DO12" s="13">
        <f>IF('Données projet'!$A$166&gt;35,DO11+DN12-DW11,IF(A12&lt;'Données projet'!$A$166,$DL$205^A12,IF(A12='Données projet'!$A$166,'Données projet'!$B$166,DO11+DN12-DW11)))</f>
        <v>6.3120155872278705</v>
      </c>
      <c r="DP12" s="18">
        <f>DO12*VLOOKUP('Données projet'!$B$14,Paramètres!$A$1:$I$89,3,0)*VLOOKUP('Données projet'!$B$14,Paramètres!$A$1:$I$89,5,0)</f>
        <v>6.0065140328060416</v>
      </c>
      <c r="DQ12" s="14">
        <f t="shared" si="43"/>
        <v>2.2466887072166961</v>
      </c>
      <c r="DR12" s="22">
        <f t="shared" si="16"/>
        <v>14.374328105539602</v>
      </c>
      <c r="DS12" s="58">
        <f t="shared" si="17"/>
        <v>282.04099477220626</v>
      </c>
      <c r="DT12" s="58">
        <f ca="1">AVERAGE(OFFSET($DS$3,0,0,'Données projet'!$E$14+1,1))-AVERAGE(OFFSET($H$3,0,0,'Données projet'!$E$14+1,1))</f>
        <v>332.49889399440514</v>
      </c>
      <c r="DU12" s="58">
        <f t="shared" si="44"/>
        <v>256.06044006790529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2.8205128205128203</v>
      </c>
      <c r="EJ12" s="13">
        <f>IF('Données projet'!$A$192&gt;35,EJ11+EI12-ER11,IF(A12&lt;'Données projet'!$A$192,$EG$205^A12,IF(A12='Données projet'!$A$192,'Données projet'!$B$192,EJ11+EI12-ER11)))</f>
        <v>9.4591388896729018</v>
      </c>
      <c r="EK12" s="18">
        <f>EJ12*VLOOKUP('Données projet'!$B$15,Paramètres!$A$1:$I$89,3,0)*VLOOKUP('Données projet'!$B$15,Paramètres!$A$1:$I$89,5,0)</f>
        <v>9.8866919674861187</v>
      </c>
      <c r="EL12" s="14">
        <f t="shared" si="45"/>
        <v>3.4896279880614438</v>
      </c>
      <c r="EM12" s="22">
        <f t="shared" si="19"/>
        <v>23.297090589245332</v>
      </c>
      <c r="EN12" s="58">
        <f t="shared" si="20"/>
        <v>290.96375725591201</v>
      </c>
      <c r="EO12" s="58">
        <f ca="1">AVERAGE(OFFSET($EN$3,0,0,'Données projet'!$E$15+1,1))-AVERAGE(OFFSET($H$3,0,0,'Données projet'!$E$15+1,1))</f>
        <v>596.00698505207174</v>
      </c>
      <c r="EP12" s="58">
        <f t="shared" si="46"/>
        <v>378.16197659288338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7.2264102564102561</v>
      </c>
      <c r="FE12" s="13">
        <f>IF('Données projet'!$A$218&gt;35,FE11+FD12-FM11,IF(A12&lt;'Données projet'!$A$218,$FB$205^A12,IF(A12='Données projet'!$A$218,'Données projet'!$B$218,FE11+FD12-FM11)))</f>
        <v>5.0212652126643498</v>
      </c>
      <c r="FF12" s="18">
        <f>FE12*VLOOKUP('Données projet'!$B$16,Paramètres!$A$1:$I$89,3,0)*VLOOKUP('Données projet'!$B$16,Paramètres!$A$1:$I$89,5,0)</f>
        <v>2.349952119526916</v>
      </c>
      <c r="FG12" s="14">
        <f t="shared" si="47"/>
        <v>0.98043726379605944</v>
      </c>
      <c r="FH12" s="22">
        <f t="shared" si="22"/>
        <v>5.8004281759541811</v>
      </c>
      <c r="FI12" s="58">
        <f t="shared" si="23"/>
        <v>273.4670948426209</v>
      </c>
      <c r="FJ12" s="58">
        <f ca="1">AVERAGE(OFFSET($FI$3,0,0,'Données projet'!$E$16+1,1))-AVERAGE(OFFSET($H$3,0,0,'Données projet'!$E$16+1,1))</f>
        <v>294.31042006404056</v>
      </c>
      <c r="FK12" s="58">
        <f t="shared" si="48"/>
        <v>260.93767498478502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5.2136752136752138</v>
      </c>
      <c r="FZ12" s="13">
        <f>IF('Données projet'!$A$244&gt;35,FZ11+FY12-GH11,IF(A12&lt;'Données projet'!$A$244,$FW$205^A12,IF(A12='Données projet'!$A$244,'Données projet'!$B$244,FZ11+FY12-GH11)))</f>
        <v>13.675434677381936</v>
      </c>
      <c r="GA12" s="18">
        <f>FZ12*VLOOKUP('Données projet'!$B$17,Paramètres!$A$1:$I$89,3,0)*VLOOKUP('Données projet'!$B$17,Paramètres!$A$1:$I$89,5,0)</f>
        <v>9.1734815815878026</v>
      </c>
      <c r="GB12" s="14">
        <f t="shared" si="49"/>
        <v>3.2662338705705771</v>
      </c>
      <c r="GC12" s="22">
        <f t="shared" si="25"/>
        <v>21.665837745842509</v>
      </c>
      <c r="GD12" s="58">
        <f t="shared" si="26"/>
        <v>289.33250441250919</v>
      </c>
      <c r="GE12" s="58">
        <f ca="1">AVERAGE(OFFSET($GD$3,0,0,'Données projet'!$E$17+1,1))-AVERAGE(OFFSET($H$3,0,0,'Données projet'!$E$17+1,1))</f>
        <v>362.1372269575329</v>
      </c>
      <c r="GF12" s="58">
        <f t="shared" si="50"/>
        <v>308.1559670593121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58" t="e">
        <f t="shared" si="29"/>
        <v>#N/A</v>
      </c>
      <c r="GZ12" s="58" t="e">
        <f ca="1">AVERAGE(OFFSET($GY$3,0,0,'Données projet'!$E$18+1,1))-AVERAGE(OFFSET($H$3,0,0,'Données projet'!$E$18+1,1))</f>
        <v>#N/A</v>
      </c>
      <c r="HA12" s="58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0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3">
        <f t="shared" si="1"/>
        <v>256.66666666666669</v>
      </c>
      <c r="I13" s="6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58">
        <f t="shared" si="0"/>
        <v>284.57066751792433</v>
      </c>
      <c r="S13" s="58">
        <f ca="1">AVERAGE(OFFSET($R$3,0,0,'Données projet'!$E$9+1,1))-AVERAGE(OFFSET($H$3,0,0,'Données projet'!$E$9+1,1))</f>
        <v>483.15009705023641</v>
      </c>
      <c r="T13" s="58">
        <f t="shared" si="34"/>
        <v>254.25036207346591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58">
        <f t="shared" si="5"/>
        <v>282.93233218914207</v>
      </c>
      <c r="AN13" s="58">
        <f ca="1">AVERAGE(OFFSET($AM$3,0,0,'Données projet'!$E$10+1,1))-AVERAGE(OFFSET($H$3,0,0,'Données projet'!$E$10+1,1))</f>
        <v>435.7095890216213</v>
      </c>
      <c r="AO13" s="58">
        <f t="shared" si="36"/>
        <v>231.36959598460686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3.7179487179487176</v>
      </c>
      <c r="BD13" s="13">
        <f>IF('Données projet'!$A$88&gt;35,BD12+BC13-BL12,IF(A13&lt;'Données projet'!$A$88,$BA$205^A13,IF(A13='Données projet'!$A$88,'Données projet'!$B$88,BD12+BC13-BL12)))</f>
        <v>14.596983020492171</v>
      </c>
      <c r="BE13" s="14">
        <f>BD13*VLOOKUP('Données projet'!$B$11,Paramètres!$A$1:$I$89,3,0)*VLOOKUP('Données projet'!$B$11,Paramètres!$A$1:$I$89,5,0)</f>
        <v>12.751924366701962</v>
      </c>
      <c r="BF13" s="14">
        <f t="shared" si="37"/>
        <v>4.3695707769769943</v>
      </c>
      <c r="BG13" s="22">
        <f t="shared" si="7"/>
        <v>29.819937375240851</v>
      </c>
      <c r="BH13" s="58">
        <f t="shared" si="8"/>
        <v>298.7088262641297</v>
      </c>
      <c r="BI13" s="58">
        <f ca="1">AVERAGE(OFFSET($BH$3,0,0,'Données projet'!$E$11+1,1))-AVERAGE(OFFSET($H$3,0,0,'Données projet'!$E$11+1,1))</f>
        <v>218.76424742311815</v>
      </c>
      <c r="BJ13" s="58">
        <f t="shared" si="38"/>
        <v>264.34598683038593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2.2571428571428571</v>
      </c>
      <c r="BY13" s="13">
        <f>IF('Données projet'!$A$114&gt;35,BY12+BX13-CG12,IF(A13&lt;'Données projet'!$A$114,$BV$205^A13,IF(A13='Données projet'!$A$114,'Données projet'!$B$114,BY12+BX13-CG12)))</f>
        <v>3.4848105184558036</v>
      </c>
      <c r="BZ13" s="14">
        <f>BY13*VLOOKUP('Données projet'!$B$12,Paramètres!$A$1:$I$89,3,0)*VLOOKUP('Données projet'!$B$12,Paramètres!$A$1:$I$89,5,0)</f>
        <v>3.3705087334504533</v>
      </c>
      <c r="CA13" s="14">
        <f t="shared" si="39"/>
        <v>1.348415606839646</v>
      </c>
      <c r="CB13" s="22">
        <f t="shared" si="10"/>
        <v>8.2187932260052552</v>
      </c>
      <c r="CC13" s="58">
        <f t="shared" si="11"/>
        <v>277.10768211489409</v>
      </c>
      <c r="CD13" s="58">
        <f ca="1">AVERAGE(OFFSET($CC$3,0,0,'Données projet'!$E$12+1,1))-AVERAGE(OFFSET($H$3,0,0,'Données projet'!$E$12+1,1))</f>
        <v>343.86347628565426</v>
      </c>
      <c r="CE13" s="58">
        <f t="shared" si="40"/>
        <v>129.28196646107097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58" t="e">
        <f t="shared" si="14"/>
        <v>#N/A</v>
      </c>
      <c r="CY13" s="58" t="e">
        <f ca="1">AVERAGE(OFFSET($CX$3,0,0,'Données projet'!$E$13+1,1))-AVERAGE(OFFSET($H$3,0,0,'Données projet'!$E$13+1,1))</f>
        <v>#N/A</v>
      </c>
      <c r="CZ13" s="58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</v>
      </c>
      <c r="DO13" s="13">
        <f>IF('Données projet'!$A$166&gt;35,DO12+DN13-DW12,IF(A13&lt;'Données projet'!$A$166,$DL$205^A13,IF(A13='Données projet'!$A$166,'Données projet'!$B$166,DO12+DN13-DW12)))</f>
        <v>7.7459666924148385</v>
      </c>
      <c r="DP13" s="18">
        <f>DO13*VLOOKUP('Données projet'!$B$14,Paramètres!$A$1:$I$89,3,0)*VLOOKUP('Données projet'!$B$14,Paramètres!$A$1:$I$89,5,0)</f>
        <v>7.3710619045019596</v>
      </c>
      <c r="DQ13" s="14">
        <f t="shared" si="43"/>
        <v>2.6921646949170714</v>
      </c>
      <c r="DR13" s="22">
        <f t="shared" si="16"/>
        <v>17.526786327321478</v>
      </c>
      <c r="DS13" s="58">
        <f t="shared" si="17"/>
        <v>286.41567521621033</v>
      </c>
      <c r="DT13" s="58">
        <f ca="1">AVERAGE(OFFSET($DS$3,0,0,'Données projet'!$E$14+1,1))-AVERAGE(OFFSET($H$3,0,0,'Données projet'!$E$14+1,1))</f>
        <v>332.49889399440514</v>
      </c>
      <c r="DU13" s="58">
        <f t="shared" si="44"/>
        <v>256.06044006790529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2.8205128205128203</v>
      </c>
      <c r="EJ13" s="13">
        <f>IF('Données projet'!$A$192&gt;35,EJ12+EI13-ER12,IF(A13&lt;'Données projet'!$A$192,$EG$205^A13,IF(A13='Données projet'!$A$192,'Données projet'!$B$192,EJ12+EI13-ER12)))</f>
        <v>12.141701680412259</v>
      </c>
      <c r="EK13" s="18">
        <f>EJ13*VLOOKUP('Données projet'!$B$15,Paramètres!$A$1:$I$89,3,0)*VLOOKUP('Données projet'!$B$15,Paramètres!$A$1:$I$89,5,0)</f>
        <v>12.690506596366895</v>
      </c>
      <c r="EL13" s="14">
        <f t="shared" si="45"/>
        <v>4.3509698433589348</v>
      </c>
      <c r="EM13" s="22">
        <f t="shared" si="19"/>
        <v>29.68057146585582</v>
      </c>
      <c r="EN13" s="58">
        <f t="shared" si="20"/>
        <v>298.56946035474471</v>
      </c>
      <c r="EO13" s="58">
        <f ca="1">AVERAGE(OFFSET($EN$3,0,0,'Données projet'!$E$15+1,1))-AVERAGE(OFFSET($H$3,0,0,'Données projet'!$E$15+1,1))</f>
        <v>596.00698505207174</v>
      </c>
      <c r="EP13" s="58">
        <f t="shared" si="46"/>
        <v>378.16197659288338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7.2264102564102561</v>
      </c>
      <c r="FE13" s="13">
        <f>IF('Données projet'!$A$218&gt;35,FE12+FD13-FM12,IF(A13&lt;'Données projet'!$A$218,$FB$205^A13,IF(A13='Données projet'!$A$218,'Données projet'!$B$218,FE12+FD13-FM12)))</f>
        <v>6.0073272306422343</v>
      </c>
      <c r="FF13" s="18">
        <f>FE13*VLOOKUP('Données projet'!$B$16,Paramètres!$A$1:$I$89,3,0)*VLOOKUP('Données projet'!$B$16,Paramètres!$A$1:$I$89,5,0)</f>
        <v>2.8114291439405656</v>
      </c>
      <c r="FG13" s="14">
        <f t="shared" si="47"/>
        <v>1.1487462006075717</v>
      </c>
      <c r="FH13" s="22">
        <f t="shared" si="22"/>
        <v>6.8973053917546716</v>
      </c>
      <c r="FI13" s="58">
        <f t="shared" si="23"/>
        <v>275.78619428064354</v>
      </c>
      <c r="FJ13" s="58">
        <f ca="1">AVERAGE(OFFSET($FI$3,0,0,'Données projet'!$E$16+1,1))-AVERAGE(OFFSET($H$3,0,0,'Données projet'!$E$16+1,1))</f>
        <v>294.31042006404056</v>
      </c>
      <c r="FK13" s="58">
        <f t="shared" si="48"/>
        <v>260.93767498478502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5.2136752136752138</v>
      </c>
      <c r="FZ13" s="13">
        <f>IF('Données projet'!$A$244&gt;35,FZ12+FY13-GH12,IF(A13&lt;'Données projet'!$A$244,$FW$205^A13,IF(A13='Données projet'!$A$244,'Données projet'!$B$244,FZ12+FY13-GH12)))</f>
        <v>18.287604531068997</v>
      </c>
      <c r="GA13" s="18">
        <f>FZ13*VLOOKUP('Données projet'!$B$17,Paramètres!$A$1:$I$89,3,0)*VLOOKUP('Données projet'!$B$17,Paramètres!$A$1:$I$89,5,0)</f>
        <v>12.267325119441084</v>
      </c>
      <c r="GB13" s="14">
        <f t="shared" si="49"/>
        <v>4.2225174677910005</v>
      </c>
      <c r="GC13" s="22">
        <f t="shared" si="25"/>
        <v>28.719809172762542</v>
      </c>
      <c r="GD13" s="58">
        <f t="shared" si="26"/>
        <v>297.60869806165141</v>
      </c>
      <c r="GE13" s="58">
        <f ca="1">AVERAGE(OFFSET($GD$3,0,0,'Données projet'!$E$17+1,1))-AVERAGE(OFFSET($H$3,0,0,'Données projet'!$E$17+1,1))</f>
        <v>362.1372269575329</v>
      </c>
      <c r="GF13" s="58">
        <f t="shared" si="50"/>
        <v>308.1559670593121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58" t="e">
        <f t="shared" si="29"/>
        <v>#N/A</v>
      </c>
      <c r="GZ13" s="58" t="e">
        <f ca="1">AVERAGE(OFFSET($GY$3,0,0,'Données projet'!$E$18+1,1))-AVERAGE(OFFSET($H$3,0,0,'Données projet'!$E$18+1,1))</f>
        <v>#N/A</v>
      </c>
      <c r="HA13" s="58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0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3">
        <f t="shared" si="1"/>
        <v>256.66666666666669</v>
      </c>
      <c r="I14" s="6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58">
        <f t="shared" si="0"/>
        <v>288.90539420934834</v>
      </c>
      <c r="S14" s="58">
        <f ca="1">AVERAGE(OFFSET($R$3,0,0,'Données projet'!$E$9+1,1))-AVERAGE(OFFSET($H$3,0,0,'Données projet'!$E$9+1,1))</f>
        <v>483.15009705023641</v>
      </c>
      <c r="T14" s="58">
        <f t="shared" si="34"/>
        <v>254.25036207346591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58">
        <f t="shared" si="5"/>
        <v>286.94092810276993</v>
      </c>
      <c r="AN14" s="58">
        <f ca="1">AVERAGE(OFFSET($AM$3,0,0,'Données projet'!$E$10+1,1))-AVERAGE(OFFSET($H$3,0,0,'Données projet'!$E$10+1,1))</f>
        <v>435.7095890216213</v>
      </c>
      <c r="AO14" s="58">
        <f t="shared" si="36"/>
        <v>231.36959598460686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3.7179487179487176</v>
      </c>
      <c r="BD14" s="13">
        <f>IF('Données projet'!$A$88&gt;35,BD13+BC14-BL13,IF(A14&lt;'Données projet'!$A$88,$BA$205^A14,IF(A14='Données projet'!$A$88,'Données projet'!$B$88,BD13+BC14-BL13)))</f>
        <v>19.084879101191397</v>
      </c>
      <c r="BE14" s="14">
        <f>BD14*VLOOKUP('Données projet'!$B$11,Paramètres!$A$1:$I$89,3,0)*VLOOKUP('Données projet'!$B$11,Paramètres!$A$1:$I$89,5,0)</f>
        <v>16.672550382800807</v>
      </c>
      <c r="BF14" s="14">
        <f t="shared" si="37"/>
        <v>5.5374914169149649</v>
      </c>
      <c r="BG14" s="22">
        <f t="shared" si="7"/>
        <v>38.682489467838302</v>
      </c>
      <c r="BH14" s="58">
        <f t="shared" si="8"/>
        <v>308.79360057894945</v>
      </c>
      <c r="BI14" s="58">
        <f ca="1">AVERAGE(OFFSET($BH$3,0,0,'Données projet'!$E$11+1,1))-AVERAGE(OFFSET($H$3,0,0,'Données projet'!$E$11+1,1))</f>
        <v>218.76424742311815</v>
      </c>
      <c r="BJ14" s="58">
        <f t="shared" si="38"/>
        <v>264.34598683038593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2.2571428571428571</v>
      </c>
      <c r="BY14" s="13">
        <f>IF('Données projet'!$A$114&gt;35,BY13+BX14-CG13,IF(A14&lt;'Données projet'!$A$114,$BV$205^A14,IF(A14='Données projet'!$A$114,'Données projet'!$B$114,BY13+BX14-CG13)))</f>
        <v>3.9481812875399749</v>
      </c>
      <c r="BZ14" s="14">
        <f>BY14*VLOOKUP('Données projet'!$B$12,Paramètres!$A$1:$I$89,3,0)*VLOOKUP('Données projet'!$B$12,Paramètres!$A$1:$I$89,5,0)</f>
        <v>3.818680941308664</v>
      </c>
      <c r="CA14" s="14">
        <f t="shared" si="39"/>
        <v>1.5056732053633404</v>
      </c>
      <c r="CB14" s="22">
        <f t="shared" si="10"/>
        <v>9.2732501387870716</v>
      </c>
      <c r="CC14" s="58">
        <f t="shared" si="11"/>
        <v>279.38436124989823</v>
      </c>
      <c r="CD14" s="58">
        <f ca="1">AVERAGE(OFFSET($CC$3,0,0,'Données projet'!$E$12+1,1))-AVERAGE(OFFSET($H$3,0,0,'Données projet'!$E$12+1,1))</f>
        <v>343.86347628565426</v>
      </c>
      <c r="CE14" s="58">
        <f t="shared" si="40"/>
        <v>129.28196646107097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58" t="e">
        <f t="shared" si="14"/>
        <v>#N/A</v>
      </c>
      <c r="CY14" s="58" t="e">
        <f ca="1">AVERAGE(OFFSET($CX$3,0,0,'Données projet'!$E$13+1,1))-AVERAGE(OFFSET($H$3,0,0,'Données projet'!$E$13+1,1))</f>
        <v>#N/A</v>
      </c>
      <c r="CZ14" s="58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</v>
      </c>
      <c r="DO14" s="13">
        <f>IF('Données projet'!$A$166&gt;35,DO13+DN14-DW13,IF(A14&lt;'Données projet'!$A$166,$DL$205^A14,IF(A14='Données projet'!$A$166,'Données projet'!$B$166,DO13+DN14-DW13)))</f>
        <v>9.5056799481623333</v>
      </c>
      <c r="DP14" s="18">
        <f>DO14*VLOOKUP('Données projet'!$B$14,Paramètres!$A$1:$I$89,3,0)*VLOOKUP('Données projet'!$B$14,Paramètres!$A$1:$I$89,5,0)</f>
        <v>9.0456050386712779</v>
      </c>
      <c r="DQ14" s="14">
        <f t="shared" si="43"/>
        <v>3.225970167240829</v>
      </c>
      <c r="DR14" s="22">
        <f t="shared" si="16"/>
        <v>21.372993483630253</v>
      </c>
      <c r="DS14" s="58">
        <f t="shared" si="17"/>
        <v>291.48410459474138</v>
      </c>
      <c r="DT14" s="58">
        <f ca="1">AVERAGE(OFFSET($DS$3,0,0,'Données projet'!$E$14+1,1))-AVERAGE(OFFSET($H$3,0,0,'Données projet'!$E$14+1,1))</f>
        <v>332.49889399440514</v>
      </c>
      <c r="DU14" s="58">
        <f t="shared" si="44"/>
        <v>256.06044006790529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2.8205128205128203</v>
      </c>
      <c r="EJ14" s="13">
        <f>IF('Données projet'!$A$192&gt;35,EJ13+EI14-ER13,IF(A14&lt;'Données projet'!$A$192,$EG$205^A14,IF(A14='Données projet'!$A$192,'Données projet'!$B$192,EJ13+EI14-ER13)))</f>
        <v>15.585025382920847</v>
      </c>
      <c r="EK14" s="18">
        <f>EJ14*VLOOKUP('Données projet'!$B$15,Paramètres!$A$1:$I$89,3,0)*VLOOKUP('Données projet'!$B$15,Paramètres!$A$1:$I$89,5,0)</f>
        <v>16.28946853022887</v>
      </c>
      <c r="EL14" s="14">
        <f t="shared" si="45"/>
        <v>5.4249159631297497</v>
      </c>
      <c r="EM14" s="22">
        <f t="shared" si="19"/>
        <v>37.81921965926626</v>
      </c>
      <c r="EN14" s="58">
        <f t="shared" si="20"/>
        <v>307.9303307703774</v>
      </c>
      <c r="EO14" s="58">
        <f ca="1">AVERAGE(OFFSET($EN$3,0,0,'Données projet'!$E$15+1,1))-AVERAGE(OFFSET($H$3,0,0,'Données projet'!$E$15+1,1))</f>
        <v>596.00698505207174</v>
      </c>
      <c r="EP14" s="58">
        <f t="shared" si="46"/>
        <v>378.16197659288338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7.2264102564102561</v>
      </c>
      <c r="FE14" s="13">
        <f>IF('Données projet'!$A$218&gt;35,FE13+FD14-FM13,IF(A14&lt;'Données projet'!$A$218,$FB$205^A14,IF(A14='Données projet'!$A$218,'Données projet'!$B$218,FE13+FD14-FM13)))</f>
        <v>7.1870293496939057</v>
      </c>
      <c r="FF14" s="18">
        <f>FE14*VLOOKUP('Données projet'!$B$16,Paramètres!$A$1:$I$89,3,0)*VLOOKUP('Données projet'!$B$16,Paramètres!$A$1:$I$89,5,0)</f>
        <v>3.3635297356567477</v>
      </c>
      <c r="FG14" s="14">
        <f t="shared" si="47"/>
        <v>1.3459482642479659</v>
      </c>
      <c r="FH14" s="22">
        <f t="shared" si="22"/>
        <v>8.2023408498340427</v>
      </c>
      <c r="FI14" s="58">
        <f t="shared" si="23"/>
        <v>278.3134519609452</v>
      </c>
      <c r="FJ14" s="58">
        <f ca="1">AVERAGE(OFFSET($FI$3,0,0,'Données projet'!$E$16+1,1))-AVERAGE(OFFSET($H$3,0,0,'Données projet'!$E$16+1,1))</f>
        <v>294.31042006404056</v>
      </c>
      <c r="FK14" s="58">
        <f t="shared" si="48"/>
        <v>260.93767498478502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5.2136752136752138</v>
      </c>
      <c r="FZ14" s="13">
        <f>IF('Données projet'!$A$244&gt;35,FZ13+FY14-GH13,IF(A14&lt;'Données projet'!$A$244,$FW$205^A14,IF(A14='Données projet'!$A$244,'Données projet'!$B$244,FZ13+FY14-GH13)))</f>
        <v>24.455272345961053</v>
      </c>
      <c r="GA14" s="18">
        <f>FZ14*VLOOKUP('Données projet'!$B$17,Paramètres!$A$1:$I$89,3,0)*VLOOKUP('Données projet'!$B$17,Paramètres!$A$1:$I$89,5,0)</f>
        <v>16.404596689670676</v>
      </c>
      <c r="GB14" s="14">
        <f t="shared" si="49"/>
        <v>5.4587805014358821</v>
      </c>
      <c r="GC14" s="22">
        <f t="shared" si="25"/>
        <v>38.078715274510586</v>
      </c>
      <c r="GD14" s="58">
        <f t="shared" si="26"/>
        <v>308.1898263856217</v>
      </c>
      <c r="GE14" s="58">
        <f ca="1">AVERAGE(OFFSET($GD$3,0,0,'Données projet'!$E$17+1,1))-AVERAGE(OFFSET($H$3,0,0,'Données projet'!$E$17+1,1))</f>
        <v>362.1372269575329</v>
      </c>
      <c r="GF14" s="58">
        <f t="shared" si="50"/>
        <v>308.1559670593121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58" t="e">
        <f t="shared" si="29"/>
        <v>#N/A</v>
      </c>
      <c r="GZ14" s="58" t="e">
        <f ca="1">AVERAGE(OFFSET($GY$3,0,0,'Données projet'!$E$18+1,1))-AVERAGE(OFFSET($H$3,0,0,'Données projet'!$E$18+1,1))</f>
        <v>#N/A</v>
      </c>
      <c r="HA14" s="58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0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3">
        <f t="shared" si="1"/>
        <v>256.66666666666669</v>
      </c>
      <c r="I15" s="6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58">
        <f t="shared" si="0"/>
        <v>293.85996837222763</v>
      </c>
      <c r="S15" s="58">
        <f ca="1">AVERAGE(OFFSET($R$3,0,0,'Données projet'!$E$9+1,1))-AVERAGE(OFFSET($H$3,0,0,'Données projet'!$E$9+1,1))</f>
        <v>483.15009705023641</v>
      </c>
      <c r="T15" s="58">
        <f t="shared" si="34"/>
        <v>254.25036207346591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58">
        <f t="shared" si="5"/>
        <v>291.50424573777804</v>
      </c>
      <c r="AN15" s="58">
        <f ca="1">AVERAGE(OFFSET($AM$3,0,0,'Données projet'!$E$10+1,1))-AVERAGE(OFFSET($H$3,0,0,'Données projet'!$E$10+1,1))</f>
        <v>435.7095890216213</v>
      </c>
      <c r="AO15" s="58">
        <f t="shared" si="36"/>
        <v>231.36959598460686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3.7179487179487176</v>
      </c>
      <c r="BD15" s="13">
        <f>IF('Données projet'!$A$88&gt;35,BD14+BC15-BL14,IF(A15&lt;'Données projet'!$A$88,$BA$205^A15,IF(A15='Données projet'!$A$88,'Données projet'!$B$88,BD14+BC15-BL14)))</f>
        <v>24.952595327113784</v>
      </c>
      <c r="BE15" s="14">
        <f>BD15*VLOOKUP('Données projet'!$B$11,Paramètres!$A$1:$I$89,3,0)*VLOOKUP('Données projet'!$B$11,Paramètres!$A$1:$I$89,5,0)</f>
        <v>21.798587277766604</v>
      </c>
      <c r="BF15" s="14">
        <f t="shared" si="37"/>
        <v>7.0175797023297353</v>
      </c>
      <c r="BG15" s="22">
        <f t="shared" si="7"/>
        <v>50.188157490334454</v>
      </c>
      <c r="BH15" s="58">
        <f t="shared" si="8"/>
        <v>321.52149082366776</v>
      </c>
      <c r="BI15" s="58">
        <f ca="1">AVERAGE(OFFSET($BH$3,0,0,'Données projet'!$E$11+1,1))-AVERAGE(OFFSET($H$3,0,0,'Données projet'!$E$11+1,1))</f>
        <v>218.76424742311815</v>
      </c>
      <c r="BJ15" s="58">
        <f t="shared" si="38"/>
        <v>264.34598683038593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2.2571428571428571</v>
      </c>
      <c r="BY15" s="13">
        <f>IF('Données projet'!$A$114&gt;35,BY14+BX15-CG14,IF(A15&lt;'Données projet'!$A$114,$BV$205^A15,IF(A15='Données projet'!$A$114,'Données projet'!$B$114,BY14+BX15-CG14)))</f>
        <v>4.4731658713508073</v>
      </c>
      <c r="BZ15" s="14">
        <f>BY15*VLOOKUP('Données projet'!$B$12,Paramètres!$A$1:$I$89,3,0)*VLOOKUP('Données projet'!$B$12,Paramètres!$A$1:$I$89,5,0)</f>
        <v>4.3264460307705006</v>
      </c>
      <c r="CA15" s="14">
        <f t="shared" si="39"/>
        <v>1.6812708113506092</v>
      </c>
      <c r="CB15" s="22">
        <f t="shared" si="10"/>
        <v>10.463440166694268</v>
      </c>
      <c r="CC15" s="58">
        <f t="shared" si="11"/>
        <v>281.7967735000276</v>
      </c>
      <c r="CD15" s="58">
        <f ca="1">AVERAGE(OFFSET($CC$3,0,0,'Données projet'!$E$12+1,1))-AVERAGE(OFFSET($H$3,0,0,'Données projet'!$E$12+1,1))</f>
        <v>343.86347628565426</v>
      </c>
      <c r="CE15" s="58">
        <f t="shared" si="40"/>
        <v>129.28196646107097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58" t="e">
        <f t="shared" si="14"/>
        <v>#N/A</v>
      </c>
      <c r="CY15" s="58" t="e">
        <f ca="1">AVERAGE(OFFSET($CX$3,0,0,'Données projet'!$E$13+1,1))-AVERAGE(OFFSET($H$3,0,0,'Données projet'!$E$13+1,1))</f>
        <v>#N/A</v>
      </c>
      <c r="CZ15" s="58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</v>
      </c>
      <c r="DO15" s="13">
        <f>IF('Données projet'!$A$166&gt;35,DO14+DN15-DW14,IF(A15&lt;'Données projet'!$A$166,$DL$205^A15,IF(A15='Données projet'!$A$166,'Données projet'!$B$166,DO14+DN15-DW14)))</f>
        <v>11.66516134976124</v>
      </c>
      <c r="DP15" s="18">
        <f>DO15*VLOOKUP('Données projet'!$B$14,Paramètres!$A$1:$I$89,3,0)*VLOOKUP('Données projet'!$B$14,Paramètres!$A$1:$I$89,5,0)</f>
        <v>11.100567540432795</v>
      </c>
      <c r="DQ15" s="14">
        <f t="shared" si="43"/>
        <v>3.8656191946861536</v>
      </c>
      <c r="DR15" s="22">
        <f t="shared" si="16"/>
        <v>26.066108563665505</v>
      </c>
      <c r="DS15" s="58">
        <f t="shared" si="17"/>
        <v>297.39944189699884</v>
      </c>
      <c r="DT15" s="58">
        <f ca="1">AVERAGE(OFFSET($DS$3,0,0,'Données projet'!$E$14+1,1))-AVERAGE(OFFSET($H$3,0,0,'Données projet'!$E$14+1,1))</f>
        <v>332.49889399440514</v>
      </c>
      <c r="DU15" s="58">
        <f t="shared" si="44"/>
        <v>256.06044006790529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2.8205128205128203</v>
      </c>
      <c r="EJ15" s="13">
        <f>IF('Données projet'!$A$192&gt;35,EJ14+EI15-ER14,IF(A15&lt;'Données projet'!$A$192,$EG$205^A15,IF(A15='Données projet'!$A$192,'Données projet'!$B$192,EJ14+EI15-ER14)))</f>
        <v>20.004857851032284</v>
      </c>
      <c r="EK15" s="18">
        <f>EJ15*VLOOKUP('Données projet'!$B$15,Paramètres!$A$1:$I$89,3,0)*VLOOKUP('Données projet'!$B$15,Paramètres!$A$1:$I$89,5,0)</f>
        <v>20.909077425898946</v>
      </c>
      <c r="EL15" s="14">
        <f t="shared" si="45"/>
        <v>6.7639432739208196</v>
      </c>
      <c r="EM15" s="22">
        <f t="shared" si="19"/>
        <v>48.19717771885275</v>
      </c>
      <c r="EN15" s="58">
        <f t="shared" si="20"/>
        <v>319.53051105218606</v>
      </c>
      <c r="EO15" s="58">
        <f ca="1">AVERAGE(OFFSET($EN$3,0,0,'Données projet'!$E$15+1,1))-AVERAGE(OFFSET($H$3,0,0,'Données projet'!$E$15+1,1))</f>
        <v>596.00698505207174</v>
      </c>
      <c r="EP15" s="58">
        <f t="shared" si="46"/>
        <v>378.16197659288338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7.2264102564102561</v>
      </c>
      <c r="FE15" s="13">
        <f>IF('Données projet'!$A$218&gt;35,FE14+FD15-FM14,IF(A15&lt;'Données projet'!$A$218,$FB$205^A15,IF(A15='Données projet'!$A$218,'Données projet'!$B$218,FE14+FD15-FM14)))</f>
        <v>8.5983980712566286</v>
      </c>
      <c r="FF15" s="18">
        <f>FE15*VLOOKUP('Données projet'!$B$16,Paramètres!$A$1:$I$89,3,0)*VLOOKUP('Données projet'!$B$16,Paramètres!$A$1:$I$89,5,0)</f>
        <v>4.0240502973481025</v>
      </c>
      <c r="FG15" s="14">
        <f t="shared" si="47"/>
        <v>1.5770034573990057</v>
      </c>
      <c r="FH15" s="22">
        <f t="shared" si="22"/>
        <v>9.7551686228512136</v>
      </c>
      <c r="FI15" s="58">
        <f t="shared" si="23"/>
        <v>281.08850195618453</v>
      </c>
      <c r="FJ15" s="58">
        <f ca="1">AVERAGE(OFFSET($FI$3,0,0,'Données projet'!$E$16+1,1))-AVERAGE(OFFSET($H$3,0,0,'Données projet'!$E$16+1,1))</f>
        <v>294.31042006404056</v>
      </c>
      <c r="FK15" s="58">
        <f t="shared" si="48"/>
        <v>260.93767498478502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5.2136752136752138</v>
      </c>
      <c r="FZ15" s="13">
        <f>IF('Données projet'!$A$244&gt;35,FZ14+FY15-GH14,IF(A15&lt;'Données projet'!$A$244,$FW$205^A15,IF(A15='Données projet'!$A$244,'Données projet'!$B$244,FZ14+FY15-GH14)))</f>
        <v>32.703044540310167</v>
      </c>
      <c r="GA15" s="18">
        <f>FZ15*VLOOKUP('Données projet'!$B$17,Paramètres!$A$1:$I$89,3,0)*VLOOKUP('Données projet'!$B$17,Paramètres!$A$1:$I$89,5,0)</f>
        <v>21.937202277640061</v>
      </c>
      <c r="GB15" s="14">
        <f t="shared" si="49"/>
        <v>7.0569949775590821</v>
      </c>
      <c r="GC15" s="22">
        <f t="shared" si="25"/>
        <v>50.498226886138504</v>
      </c>
      <c r="GD15" s="58">
        <f t="shared" si="26"/>
        <v>321.83156021947184</v>
      </c>
      <c r="GE15" s="58">
        <f ca="1">AVERAGE(OFFSET($GD$3,0,0,'Données projet'!$E$17+1,1))-AVERAGE(OFFSET($H$3,0,0,'Données projet'!$E$17+1,1))</f>
        <v>362.1372269575329</v>
      </c>
      <c r="GF15" s="58">
        <f t="shared" si="50"/>
        <v>308.1559670593121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58" t="e">
        <f t="shared" si="29"/>
        <v>#N/A</v>
      </c>
      <c r="GZ15" s="58" t="e">
        <f ca="1">AVERAGE(OFFSET($GY$3,0,0,'Données projet'!$E$18+1,1))-AVERAGE(OFFSET($H$3,0,0,'Données projet'!$E$18+1,1))</f>
        <v>#N/A</v>
      </c>
      <c r="HA15" s="58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0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3">
        <f t="shared" si="1"/>
        <v>256.66666666666669</v>
      </c>
      <c r="I16" s="6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58">
        <f t="shared" si="0"/>
        <v>299.55821782408742</v>
      </c>
      <c r="S16" s="58">
        <f ca="1">AVERAGE(OFFSET($R$3,0,0,'Données projet'!$E$9+1,1))-AVERAGE(OFFSET($H$3,0,0,'Données projet'!$E$9+1,1))</f>
        <v>483.15009705023641</v>
      </c>
      <c r="T16" s="58">
        <f t="shared" si="34"/>
        <v>254.25036207346591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58">
        <f t="shared" si="5"/>
        <v>296.73306974060051</v>
      </c>
      <c r="AN16" s="58">
        <f ca="1">AVERAGE(OFFSET($AM$3,0,0,'Données projet'!$E$10+1,1))-AVERAGE(OFFSET($H$3,0,0,'Données projet'!$E$10+1,1))</f>
        <v>435.7095890216213</v>
      </c>
      <c r="AO16" s="58">
        <f t="shared" si="36"/>
        <v>231.36959598460686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3.7179487179487176</v>
      </c>
      <c r="BD16" s="13">
        <f>IF('Données projet'!$A$88&gt;35,BD15+BC16-BL15,IF(A16&lt;'Données projet'!$A$88,$BA$205^A16,IF(A16='Données projet'!$A$88,'Données projet'!$B$88,BD15+BC16-BL15)))</f>
        <v>32.624362473421797</v>
      </c>
      <c r="BE16" s="14">
        <f>BD16*VLOOKUP('Données projet'!$B$11,Paramètres!$A$1:$I$89,3,0)*VLOOKUP('Données projet'!$B$11,Paramètres!$A$1:$I$89,5,0)</f>
        <v>28.500643056781282</v>
      </c>
      <c r="BF16" s="14">
        <f t="shared" si="37"/>
        <v>8.8932733562567403</v>
      </c>
      <c r="BG16" s="22">
        <f t="shared" si="7"/>
        <v>65.127737752707887</v>
      </c>
      <c r="BH16" s="58">
        <f t="shared" si="8"/>
        <v>337.68329330826344</v>
      </c>
      <c r="BI16" s="58">
        <f ca="1">AVERAGE(OFFSET($BH$3,0,0,'Données projet'!$E$11+1,1))-AVERAGE(OFFSET($H$3,0,0,'Données projet'!$E$11+1,1))</f>
        <v>218.76424742311815</v>
      </c>
      <c r="BJ16" s="58">
        <f t="shared" si="38"/>
        <v>264.34598683038593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2.2571428571428571</v>
      </c>
      <c r="BY16" s="13">
        <f>IF('Données projet'!$A$114&gt;35,BY15+BX16-CG15,IF(A16&lt;'Données projet'!$A$114,$BV$205^A16,IF(A16='Données projet'!$A$114,'Données projet'!$B$114,BY15+BX16-CG15)))</f>
        <v>5.0679569795248511</v>
      </c>
      <c r="BZ16" s="14">
        <f>BY16*VLOOKUP('Données projet'!$B$12,Paramètres!$A$1:$I$89,3,0)*VLOOKUP('Données projet'!$B$12,Paramètres!$A$1:$I$89,5,0)</f>
        <v>4.9017279905964362</v>
      </c>
      <c r="CA16" s="14">
        <f t="shared" si="39"/>
        <v>1.8773473095162247</v>
      </c>
      <c r="CB16" s="22">
        <f t="shared" si="10"/>
        <v>11.80688948102955</v>
      </c>
      <c r="CC16" s="58">
        <f t="shared" si="11"/>
        <v>284.36244503658509</v>
      </c>
      <c r="CD16" s="58">
        <f ca="1">AVERAGE(OFFSET($CC$3,0,0,'Données projet'!$E$12+1,1))-AVERAGE(OFFSET($H$3,0,0,'Données projet'!$E$12+1,1))</f>
        <v>343.86347628565426</v>
      </c>
      <c r="CE16" s="58">
        <f t="shared" si="40"/>
        <v>129.28196646107097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58" t="e">
        <f t="shared" si="14"/>
        <v>#N/A</v>
      </c>
      <c r="CY16" s="58" t="e">
        <f ca="1">AVERAGE(OFFSET($CX$3,0,0,'Données projet'!$E$13+1,1))-AVERAGE(OFFSET($H$3,0,0,'Données projet'!$E$13+1,1))</f>
        <v>#N/A</v>
      </c>
      <c r="CZ16" s="58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</v>
      </c>
      <c r="DO16" s="13">
        <f>IF('Données projet'!$A$166&gt;35,DO15+DN16-DW15,IF(A16&lt;'Données projet'!$A$166,$DL$205^A16,IF(A16='Données projet'!$A$166,'Données projet'!$B$166,DO15+DN16-DW15)))</f>
        <v>14.315229426830225</v>
      </c>
      <c r="DP16" s="18">
        <f>DO16*VLOOKUP('Données projet'!$B$14,Paramètres!$A$1:$I$89,3,0)*VLOOKUP('Données projet'!$B$14,Paramètres!$A$1:$I$89,5,0)</f>
        <v>13.622372322571643</v>
      </c>
      <c r="DQ16" s="14">
        <f t="shared" si="43"/>
        <v>4.6320985575346407</v>
      </c>
      <c r="DR16" s="22">
        <f t="shared" si="16"/>
        <v>31.793203449518444</v>
      </c>
      <c r="DS16" s="58">
        <f t="shared" si="17"/>
        <v>304.34875900507399</v>
      </c>
      <c r="DT16" s="58">
        <f ca="1">AVERAGE(OFFSET($DS$3,0,0,'Données projet'!$E$14+1,1))-AVERAGE(OFFSET($H$3,0,0,'Données projet'!$E$14+1,1))</f>
        <v>332.49889399440514</v>
      </c>
      <c r="DU16" s="58">
        <f t="shared" si="44"/>
        <v>256.06044006790529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2.8205128205128203</v>
      </c>
      <c r="EJ16" s="13">
        <f>IF('Données projet'!$A$192&gt;35,EJ15+EI16-ER15,IF(A16&lt;'Données projet'!$A$192,$EG$205^A16,IF(A16='Données projet'!$A$192,'Données projet'!$B$192,EJ15+EI16-ER15)))</f>
        <v>25.678131912352789</v>
      </c>
      <c r="EK16" s="18">
        <f>EJ16*VLOOKUP('Données projet'!$B$15,Paramètres!$A$1:$I$89,3,0)*VLOOKUP('Données projet'!$B$15,Paramètres!$A$1:$I$89,5,0)</f>
        <v>26.838783474791136</v>
      </c>
      <c r="EL16" s="14">
        <f t="shared" si="45"/>
        <v>8.4334815366289995</v>
      </c>
      <c r="EM16" s="22">
        <f t="shared" si="19"/>
        <v>61.432528228223397</v>
      </c>
      <c r="EN16" s="58">
        <f t="shared" si="20"/>
        <v>333.98808378377896</v>
      </c>
      <c r="EO16" s="58">
        <f ca="1">AVERAGE(OFFSET($EN$3,0,0,'Données projet'!$E$15+1,1))-AVERAGE(OFFSET($H$3,0,0,'Données projet'!$E$15+1,1))</f>
        <v>596.00698505207174</v>
      </c>
      <c r="EP16" s="58">
        <f t="shared" si="46"/>
        <v>378.16197659288338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7.2264102564102561</v>
      </c>
      <c r="FE16" s="13">
        <f>IF('Données projet'!$A$218&gt;35,FE15+FD16-FM15,IF(A16&lt;'Données projet'!$A$218,$FB$205^A16,IF(A16='Données projet'!$A$218,'Données projet'!$B$218,FE15+FD16-FM15)))</f>
        <v>10.286927434759741</v>
      </c>
      <c r="FF16" s="18">
        <f>FE16*VLOOKUP('Données projet'!$B$16,Paramètres!$A$1:$I$89,3,0)*VLOOKUP('Données projet'!$B$16,Paramètres!$A$1:$I$89,5,0)</f>
        <v>4.8142820394675585</v>
      </c>
      <c r="FG16" s="14">
        <f t="shared" si="47"/>
        <v>1.8477232526006253</v>
      </c>
      <c r="FH16" s="22">
        <f t="shared" si="22"/>
        <v>11.602992550352086</v>
      </c>
      <c r="FI16" s="58">
        <f t="shared" si="23"/>
        <v>284.15854810590764</v>
      </c>
      <c r="FJ16" s="58">
        <f ca="1">AVERAGE(OFFSET($FI$3,0,0,'Données projet'!$E$16+1,1))-AVERAGE(OFFSET($H$3,0,0,'Données projet'!$E$16+1,1))</f>
        <v>294.31042006404056</v>
      </c>
      <c r="FK16" s="58">
        <f t="shared" si="48"/>
        <v>260.93767498478502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5.2136752136752138</v>
      </c>
      <c r="FZ16" s="13">
        <f>IF('Données projet'!$A$244&gt;35,FZ15+FY16-GH15,IF(A16&lt;'Données projet'!$A$244,$FW$205^A16,IF(A16='Données projet'!$A$244,'Données projet'!$B$244,FZ15+FY16-GH15)))</f>
        <v>43.732456015037741</v>
      </c>
      <c r="GA16" s="18">
        <f>FZ16*VLOOKUP('Données projet'!$B$17,Paramètres!$A$1:$I$89,3,0)*VLOOKUP('Données projet'!$B$17,Paramètres!$A$1:$I$89,5,0)</f>
        <v>29.335731494887316</v>
      </c>
      <c r="GB16" s="14">
        <f t="shared" si="49"/>
        <v>9.1231325568401864</v>
      </c>
      <c r="GC16" s="22">
        <f t="shared" si="25"/>
        <v>66.982521556758726</v>
      </c>
      <c r="GD16" s="58">
        <f t="shared" si="26"/>
        <v>339.53807711231428</v>
      </c>
      <c r="GE16" s="58">
        <f ca="1">AVERAGE(OFFSET($GD$3,0,0,'Données projet'!$E$17+1,1))-AVERAGE(OFFSET($H$3,0,0,'Données projet'!$E$17+1,1))</f>
        <v>362.1372269575329</v>
      </c>
      <c r="GF16" s="58">
        <f t="shared" si="50"/>
        <v>308.1559670593121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58" t="e">
        <f t="shared" si="29"/>
        <v>#N/A</v>
      </c>
      <c r="GZ16" s="58" t="e">
        <f ca="1">AVERAGE(OFFSET($GY$3,0,0,'Données projet'!$E$18+1,1))-AVERAGE(OFFSET($H$3,0,0,'Données projet'!$E$18+1,1))</f>
        <v>#N/A</v>
      </c>
      <c r="HA16" s="58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0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3">
        <f t="shared" si="1"/>
        <v>256.66666666666669</v>
      </c>
      <c r="I17" s="6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58">
        <f t="shared" si="0"/>
        <v>306.14877929230755</v>
      </c>
      <c r="S17" s="58">
        <f ca="1">AVERAGE(OFFSET($R$3,0,0,'Données projet'!$E$9+1,1))-AVERAGE(OFFSET($H$3,0,0,'Données projet'!$E$9+1,1))</f>
        <v>483.15009705023641</v>
      </c>
      <c r="T17" s="58">
        <f t="shared" si="34"/>
        <v>254.25036207346591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58">
        <f t="shared" si="5"/>
        <v>302.76037439017989</v>
      </c>
      <c r="AN17" s="58">
        <f ca="1">AVERAGE(OFFSET($AM$3,0,0,'Données projet'!$E$10+1,1))-AVERAGE(OFFSET($H$3,0,0,'Données projet'!$E$10+1,1))</f>
        <v>435.7095890216213</v>
      </c>
      <c r="AO17" s="58">
        <f t="shared" si="36"/>
        <v>231.36959598460686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3.7179487179487176</v>
      </c>
      <c r="BD17" s="13">
        <f>IF('Données projet'!$A$88&gt;35,BD16+BC17-BL16,IF(A17&lt;'Données projet'!$A$88,$BA$205^A17,IF(A17='Données projet'!$A$88,'Données projet'!$B$88,BD16+BC17-BL16)))</f>
        <v>42.654842626357123</v>
      </c>
      <c r="BE17" s="14">
        <f>BD17*VLOOKUP('Données projet'!$B$11,Paramètres!$A$1:$I$89,3,0)*VLOOKUP('Données projet'!$B$11,Paramètres!$A$1:$I$89,5,0)</f>
        <v>37.263270518385589</v>
      </c>
      <c r="BF17" s="14">
        <f t="shared" si="37"/>
        <v>11.270311751906325</v>
      </c>
      <c r="BG17" s="22">
        <f t="shared" si="7"/>
        <v>84.529322454091755</v>
      </c>
      <c r="BH17" s="58">
        <f t="shared" si="8"/>
        <v>358.30710023186953</v>
      </c>
      <c r="BI17" s="58">
        <f ca="1">AVERAGE(OFFSET($BH$3,0,0,'Données projet'!$E$11+1,1))-AVERAGE(OFFSET($H$3,0,0,'Données projet'!$E$11+1,1))</f>
        <v>218.76424742311815</v>
      </c>
      <c r="BJ17" s="58">
        <f t="shared" si="38"/>
        <v>264.34598683038593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2.2571428571428571</v>
      </c>
      <c r="BY17" s="13">
        <f>IF('Données projet'!$A$114&gt;35,BY16+BX17-CG16,IF(A17&lt;'Données projet'!$A$114,$BV$205^A17,IF(A17='Données projet'!$A$114,'Données projet'!$B$114,BY16+BX17-CG16)))</f>
        <v>5.7418366957535909</v>
      </c>
      <c r="BZ17" s="14">
        <f>BY17*VLOOKUP('Données projet'!$B$12,Paramètres!$A$1:$I$89,3,0)*VLOOKUP('Données projet'!$B$12,Paramètres!$A$1:$I$89,5,0)</f>
        <v>5.5535044521328736</v>
      </c>
      <c r="CA17" s="14">
        <f t="shared" si="39"/>
        <v>2.0962910298291186</v>
      </c>
      <c r="CB17" s="22">
        <f t="shared" si="10"/>
        <v>13.32339379775047</v>
      </c>
      <c r="CC17" s="58">
        <f t="shared" si="11"/>
        <v>287.10117157552827</v>
      </c>
      <c r="CD17" s="58">
        <f ca="1">AVERAGE(OFFSET($CC$3,0,0,'Données projet'!$E$12+1,1))-AVERAGE(OFFSET($H$3,0,0,'Données projet'!$E$12+1,1))</f>
        <v>343.86347628565426</v>
      </c>
      <c r="CE17" s="58">
        <f t="shared" si="40"/>
        <v>129.28196646107097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58" t="e">
        <f t="shared" si="14"/>
        <v>#N/A</v>
      </c>
      <c r="CY17" s="58" t="e">
        <f ca="1">AVERAGE(OFFSET($CX$3,0,0,'Données projet'!$E$13+1,1))-AVERAGE(OFFSET($H$3,0,0,'Données projet'!$E$13+1,1))</f>
        <v>#N/A</v>
      </c>
      <c r="CZ17" s="58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</v>
      </c>
      <c r="DO17" s="13">
        <f>IF('Données projet'!$A$166&gt;35,DO16+DN17-DW16,IF(A17&lt;'Données projet'!$A$166,$DL$205^A17,IF(A17='Données projet'!$A$166,'Données projet'!$B$166,DO16+DN17-DW16)))</f>
        <v>17.567334681314151</v>
      </c>
      <c r="DP17" s="18">
        <f>DO17*VLOOKUP('Données projet'!$B$14,Paramètres!$A$1:$I$89,3,0)*VLOOKUP('Données projet'!$B$14,Paramètres!$A$1:$I$89,5,0)</f>
        <v>16.717075682738546</v>
      </c>
      <c r="DQ17" s="14">
        <f t="shared" si="43"/>
        <v>5.5505563186899796</v>
      </c>
      <c r="DR17" s="22">
        <f t="shared" si="16"/>
        <v>38.782792402488006</v>
      </c>
      <c r="DS17" s="58">
        <f t="shared" si="17"/>
        <v>312.56057018026576</v>
      </c>
      <c r="DT17" s="58">
        <f ca="1">AVERAGE(OFFSET($DS$3,0,0,'Données projet'!$E$14+1,1))-AVERAGE(OFFSET($H$3,0,0,'Données projet'!$E$14+1,1))</f>
        <v>332.49889399440514</v>
      </c>
      <c r="DU17" s="58">
        <f t="shared" si="44"/>
        <v>256.06044006790529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2.8205128205128203</v>
      </c>
      <c r="EJ17" s="13">
        <f>IF('Données projet'!$A$192&gt;35,EJ16+EI17-ER16,IF(A17&lt;'Données projet'!$A$192,$EG$205^A17,IF(A17='Données projet'!$A$192,'Données projet'!$B$192,EJ16+EI17-ER16)))</f>
        <v>32.960317109884706</v>
      </c>
      <c r="EK17" s="18">
        <f>EJ17*VLOOKUP('Données projet'!$B$15,Paramètres!$A$1:$I$89,3,0)*VLOOKUP('Données projet'!$B$15,Paramètres!$A$1:$I$89,5,0)</f>
        <v>34.450123443251499</v>
      </c>
      <c r="EL17" s="14">
        <f t="shared" si="45"/>
        <v>10.515110483390327</v>
      </c>
      <c r="EM17" s="22">
        <f t="shared" si="19"/>
        <v>78.314449088901185</v>
      </c>
      <c r="EN17" s="58">
        <f t="shared" si="20"/>
        <v>352.09222686667897</v>
      </c>
      <c r="EO17" s="58">
        <f ca="1">AVERAGE(OFFSET($EN$3,0,0,'Données projet'!$E$15+1,1))-AVERAGE(OFFSET($H$3,0,0,'Données projet'!$E$15+1,1))</f>
        <v>596.00698505207174</v>
      </c>
      <c r="EP17" s="58">
        <f t="shared" si="46"/>
        <v>378.16197659288338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7.2264102564102561</v>
      </c>
      <c r="FE17" s="13">
        <f>IF('Données projet'!$A$218&gt;35,FE16+FD17-FM16,IF(A17&lt;'Données projet'!$A$218,$FB$205^A17,IF(A17='Données projet'!$A$218,'Données projet'!$B$218,FE16+FD17-FM16)))</f>
        <v>12.307045471848836</v>
      </c>
      <c r="FF17" s="18">
        <f>FE17*VLOOKUP('Données projet'!$B$16,Paramètres!$A$1:$I$89,3,0)*VLOOKUP('Données projet'!$B$16,Paramètres!$A$1:$I$89,5,0)</f>
        <v>5.7596972808252556</v>
      </c>
      <c r="FG17" s="14">
        <f t="shared" si="47"/>
        <v>2.1649167617120959</v>
      </c>
      <c r="FH17" s="22">
        <f t="shared" si="22"/>
        <v>13.802036124085888</v>
      </c>
      <c r="FI17" s="58">
        <f t="shared" si="23"/>
        <v>287.57981390186364</v>
      </c>
      <c r="FJ17" s="58">
        <f ca="1">AVERAGE(OFFSET($FI$3,0,0,'Données projet'!$E$16+1,1))-AVERAGE(OFFSET($H$3,0,0,'Données projet'!$E$16+1,1))</f>
        <v>294.31042006404056</v>
      </c>
      <c r="FK17" s="58">
        <f t="shared" si="48"/>
        <v>260.93767498478502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5.2136752136752138</v>
      </c>
      <c r="FZ17" s="13">
        <f>IF('Données projet'!$A$244&gt;35,FZ16+FY17-GH16,IF(A17&lt;'Données projet'!$A$244,$FW$205^A17,IF(A17='Données projet'!$A$244,'Données projet'!$B$244,FZ16+FY17-GH16)))</f>
        <v>58.481640960058201</v>
      </c>
      <c r="GA17" s="18">
        <f>FZ17*VLOOKUP('Données projet'!$B$17,Paramètres!$A$1:$I$89,3,0)*VLOOKUP('Données projet'!$B$17,Paramètres!$A$1:$I$89,5,0)</f>
        <v>39.229484756007039</v>
      </c>
      <c r="GB17" s="14">
        <f t="shared" si="49"/>
        <v>11.794191141463161</v>
      </c>
      <c r="GC17" s="22">
        <f t="shared" si="25"/>
        <v>88.866235521427257</v>
      </c>
      <c r="GD17" s="58">
        <f t="shared" si="26"/>
        <v>362.64401329920503</v>
      </c>
      <c r="GE17" s="58">
        <f ca="1">AVERAGE(OFFSET($GD$3,0,0,'Données projet'!$E$17+1,1))-AVERAGE(OFFSET($H$3,0,0,'Données projet'!$E$17+1,1))</f>
        <v>362.1372269575329</v>
      </c>
      <c r="GF17" s="58">
        <f t="shared" si="50"/>
        <v>308.1559670593121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58" t="e">
        <f t="shared" si="29"/>
        <v>#N/A</v>
      </c>
      <c r="GZ17" s="58" t="e">
        <f ca="1">AVERAGE(OFFSET($GY$3,0,0,'Données projet'!$E$18+1,1))-AVERAGE(OFFSET($H$3,0,0,'Données projet'!$E$18+1,1))</f>
        <v>#N/A</v>
      </c>
      <c r="HA17" s="58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0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3">
        <f t="shared" si="1"/>
        <v>256.66666666666669</v>
      </c>
      <c r="I18" s="6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58">
        <f t="shared" si="0"/>
        <v>313.81008211298388</v>
      </c>
      <c r="S18" s="58">
        <f ca="1">AVERAGE(OFFSET($R$3,0,0,'Données projet'!$E$9+1,1))-AVERAGE(OFFSET($H$3,0,0,'Données projet'!$E$9+1,1))</f>
        <v>483.15009705023641</v>
      </c>
      <c r="T18" s="58">
        <f t="shared" si="34"/>
        <v>254.25036207346591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58">
        <f t="shared" si="5"/>
        <v>309.74578000827665</v>
      </c>
      <c r="AN18" s="58">
        <f ca="1">AVERAGE(OFFSET($AM$3,0,0,'Données projet'!$E$10+1,1))-AVERAGE(OFFSET($H$3,0,0,'Données projet'!$E$10+1,1))</f>
        <v>435.7095890216213</v>
      </c>
      <c r="AO18" s="58">
        <f t="shared" si="36"/>
        <v>231.36959598460686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55.769230769230766</v>
      </c>
      <c r="BB18" s="13">
        <f>VLOOKUP(A18,'Données projet'!$A$87:$I$107,9,0)</f>
        <v>3.7179487179487176</v>
      </c>
      <c r="BC18" s="13">
        <f t="array" ref="BC18">INDEX(BB:BB,MIN(IF(ISNUMBER(BB18:BB214),ROW(BB18:BB214),"")))</f>
        <v>3.7179487179487176</v>
      </c>
      <c r="BD18" s="13">
        <f>IF('Données projet'!$A$88&gt;35,BD17+BC18-BL17,IF(A18&lt;'Données projet'!$A$88,$BA$205^A18,IF(A18='Données projet'!$A$88,'Données projet'!$B$88,BD17+BC18-BL17)))</f>
        <v>55.769230769230766</v>
      </c>
      <c r="BE18" s="14">
        <f>BD18*VLOOKUP('Données projet'!$B$11,Paramètres!$A$1:$I$89,3,0)*VLOOKUP('Données projet'!$B$11,Paramètres!$A$1:$I$89,5,0)</f>
        <v>48.720000000000006</v>
      </c>
      <c r="BF18" s="14">
        <f t="shared" si="37"/>
        <v>14.282696808795901</v>
      </c>
      <c r="BG18" s="22">
        <f t="shared" si="7"/>
        <v>109.72969694198621</v>
      </c>
      <c r="BH18" s="58">
        <f t="shared" si="8"/>
        <v>384.72969694198622</v>
      </c>
      <c r="BI18" s="58">
        <f ca="1">AVERAGE(OFFSET($BH$3,0,0,'Données projet'!$E$11+1,1))-AVERAGE(OFFSET($H$3,0,0,'Données projet'!$E$11+1,1))</f>
        <v>218.76424742311815</v>
      </c>
      <c r="BJ18" s="58">
        <f t="shared" si="38"/>
        <v>264.34598683038593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13.461538461538462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2.2571428571428571</v>
      </c>
      <c r="BY18" s="13">
        <f>IF('Données projet'!$A$114&gt;35,BY17+BX18-CG17,IF(A18&lt;'Données projet'!$A$114,$BV$205^A18,IF(A18='Données projet'!$A$114,'Données projet'!$B$114,BY17+BX18-CG17)))</f>
        <v>6.5053213304493189</v>
      </c>
      <c r="BZ18" s="14">
        <f>BY18*VLOOKUP('Données projet'!$B$12,Paramètres!$A$1:$I$89,3,0)*VLOOKUP('Données projet'!$B$12,Paramètres!$A$1:$I$89,5,0)</f>
        <v>6.2919467908105808</v>
      </c>
      <c r="CA18" s="14">
        <f t="shared" si="39"/>
        <v>2.3407688388114143</v>
      </c>
      <c r="CB18" s="22">
        <f t="shared" si="10"/>
        <v>15.035313054924972</v>
      </c>
      <c r="CC18" s="58">
        <f t="shared" si="11"/>
        <v>290.03531305492498</v>
      </c>
      <c r="CD18" s="58">
        <f ca="1">AVERAGE(OFFSET($CC$3,0,0,'Données projet'!$E$12+1,1))-AVERAGE(OFFSET($H$3,0,0,'Données projet'!$E$12+1,1))</f>
        <v>343.86347628565426</v>
      </c>
      <c r="CE18" s="58">
        <f t="shared" si="40"/>
        <v>129.28196646107097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58" t="e">
        <f t="shared" si="14"/>
        <v>#N/A</v>
      </c>
      <c r="CY18" s="58" t="e">
        <f ca="1">AVERAGE(OFFSET($CX$3,0,0,'Données projet'!$E$13+1,1))-AVERAGE(OFFSET($H$3,0,0,'Données projet'!$E$13+1,1))</f>
        <v>#N/A</v>
      </c>
      <c r="CZ18" s="58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</v>
      </c>
      <c r="DO18" s="13">
        <f>IF('Données projet'!$A$166&gt;35,DO17+DN18-DW17,IF(A18&lt;'Données projet'!$A$166,$DL$205^A18,IF(A18='Données projet'!$A$166,'Données projet'!$B$166,DO17+DN18-DW17)))</f>
        <v>21.558246717785071</v>
      </c>
      <c r="DP18" s="18">
        <f>DO18*VLOOKUP('Données projet'!$B$14,Paramètres!$A$1:$I$89,3,0)*VLOOKUP('Données projet'!$B$14,Paramètres!$A$1:$I$89,5,0)</f>
        <v>20.514827576644272</v>
      </c>
      <c r="DQ18" s="14">
        <f t="shared" si="43"/>
        <v>6.6511269275208731</v>
      </c>
      <c r="DR18" s="22">
        <f t="shared" si="16"/>
        <v>47.314037428087623</v>
      </c>
      <c r="DS18" s="58">
        <f t="shared" si="17"/>
        <v>322.3140374280876</v>
      </c>
      <c r="DT18" s="58">
        <f ca="1">AVERAGE(OFFSET($DS$3,0,0,'Données projet'!$E$14+1,1))-AVERAGE(OFFSET($H$3,0,0,'Données projet'!$E$14+1,1))</f>
        <v>332.49889399440514</v>
      </c>
      <c r="DU18" s="58">
        <f t="shared" si="44"/>
        <v>256.06044006790529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42.307692307692307</v>
      </c>
      <c r="EH18" s="13">
        <f>VLOOKUP(A18,'Données projet'!$A$191:$I$211,9,0)</f>
        <v>2.8205128205128203</v>
      </c>
      <c r="EI18" s="13">
        <f t="array" ref="EI18">INDEX(EH:EH,MIN(IF(ISNUMBER(EH18:EH214),ROW(EH18:EH214),"")))</f>
        <v>2.8205128205128203</v>
      </c>
      <c r="EJ18" s="13">
        <f>IF('Données projet'!$A$192&gt;35,EJ17+EI18-ER17,IF(A18&lt;'Données projet'!$A$192,$EG$205^A18,IF(A18='Données projet'!$A$192,'Données projet'!$B$192,EJ17+EI18-ER17)))</f>
        <v>42.307692307692307</v>
      </c>
      <c r="EK18" s="18">
        <f>EJ18*VLOOKUP('Données projet'!$B$15,Paramètres!$A$1:$I$89,3,0)*VLOOKUP('Données projet'!$B$15,Paramètres!$A$1:$I$89,5,0)</f>
        <v>44.22</v>
      </c>
      <c r="EL18" s="14">
        <f t="shared" si="45"/>
        <v>13.110546100999768</v>
      </c>
      <c r="EM18" s="22">
        <f t="shared" si="19"/>
        <v>99.850701125907918</v>
      </c>
      <c r="EN18" s="58">
        <f t="shared" si="20"/>
        <v>374.8507011259079</v>
      </c>
      <c r="EO18" s="58">
        <f ca="1">AVERAGE(OFFSET($EN$3,0,0,'Données projet'!$E$15+1,1))-AVERAGE(OFFSET($H$3,0,0,'Données projet'!$E$15+1,1))</f>
        <v>596.00698505207174</v>
      </c>
      <c r="EP18" s="58">
        <f t="shared" si="46"/>
        <v>378.16197659288338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7.2264102564102561</v>
      </c>
      <c r="FE18" s="13">
        <f>IF('Données projet'!$A$218&gt;35,FE17+FD18-FM17,IF(A18&lt;'Données projet'!$A$218,$FB$205^A18,IF(A18='Données projet'!$A$218,'Données projet'!$B$218,FE17+FD18-FM17)))</f>
        <v>14.723868638788783</v>
      </c>
      <c r="FF18" s="18">
        <f>FE18*VLOOKUP('Données projet'!$B$16,Paramètres!$A$1:$I$89,3,0)*VLOOKUP('Données projet'!$B$16,Paramètres!$A$1:$I$89,5,0)</f>
        <v>6.89077052295315</v>
      </c>
      <c r="FG18" s="14">
        <f t="shared" si="47"/>
        <v>2.5365619978778424</v>
      </c>
      <c r="FH18" s="22">
        <f t="shared" si="22"/>
        <v>16.419270807113978</v>
      </c>
      <c r="FI18" s="58">
        <f t="shared" si="23"/>
        <v>291.419270807114</v>
      </c>
      <c r="FJ18" s="58">
        <f ca="1">AVERAGE(OFFSET($FI$3,0,0,'Données projet'!$E$16+1,1))-AVERAGE(OFFSET($H$3,0,0,'Données projet'!$E$16+1,1))</f>
        <v>294.31042006404056</v>
      </c>
      <c r="FK18" s="58">
        <f t="shared" si="48"/>
        <v>260.93767498478502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78.205128205128204</v>
      </c>
      <c r="FX18" s="13">
        <f>VLOOKUP(A18,'Données projet'!$A$243:$I$263,9,0)</f>
        <v>5.2136752136752138</v>
      </c>
      <c r="FY18" s="13">
        <f t="array" ref="FY18">INDEX(FX:FX,MIN(IF(ISNUMBER(FX18:FX214),ROW(FX18:FX214),"")))</f>
        <v>5.2136752136752138</v>
      </c>
      <c r="FZ18" s="13">
        <f>IF('Données projet'!$A$244&gt;35,FZ17+FY18-GH17,IF(A18&lt;'Données projet'!$A$244,$FW$205^A18,IF(A18='Données projet'!$A$244,'Données projet'!$B$244,FZ17+FY18-GH17)))</f>
        <v>78.205128205128204</v>
      </c>
      <c r="GA18" s="18">
        <f>FZ18*VLOOKUP('Données projet'!$B$17,Paramètres!$A$1:$I$89,3,0)*VLOOKUP('Données projet'!$B$17,Paramètres!$A$1:$I$89,5,0)</f>
        <v>52.459999999999994</v>
      </c>
      <c r="GB18" s="14">
        <f t="shared" si="49"/>
        <v>15.247278696731632</v>
      </c>
      <c r="GC18" s="22">
        <f t="shared" si="25"/>
        <v>117.92351039680756</v>
      </c>
      <c r="GD18" s="58">
        <f t="shared" si="26"/>
        <v>392.92351039680756</v>
      </c>
      <c r="GE18" s="58">
        <f ca="1">AVERAGE(OFFSET($GD$3,0,0,'Données projet'!$E$17+1,1))-AVERAGE(OFFSET($H$3,0,0,'Données projet'!$E$17+1,1))</f>
        <v>362.1372269575329</v>
      </c>
      <c r="GF18" s="58">
        <f t="shared" si="50"/>
        <v>308.1559670593121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58" t="e">
        <f t="shared" si="29"/>
        <v>#N/A</v>
      </c>
      <c r="GZ18" s="58" t="e">
        <f ca="1">AVERAGE(OFFSET($GY$3,0,0,'Données projet'!$E$18+1,1))-AVERAGE(OFFSET($H$3,0,0,'Données projet'!$E$18+1,1))</f>
        <v>#N/A</v>
      </c>
      <c r="HA18" s="58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0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3">
        <f t="shared" si="1"/>
        <v>256.66666666666669</v>
      </c>
      <c r="I19" s="6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58">
        <f t="shared" si="0"/>
        <v>322.75633550905911</v>
      </c>
      <c r="S19" s="58">
        <f ca="1">AVERAGE(OFFSET($R$3,0,0,'Données projet'!$E$9+1,1))-AVERAGE(OFFSET($H$3,0,0,'Données projet'!$E$9+1,1))</f>
        <v>483.15009705023641</v>
      </c>
      <c r="T19" s="58">
        <f t="shared" si="34"/>
        <v>254.25036207346591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58">
        <f t="shared" si="5"/>
        <v>317.88090656215792</v>
      </c>
      <c r="AN19" s="58">
        <f ca="1">AVERAGE(OFFSET($AM$3,0,0,'Données projet'!$E$10+1,1))-AVERAGE(OFFSET($H$3,0,0,'Données projet'!$E$10+1,1))</f>
        <v>435.7095890216213</v>
      </c>
      <c r="AO19" s="58">
        <f t="shared" si="36"/>
        <v>231.36959598460686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9.1025641025641022</v>
      </c>
      <c r="BD19" s="13">
        <f>IF('Données projet'!$A$88&gt;35,BD18+BC19-BL18,IF(A19&lt;'Données projet'!$A$88,$BA$205^A19,IF(A19='Données projet'!$A$88,'Données projet'!$B$88,BD18+BC19-BL18)))</f>
        <v>51.410256410256402</v>
      </c>
      <c r="BE19" s="14">
        <f>BD19*VLOOKUP('Données projet'!$B$11,Paramètres!$A$1:$I$89,3,0)*VLOOKUP('Données projet'!$B$11,Paramètres!$A$1:$I$89,5,0)</f>
        <v>44.911999999999999</v>
      </c>
      <c r="BF19" s="14">
        <f t="shared" si="37"/>
        <v>13.291667768531457</v>
      </c>
      <c r="BG19" s="22">
        <f t="shared" si="7"/>
        <v>101.37138803019229</v>
      </c>
      <c r="BH19" s="58">
        <f t="shared" si="8"/>
        <v>377.59361025241452</v>
      </c>
      <c r="BI19" s="58">
        <f ca="1">AVERAGE(OFFSET($BH$3,0,0,'Données projet'!$E$11+1,1))-AVERAGE(OFFSET($H$3,0,0,'Données projet'!$E$11+1,1))</f>
        <v>218.76424742311815</v>
      </c>
      <c r="BJ19" s="58">
        <f t="shared" si="38"/>
        <v>264.34598683038593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2.2571428571428571</v>
      </c>
      <c r="BY19" s="13">
        <f>IF('Données projet'!$A$114&gt;35,BY18+BX19-CG18,IF(A19&lt;'Données projet'!$A$114,$BV$205^A19,IF(A19='Données projet'!$A$114,'Données projet'!$B$114,BY18+BX19-CG18)))</f>
        <v>7.3703255342835341</v>
      </c>
      <c r="BZ19" s="14">
        <f>BY19*VLOOKUP('Données projet'!$B$12,Paramètres!$A$1:$I$89,3,0)*VLOOKUP('Données projet'!$B$12,Paramètres!$A$1:$I$89,5,0)</f>
        <v>7.1285788567590345</v>
      </c>
      <c r="CA19" s="14">
        <f t="shared" si="39"/>
        <v>2.6137586235806105</v>
      </c>
      <c r="CB19" s="22">
        <f t="shared" si="10"/>
        <v>16.96790444492488</v>
      </c>
      <c r="CC19" s="58">
        <f t="shared" si="11"/>
        <v>293.19012666714713</v>
      </c>
      <c r="CD19" s="58">
        <f ca="1">AVERAGE(OFFSET($CC$3,0,0,'Données projet'!$E$12+1,1))-AVERAGE(OFFSET($H$3,0,0,'Données projet'!$E$12+1,1))</f>
        <v>343.86347628565426</v>
      </c>
      <c r="CE19" s="58">
        <f t="shared" si="40"/>
        <v>129.28196646107097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58" t="e">
        <f t="shared" si="14"/>
        <v>#N/A</v>
      </c>
      <c r="CY19" s="58" t="e">
        <f ca="1">AVERAGE(OFFSET($CX$3,0,0,'Données projet'!$E$13+1,1))-AVERAGE(OFFSET($H$3,0,0,'Données projet'!$E$13+1,1))</f>
        <v>#N/A</v>
      </c>
      <c r="CZ19" s="58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</v>
      </c>
      <c r="DO19" s="13">
        <f>IF('Données projet'!$A$166&gt;35,DO18+DN19-DW18,IF(A19&lt;'Données projet'!$A$166,$DL$205^A19,IF(A19='Données projet'!$A$166,'Données projet'!$B$166,DO18+DN19-DW18)))</f>
        <v>26.455806186651639</v>
      </c>
      <c r="DP19" s="18">
        <f>DO19*VLOOKUP('Données projet'!$B$14,Paramètres!$A$1:$I$89,3,0)*VLOOKUP('Données projet'!$B$14,Paramètres!$A$1:$I$89,5,0)</f>
        <v>25.175345167217699</v>
      </c>
      <c r="DQ19" s="14">
        <f t="shared" si="43"/>
        <v>7.969919926230749</v>
      </c>
      <c r="DR19" s="22">
        <f t="shared" si="16"/>
        <v>57.728003371089379</v>
      </c>
      <c r="DS19" s="58">
        <f t="shared" si="17"/>
        <v>333.95022559331159</v>
      </c>
      <c r="DT19" s="58">
        <f ca="1">AVERAGE(OFFSET($DS$3,0,0,'Données projet'!$E$14+1,1))-AVERAGE(OFFSET($H$3,0,0,'Données projet'!$E$14+1,1))</f>
        <v>332.49889399440514</v>
      </c>
      <c r="DU19" s="58">
        <f t="shared" si="44"/>
        <v>256.06044006790529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7.4358974358974361</v>
      </c>
      <c r="EJ19" s="13">
        <f>IF('Données projet'!$A$192&gt;35,EJ18+EI19-ER18,IF(A19&lt;'Données projet'!$A$192,$EG$205^A19,IF(A19='Données projet'!$A$192,'Données projet'!$B$192,EJ18+EI19-ER18)))</f>
        <v>49.743589743589745</v>
      </c>
      <c r="EK19" s="18">
        <f>EJ19*VLOOKUP('Données projet'!$B$15,Paramètres!$A$1:$I$89,3,0)*VLOOKUP('Données projet'!$B$15,Paramètres!$A$1:$I$89,5,0)</f>
        <v>51.992000000000012</v>
      </c>
      <c r="EL19" s="14">
        <f t="shared" si="45"/>
        <v>15.127026838938239</v>
      </c>
      <c r="EM19" s="22">
        <f t="shared" si="19"/>
        <v>116.89897174448413</v>
      </c>
      <c r="EN19" s="58">
        <f t="shared" si="20"/>
        <v>393.12119396670636</v>
      </c>
      <c r="EO19" s="58">
        <f ca="1">AVERAGE(OFFSET($EN$3,0,0,'Données projet'!$E$15+1,1))-AVERAGE(OFFSET($H$3,0,0,'Données projet'!$E$15+1,1))</f>
        <v>596.00698505207174</v>
      </c>
      <c r="EP19" s="58">
        <f t="shared" si="46"/>
        <v>378.16197659288338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7.2264102564102561</v>
      </c>
      <c r="FE19" s="13">
        <f>IF('Données projet'!$A$218&gt;35,FE18+FD19-FM18,IF(A19&lt;'Données projet'!$A$218,$FB$205^A19,IF(A19='Données projet'!$A$218,'Données projet'!$B$218,FE18+FD19-FM18)))</f>
        <v>17.61530077939495</v>
      </c>
      <c r="FF19" s="18">
        <f>FE19*VLOOKUP('Données projet'!$B$16,Paramètres!$A$1:$I$89,3,0)*VLOOKUP('Données projet'!$B$16,Paramètres!$A$1:$I$89,5,0)</f>
        <v>8.2439607647568369</v>
      </c>
      <c r="FG19" s="14">
        <f t="shared" si="47"/>
        <v>2.972006537558364</v>
      </c>
      <c r="FH19" s="22">
        <f t="shared" si="22"/>
        <v>19.534476384865641</v>
      </c>
      <c r="FI19" s="58">
        <f t="shared" si="23"/>
        <v>295.75669860708786</v>
      </c>
      <c r="FJ19" s="58">
        <f ca="1">AVERAGE(OFFSET($FI$3,0,0,'Données projet'!$E$16+1,1))-AVERAGE(OFFSET($H$3,0,0,'Données projet'!$E$16+1,1))</f>
        <v>294.31042006404056</v>
      </c>
      <c r="FK19" s="58">
        <f t="shared" si="48"/>
        <v>260.93767498478502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10</v>
      </c>
      <c r="FZ19" s="13">
        <f>IF('Données projet'!$A$244&gt;35,FZ18+FY19-GH18,IF(A19&lt;'Données projet'!$A$244,$FW$205^A19,IF(A19='Données projet'!$A$244,'Données projet'!$B$244,FZ18+FY19-GH18)))</f>
        <v>88.205128205128204</v>
      </c>
      <c r="GA19" s="18">
        <f>FZ19*VLOOKUP('Données projet'!$B$17,Paramètres!$A$1:$I$89,3,0)*VLOOKUP('Données projet'!$B$17,Paramètres!$A$1:$I$89,5,0)</f>
        <v>59.167999999999999</v>
      </c>
      <c r="GB19" s="14">
        <f t="shared" si="49"/>
        <v>16.957742660522214</v>
      </c>
      <c r="GC19" s="22">
        <f t="shared" si="25"/>
        <v>132.58566846707615</v>
      </c>
      <c r="GD19" s="58">
        <f t="shared" si="26"/>
        <v>408.80789068929835</v>
      </c>
      <c r="GE19" s="58">
        <f ca="1">AVERAGE(OFFSET($GD$3,0,0,'Données projet'!$E$17+1,1))-AVERAGE(OFFSET($H$3,0,0,'Données projet'!$E$17+1,1))</f>
        <v>362.1372269575329</v>
      </c>
      <c r="GF19" s="58">
        <f t="shared" si="50"/>
        <v>308.1559670593121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58" t="e">
        <f t="shared" si="29"/>
        <v>#N/A</v>
      </c>
      <c r="GZ19" s="58" t="e">
        <f ca="1">AVERAGE(OFFSET($GY$3,0,0,'Données projet'!$E$18+1,1))-AVERAGE(OFFSET($H$3,0,0,'Données projet'!$E$18+1,1))</f>
        <v>#N/A</v>
      </c>
      <c r="HA19" s="58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0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3">
        <f t="shared" si="1"/>
        <v>256.66666666666669</v>
      </c>
      <c r="I20" s="6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58">
        <f t="shared" si="0"/>
        <v>333.24472198839982</v>
      </c>
      <c r="S20" s="58">
        <f ca="1">AVERAGE(OFFSET($R$3,0,0,'Données projet'!$E$9+1,1))-AVERAGE(OFFSET($H$3,0,0,'Données projet'!$E$9+1,1))</f>
        <v>483.15009705023641</v>
      </c>
      <c r="T20" s="58">
        <f t="shared" si="34"/>
        <v>254.25036207346591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58">
        <f t="shared" si="5"/>
        <v>327.39580549186149</v>
      </c>
      <c r="AN20" s="58">
        <f ca="1">AVERAGE(OFFSET($AM$3,0,0,'Données projet'!$E$10+1,1))-AVERAGE(OFFSET($H$3,0,0,'Données projet'!$E$10+1,1))</f>
        <v>435.7095890216213</v>
      </c>
      <c r="AO20" s="58">
        <f t="shared" si="36"/>
        <v>231.36959598460686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9.1025641025641022</v>
      </c>
      <c r="BD20" s="13">
        <f>IF('Données projet'!$A$88&gt;35,BD19+BC20-BL19,IF(A20&lt;'Données projet'!$A$88,$BA$205^A20,IF(A20='Données projet'!$A$88,'Données projet'!$B$88,BD19+BC20-BL19)))</f>
        <v>60.512820512820504</v>
      </c>
      <c r="BE20" s="14">
        <f>BD20*VLOOKUP('Données projet'!$B$11,Paramètres!$A$1:$I$89,3,0)*VLOOKUP('Données projet'!$B$11,Paramètres!$A$1:$I$89,5,0)</f>
        <v>52.864000000000004</v>
      </c>
      <c r="BF20" s="14">
        <f t="shared" si="37"/>
        <v>15.350985437128195</v>
      </c>
      <c r="BG20" s="22">
        <f t="shared" si="7"/>
        <v>118.80776630299829</v>
      </c>
      <c r="BH20" s="58">
        <f t="shared" si="8"/>
        <v>396.25221074744275</v>
      </c>
      <c r="BI20" s="58">
        <f ca="1">AVERAGE(OFFSET($BH$3,0,0,'Données projet'!$E$11+1,1))-AVERAGE(OFFSET($H$3,0,0,'Données projet'!$E$11+1,1))</f>
        <v>218.76424742311815</v>
      </c>
      <c r="BJ20" s="58">
        <f t="shared" si="38"/>
        <v>264.34598683038593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2.2571428571428571</v>
      </c>
      <c r="BY20" s="13">
        <f>IF('Données projet'!$A$114&gt;35,BY19+BX20-CG19,IF(A20&lt;'Données projet'!$A$114,$BV$205^A20,IF(A20='Données projet'!$A$114,'Données projet'!$B$114,BY19+BX20-CG19)))</f>
        <v>8.3503482336913102</v>
      </c>
      <c r="BZ20" s="14">
        <f>BY20*VLOOKUP('Données projet'!$B$12,Paramètres!$A$1:$I$89,3,0)*VLOOKUP('Données projet'!$B$12,Paramètres!$A$1:$I$89,5,0)</f>
        <v>8.076456811626235</v>
      </c>
      <c r="CA20" s="14">
        <f t="shared" si="39"/>
        <v>2.9185855643101415</v>
      </c>
      <c r="CB20" s="22">
        <f t="shared" si="10"/>
        <v>19.149698804755854</v>
      </c>
      <c r="CC20" s="58">
        <f t="shared" si="11"/>
        <v>296.59414324920033</v>
      </c>
      <c r="CD20" s="58">
        <f ca="1">AVERAGE(OFFSET($CC$3,0,0,'Données projet'!$E$12+1,1))-AVERAGE(OFFSET($H$3,0,0,'Données projet'!$E$12+1,1))</f>
        <v>343.86347628565426</v>
      </c>
      <c r="CE20" s="58">
        <f t="shared" si="40"/>
        <v>129.28196646107097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58" t="e">
        <f t="shared" si="14"/>
        <v>#N/A</v>
      </c>
      <c r="CY20" s="58" t="e">
        <f ca="1">AVERAGE(OFFSET($CX$3,0,0,'Données projet'!$E$13+1,1))-AVERAGE(OFFSET($H$3,0,0,'Données projet'!$E$13+1,1))</f>
        <v>#N/A</v>
      </c>
      <c r="CZ20" s="58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</v>
      </c>
      <c r="DO20" s="13">
        <f>IF('Données projet'!$A$166&gt;35,DO19+DN20-DW19,IF(A20&lt;'Données projet'!$A$166,$DL$205^A20,IF(A20='Données projet'!$A$166,'Données projet'!$B$166,DO19+DN20-DW19)))</f>
        <v>32.465983442348552</v>
      </c>
      <c r="DP20" s="18">
        <f>DO20*VLOOKUP('Données projet'!$B$14,Paramètres!$A$1:$I$89,3,0)*VLOOKUP('Données projet'!$B$14,Paramètres!$A$1:$I$89,5,0)</f>
        <v>30.894629843738883</v>
      </c>
      <c r="DQ20" s="14">
        <f t="shared" si="43"/>
        <v>9.5502046980489848</v>
      </c>
      <c r="DR20" s="22">
        <f t="shared" si="16"/>
        <v>70.441420160280543</v>
      </c>
      <c r="DS20" s="58">
        <f t="shared" si="17"/>
        <v>347.88586460472499</v>
      </c>
      <c r="DT20" s="58">
        <f ca="1">AVERAGE(OFFSET($DS$3,0,0,'Données projet'!$E$14+1,1))-AVERAGE(OFFSET($H$3,0,0,'Données projet'!$E$14+1,1))</f>
        <v>332.49889399440514</v>
      </c>
      <c r="DU20" s="58">
        <f t="shared" si="44"/>
        <v>256.06044006790529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7.4358974358974361</v>
      </c>
      <c r="EJ20" s="13">
        <f>IF('Données projet'!$A$192&gt;35,EJ19+EI20-ER19,IF(A20&lt;'Données projet'!$A$192,$EG$205^A20,IF(A20='Données projet'!$A$192,'Données projet'!$B$192,EJ19+EI20-ER19)))</f>
        <v>57.179487179487182</v>
      </c>
      <c r="EK20" s="18">
        <f>EJ20*VLOOKUP('Données projet'!$B$15,Paramètres!$A$1:$I$89,3,0)*VLOOKUP('Données projet'!$B$15,Paramètres!$A$1:$I$89,5,0)</f>
        <v>59.76400000000001</v>
      </c>
      <c r="EL20" s="14">
        <f t="shared" si="45"/>
        <v>17.108587128719051</v>
      </c>
      <c r="EM20" s="22">
        <f t="shared" si="19"/>
        <v>133.88642258251903</v>
      </c>
      <c r="EN20" s="58">
        <f t="shared" si="20"/>
        <v>411.33086702696346</v>
      </c>
      <c r="EO20" s="58">
        <f ca="1">AVERAGE(OFFSET($EN$3,0,0,'Données projet'!$E$15+1,1))-AVERAGE(OFFSET($H$3,0,0,'Données projet'!$E$15+1,1))</f>
        <v>596.00698505207174</v>
      </c>
      <c r="EP20" s="58">
        <f t="shared" si="46"/>
        <v>378.16197659288338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7.2264102564102561</v>
      </c>
      <c r="FE20" s="13">
        <f>IF('Données projet'!$A$218&gt;35,FE19+FD20-FM19,IF(A20&lt;'Données projet'!$A$218,$FB$205^A20,IF(A20='Données projet'!$A$218,'Données projet'!$B$218,FE19+FD20-FM19)))</f>
        <v>21.074544276434004</v>
      </c>
      <c r="FF20" s="18">
        <f>FE20*VLOOKUP('Données projet'!$B$16,Paramètres!$A$1:$I$89,3,0)*VLOOKUP('Données projet'!$B$16,Paramètres!$A$1:$I$89,5,0)</f>
        <v>9.8628867213711136</v>
      </c>
      <c r="FG20" s="14">
        <f t="shared" si="47"/>
        <v>3.4822026296536168</v>
      </c>
      <c r="FH20" s="22">
        <f t="shared" si="22"/>
        <v>23.24269728636807</v>
      </c>
      <c r="FI20" s="58">
        <f t="shared" si="23"/>
        <v>300.68714173081253</v>
      </c>
      <c r="FJ20" s="58">
        <f ca="1">AVERAGE(OFFSET($FI$3,0,0,'Données projet'!$E$16+1,1))-AVERAGE(OFFSET($H$3,0,0,'Données projet'!$E$16+1,1))</f>
        <v>294.31042006404056</v>
      </c>
      <c r="FK20" s="58">
        <f t="shared" si="48"/>
        <v>260.93767498478502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10</v>
      </c>
      <c r="FZ20" s="13">
        <f>IF('Données projet'!$A$244&gt;35,FZ19+FY20-GH19,IF(A20&lt;'Données projet'!$A$244,$FW$205^A20,IF(A20='Données projet'!$A$244,'Données projet'!$B$244,FZ19+FY20-GH19)))</f>
        <v>98.205128205128204</v>
      </c>
      <c r="GA20" s="18">
        <f>FZ20*VLOOKUP('Données projet'!$B$17,Paramètres!$A$1:$I$89,3,0)*VLOOKUP('Données projet'!$B$17,Paramètres!$A$1:$I$89,5,0)</f>
        <v>65.876000000000005</v>
      </c>
      <c r="GB20" s="14">
        <f t="shared" si="49"/>
        <v>18.64573198002007</v>
      </c>
      <c r="GC20" s="22">
        <f t="shared" si="25"/>
        <v>147.20868319853497</v>
      </c>
      <c r="GD20" s="58">
        <f t="shared" si="26"/>
        <v>424.65312764297943</v>
      </c>
      <c r="GE20" s="58">
        <f ca="1">AVERAGE(OFFSET($GD$3,0,0,'Données projet'!$E$17+1,1))-AVERAGE(OFFSET($H$3,0,0,'Données projet'!$E$17+1,1))</f>
        <v>362.1372269575329</v>
      </c>
      <c r="GF20" s="58">
        <f t="shared" si="50"/>
        <v>308.1559670593121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58" t="e">
        <f t="shared" si="29"/>
        <v>#N/A</v>
      </c>
      <c r="GZ20" s="58" t="e">
        <f ca="1">AVERAGE(OFFSET($GY$3,0,0,'Données projet'!$E$18+1,1))-AVERAGE(OFFSET($H$3,0,0,'Données projet'!$E$18+1,1))</f>
        <v>#N/A</v>
      </c>
      <c r="HA20" s="58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0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3">
        <f t="shared" si="1"/>
        <v>256.66666666666669</v>
      </c>
      <c r="I21" s="6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58">
        <f t="shared" si="0"/>
        <v>345.58404036091088</v>
      </c>
      <c r="S21" s="58">
        <f ca="1">AVERAGE(OFFSET($R$3,0,0,'Données projet'!$E$9+1,1))-AVERAGE(OFFSET($H$3,0,0,'Données projet'!$E$9+1,1))</f>
        <v>483.15009705023641</v>
      </c>
      <c r="T21" s="58">
        <f t="shared" si="34"/>
        <v>254.25036207346591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58">
        <f t="shared" si="5"/>
        <v>338.56668739624723</v>
      </c>
      <c r="AN21" s="58">
        <f ca="1">AVERAGE(OFFSET($AM$3,0,0,'Données projet'!$E$10+1,1))-AVERAGE(OFFSET($H$3,0,0,'Données projet'!$E$10+1,1))</f>
        <v>435.7095890216213</v>
      </c>
      <c r="AO21" s="58">
        <f t="shared" si="36"/>
        <v>231.36959598460686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9.1025641025641022</v>
      </c>
      <c r="BD21" s="13">
        <f>IF('Données projet'!$A$88&gt;35,BD20+BC21-BL20,IF(A21&lt;'Données projet'!$A$88,$BA$205^A21,IF(A21='Données projet'!$A$88,'Données projet'!$B$88,BD20+BC21-BL20)))</f>
        <v>69.615384615384613</v>
      </c>
      <c r="BE21" s="14">
        <f>BD21*VLOOKUP('Données projet'!$B$11,Paramètres!$A$1:$I$89,3,0)*VLOOKUP('Données projet'!$B$11,Paramètres!$A$1:$I$89,5,0)</f>
        <v>60.81600000000001</v>
      </c>
      <c r="BF21" s="14">
        <f t="shared" si="37"/>
        <v>17.374416936240763</v>
      </c>
      <c r="BG21" s="22">
        <f t="shared" si="7"/>
        <v>136.18164283061935</v>
      </c>
      <c r="BH21" s="58">
        <f t="shared" si="8"/>
        <v>414.84830949728604</v>
      </c>
      <c r="BI21" s="58">
        <f ca="1">AVERAGE(OFFSET($BH$3,0,0,'Données projet'!$E$11+1,1))-AVERAGE(OFFSET($H$3,0,0,'Données projet'!$E$11+1,1))</f>
        <v>218.76424742311815</v>
      </c>
      <c r="BJ21" s="58">
        <f t="shared" si="38"/>
        <v>264.34598683038593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2.2571428571428571</v>
      </c>
      <c r="BY21" s="13">
        <f>IF('Données projet'!$A$114&gt;35,BY20+BX21-CG20,IF(A21&lt;'Données projet'!$A$114,$BV$205^A21,IF(A21='Données projet'!$A$114,'Données projet'!$B$114,BY20+BX21-CG20)))</f>
        <v>9.4606832899803308</v>
      </c>
      <c r="BZ21" s="14">
        <f>BY21*VLOOKUP('Données projet'!$B$12,Paramètres!$A$1:$I$89,3,0)*VLOOKUP('Données projet'!$B$12,Paramètres!$A$1:$I$89,5,0)</f>
        <v>9.1503728780689766</v>
      </c>
      <c r="CA21" s="14">
        <f t="shared" si="39"/>
        <v>3.2589626369287594</v>
      </c>
      <c r="CB21" s="22">
        <f t="shared" si="10"/>
        <v>21.61292602195439</v>
      </c>
      <c r="CC21" s="58">
        <f t="shared" si="11"/>
        <v>300.27959268862105</v>
      </c>
      <c r="CD21" s="58">
        <f ca="1">AVERAGE(OFFSET($CC$3,0,0,'Données projet'!$E$12+1,1))-AVERAGE(OFFSET($H$3,0,0,'Données projet'!$E$12+1,1))</f>
        <v>343.86347628565426</v>
      </c>
      <c r="CE21" s="58">
        <f t="shared" si="40"/>
        <v>129.28196646107097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58" t="e">
        <f t="shared" si="14"/>
        <v>#N/A</v>
      </c>
      <c r="CY21" s="58" t="e">
        <f ca="1">AVERAGE(OFFSET($CX$3,0,0,'Données projet'!$E$13+1,1))-AVERAGE(OFFSET($H$3,0,0,'Données projet'!$E$13+1,1))</f>
        <v>#N/A</v>
      </c>
      <c r="CZ21" s="58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</v>
      </c>
      <c r="DO21" s="13">
        <f>IF('Données projet'!$A$166&gt;35,DO20+DN21-DW20,IF(A21&lt;'Données projet'!$A$166,$DL$205^A21,IF(A21='Données projet'!$A$166,'Données projet'!$B$166,DO20+DN21-DW20)))</f>
        <v>39.841540773407601</v>
      </c>
      <c r="DP21" s="18">
        <f>DO21*VLOOKUP('Données projet'!$B$14,Paramètres!$A$1:$I$89,3,0)*VLOOKUP('Données projet'!$B$14,Paramètres!$A$1:$I$89,5,0)</f>
        <v>37.913210199974671</v>
      </c>
      <c r="DQ21" s="14">
        <f t="shared" si="43"/>
        <v>11.443830128638638</v>
      </c>
      <c r="DR21" s="22">
        <f t="shared" si="16"/>
        <v>85.96351190566817</v>
      </c>
      <c r="DS21" s="58">
        <f t="shared" si="17"/>
        <v>364.63017857233484</v>
      </c>
      <c r="DT21" s="58">
        <f ca="1">AVERAGE(OFFSET($DS$3,0,0,'Données projet'!$E$14+1,1))-AVERAGE(OFFSET($H$3,0,0,'Données projet'!$E$14+1,1))</f>
        <v>332.49889399440514</v>
      </c>
      <c r="DU21" s="58">
        <f t="shared" si="44"/>
        <v>256.06044006790529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7.4358974358974361</v>
      </c>
      <c r="EJ21" s="13">
        <f>IF('Données projet'!$A$192&gt;35,EJ20+EI21-ER20,IF(A21&lt;'Données projet'!$A$192,$EG$205^A21,IF(A21='Données projet'!$A$192,'Données projet'!$B$192,EJ20+EI21-ER20)))</f>
        <v>64.615384615384613</v>
      </c>
      <c r="EK21" s="18">
        <f>EJ21*VLOOKUP('Données projet'!$B$15,Paramètres!$A$1:$I$89,3,0)*VLOOKUP('Données projet'!$B$15,Paramètres!$A$1:$I$89,5,0)</f>
        <v>67.536000000000001</v>
      </c>
      <c r="EL21" s="14">
        <f t="shared" si="45"/>
        <v>19.060289237119235</v>
      </c>
      <c r="EM21" s="22">
        <f t="shared" si="19"/>
        <v>150.82187042131599</v>
      </c>
      <c r="EN21" s="58">
        <f t="shared" si="20"/>
        <v>429.48853708798265</v>
      </c>
      <c r="EO21" s="58">
        <f ca="1">AVERAGE(OFFSET($EN$3,0,0,'Données projet'!$E$15+1,1))-AVERAGE(OFFSET($H$3,0,0,'Données projet'!$E$15+1,1))</f>
        <v>596.00698505207174</v>
      </c>
      <c r="EP21" s="58">
        <f t="shared" si="46"/>
        <v>378.16197659288338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7.2264102564102561</v>
      </c>
      <c r="FE21" s="13">
        <f>IF('Données projet'!$A$218&gt;35,FE20+FD21-FM20,IF(A21&lt;'Données projet'!$A$218,$FB$205^A21,IF(A21='Données projet'!$A$218,'Données projet'!$B$218,FE20+FD21-FM20)))</f>
        <v>25.213104335913162</v>
      </c>
      <c r="FF21" s="18">
        <f>FE21*VLOOKUP('Données projet'!$B$16,Paramètres!$A$1:$I$89,3,0)*VLOOKUP('Données projet'!$B$16,Paramètres!$A$1:$I$89,5,0)</f>
        <v>11.799732829207361</v>
      </c>
      <c r="FG21" s="14">
        <f t="shared" si="47"/>
        <v>4.079982665155371</v>
      </c>
      <c r="FH21" s="22">
        <f t="shared" si="22"/>
        <v>27.657171152681755</v>
      </c>
      <c r="FI21" s="58">
        <f t="shared" si="23"/>
        <v>306.32383781934846</v>
      </c>
      <c r="FJ21" s="58">
        <f ca="1">AVERAGE(OFFSET($FI$3,0,0,'Données projet'!$E$16+1,1))-AVERAGE(OFFSET($H$3,0,0,'Données projet'!$E$16+1,1))</f>
        <v>294.31042006404056</v>
      </c>
      <c r="FK21" s="58">
        <f t="shared" si="48"/>
        <v>260.93767498478502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10</v>
      </c>
      <c r="FZ21" s="13">
        <f>IF('Données projet'!$A$244&gt;35,FZ20+FY21-GH20,IF(A21&lt;'Données projet'!$A$244,$FW$205^A21,IF(A21='Données projet'!$A$244,'Données projet'!$B$244,FZ20+FY21-GH20)))</f>
        <v>108.2051282051282</v>
      </c>
      <c r="GA21" s="18">
        <f>FZ21*VLOOKUP('Données projet'!$B$17,Paramètres!$A$1:$I$89,3,0)*VLOOKUP('Données projet'!$B$17,Paramètres!$A$1:$I$89,5,0)</f>
        <v>72.584000000000003</v>
      </c>
      <c r="GB21" s="14">
        <f t="shared" si="49"/>
        <v>20.313795787810648</v>
      </c>
      <c r="GC21" s="22">
        <f t="shared" si="25"/>
        <v>161.79699433043689</v>
      </c>
      <c r="GD21" s="58">
        <f t="shared" si="26"/>
        <v>440.4636609971036</v>
      </c>
      <c r="GE21" s="58">
        <f ca="1">AVERAGE(OFFSET($GD$3,0,0,'Données projet'!$E$17+1,1))-AVERAGE(OFFSET($H$3,0,0,'Données projet'!$E$17+1,1))</f>
        <v>362.1372269575329</v>
      </c>
      <c r="GF21" s="58">
        <f t="shared" si="50"/>
        <v>308.1559670593121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58" t="e">
        <f t="shared" si="29"/>
        <v>#N/A</v>
      </c>
      <c r="GZ21" s="58" t="e">
        <f ca="1">AVERAGE(OFFSET($GY$3,0,0,'Données projet'!$E$18+1,1))-AVERAGE(OFFSET($H$3,0,0,'Données projet'!$E$18+1,1))</f>
        <v>#N/A</v>
      </c>
      <c r="HA21" s="58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0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3">
        <f t="shared" si="1"/>
        <v>256.66666666666669</v>
      </c>
      <c r="I22" s="6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58">
        <f t="shared" si="0"/>
        <v>360.14509112992164</v>
      </c>
      <c r="S22" s="58">
        <f ca="1">AVERAGE(OFFSET($R$3,0,0,'Données projet'!$E$9+1,1))-AVERAGE(OFFSET($H$3,0,0,'Données projet'!$E$9+1,1))</f>
        <v>483.15009705023641</v>
      </c>
      <c r="T22" s="58">
        <f t="shared" si="34"/>
        <v>254.25036207346591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58">
        <f t="shared" si="5"/>
        <v>351.72520722798015</v>
      </c>
      <c r="AN22" s="58">
        <f ca="1">AVERAGE(OFFSET($AM$3,0,0,'Données projet'!$E$10+1,1))-AVERAGE(OFFSET($H$3,0,0,'Données projet'!$E$10+1,1))</f>
        <v>435.7095890216213</v>
      </c>
      <c r="AO22" s="58">
        <f t="shared" si="36"/>
        <v>231.36959598460686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9.1025641025641022</v>
      </c>
      <c r="BD22" s="13">
        <f>IF('Données projet'!$A$88&gt;35,BD21+BC22-BL21,IF(A22&lt;'Données projet'!$A$88,$BA$205^A22,IF(A22='Données projet'!$A$88,'Données projet'!$B$88,BD21+BC22-BL21)))</f>
        <v>78.717948717948715</v>
      </c>
      <c r="BE22" s="14">
        <f>BD22*VLOOKUP('Données projet'!$B$11,Paramètres!$A$1:$I$89,3,0)*VLOOKUP('Données projet'!$B$11,Paramètres!$A$1:$I$89,5,0)</f>
        <v>68.768000000000001</v>
      </c>
      <c r="BF22" s="14">
        <f t="shared" si="37"/>
        <v>19.367193088653966</v>
      </c>
      <c r="BG22" s="22">
        <f t="shared" si="7"/>
        <v>153.50212796273897</v>
      </c>
      <c r="BH22" s="58">
        <f t="shared" si="8"/>
        <v>433.3910168516278</v>
      </c>
      <c r="BI22" s="58">
        <f ca="1">AVERAGE(OFFSET($BH$3,0,0,'Données projet'!$E$11+1,1))-AVERAGE(OFFSET($H$3,0,0,'Données projet'!$E$11+1,1))</f>
        <v>218.76424742311815</v>
      </c>
      <c r="BJ22" s="58">
        <f t="shared" si="38"/>
        <v>264.34598683038593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2.2571428571428571</v>
      </c>
      <c r="BY22" s="13">
        <f>IF('Données projet'!$A$114&gt;35,BY21+BX22-CG21,IF(A22&lt;'Données projet'!$A$114,$BV$205^A22,IF(A22='Données projet'!$A$114,'Données projet'!$B$114,BY21+BX22-CG21)))</f>
        <v>10.718658169510514</v>
      </c>
      <c r="BZ22" s="14">
        <f>BY22*VLOOKUP('Données projet'!$B$12,Paramètres!$A$1:$I$89,3,0)*VLOOKUP('Données projet'!$B$12,Paramètres!$A$1:$I$89,5,0)</f>
        <v>10.367086181550569</v>
      </c>
      <c r="CA22" s="14">
        <f t="shared" si="39"/>
        <v>3.6390358394060209</v>
      </c>
      <c r="CB22" s="22">
        <f t="shared" si="10"/>
        <v>24.393995853166057</v>
      </c>
      <c r="CC22" s="58">
        <f t="shared" si="11"/>
        <v>304.28288474205493</v>
      </c>
      <c r="CD22" s="58">
        <f ca="1">AVERAGE(OFFSET($CC$3,0,0,'Données projet'!$E$12+1,1))-AVERAGE(OFFSET($H$3,0,0,'Données projet'!$E$12+1,1))</f>
        <v>343.86347628565426</v>
      </c>
      <c r="CE22" s="58">
        <f t="shared" si="40"/>
        <v>129.28196646107097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58" t="e">
        <f t="shared" si="14"/>
        <v>#N/A</v>
      </c>
      <c r="CY22" s="58" t="e">
        <f ca="1">AVERAGE(OFFSET($CX$3,0,0,'Données projet'!$E$13+1,1))-AVERAGE(OFFSET($H$3,0,0,'Données projet'!$E$13+1,1))</f>
        <v>#N/A</v>
      </c>
      <c r="CZ22" s="58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</v>
      </c>
      <c r="DO22" s="13">
        <f>IF('Données projet'!$A$166&gt;35,DO21+DN22-DW21,IF(A22&lt;'Données projet'!$A$166,$DL$205^A22,IF(A22='Données projet'!$A$166,'Données projet'!$B$166,DO21+DN22-DW21)))</f>
        <v>48.892662500670369</v>
      </c>
      <c r="DP22" s="18">
        <f>DO22*VLOOKUP('Données projet'!$B$14,Paramètres!$A$1:$I$89,3,0)*VLOOKUP('Données projet'!$B$14,Paramètres!$A$1:$I$89,5,0)</f>
        <v>46.526257635637926</v>
      </c>
      <c r="DQ22" s="14">
        <f t="shared" si="43"/>
        <v>13.71292575957996</v>
      </c>
      <c r="DR22" s="22">
        <f t="shared" si="16"/>
        <v>104.91657774667114</v>
      </c>
      <c r="DS22" s="58">
        <f t="shared" si="17"/>
        <v>384.80546663555998</v>
      </c>
      <c r="DT22" s="58">
        <f ca="1">AVERAGE(OFFSET($DS$3,0,0,'Données projet'!$E$14+1,1))-AVERAGE(OFFSET($H$3,0,0,'Données projet'!$E$14+1,1))</f>
        <v>332.49889399440514</v>
      </c>
      <c r="DU22" s="58">
        <f t="shared" si="44"/>
        <v>256.06044006790529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7.4358974358974361</v>
      </c>
      <c r="EJ22" s="13">
        <f>IF('Données projet'!$A$192&gt;35,EJ21+EI22-ER21,IF(A22&lt;'Données projet'!$A$192,$EG$205^A22,IF(A22='Données projet'!$A$192,'Données projet'!$B$192,EJ21+EI22-ER21)))</f>
        <v>72.051282051282044</v>
      </c>
      <c r="EK22" s="18">
        <f>EJ22*VLOOKUP('Données projet'!$B$15,Paramètres!$A$1:$I$89,3,0)*VLOOKUP('Données projet'!$B$15,Paramètres!$A$1:$I$89,5,0)</f>
        <v>75.308000000000007</v>
      </c>
      <c r="EL22" s="14">
        <f t="shared" si="45"/>
        <v>20.985961565400835</v>
      </c>
      <c r="EM22" s="22">
        <f t="shared" si="19"/>
        <v>167.71198305973982</v>
      </c>
      <c r="EN22" s="58">
        <f t="shared" si="20"/>
        <v>447.60087194862865</v>
      </c>
      <c r="EO22" s="58">
        <f ca="1">AVERAGE(OFFSET($EN$3,0,0,'Données projet'!$E$15+1,1))-AVERAGE(OFFSET($H$3,0,0,'Données projet'!$E$15+1,1))</f>
        <v>596.00698505207174</v>
      </c>
      <c r="EP22" s="58">
        <f t="shared" si="46"/>
        <v>378.16197659288338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7.2264102564102561</v>
      </c>
      <c r="FE22" s="13">
        <f>IF('Données projet'!$A$218&gt;35,FE21+FD22-FM21,IF(A22&lt;'Données projet'!$A$218,$FB$205^A22,IF(A22='Données projet'!$A$218,'Données projet'!$B$218,FE21+FD22-FM21)))</f>
        <v>30.164383244315122</v>
      </c>
      <c r="FF22" s="18">
        <f>FE22*VLOOKUP('Données projet'!$B$16,Paramètres!$A$1:$I$89,3,0)*VLOOKUP('Données projet'!$B$16,Paramètres!$A$1:$I$89,5,0)</f>
        <v>14.116931358339476</v>
      </c>
      <c r="FG22" s="14">
        <f t="shared" si="47"/>
        <v>4.7803819359082427</v>
      </c>
      <c r="FH22" s="22">
        <f t="shared" si="22"/>
        <v>32.912820654148106</v>
      </c>
      <c r="FI22" s="58">
        <f t="shared" si="23"/>
        <v>312.80170954303696</v>
      </c>
      <c r="FJ22" s="58">
        <f ca="1">AVERAGE(OFFSET($FI$3,0,0,'Données projet'!$E$16+1,1))-AVERAGE(OFFSET($H$3,0,0,'Données projet'!$E$16+1,1))</f>
        <v>294.31042006404056</v>
      </c>
      <c r="FK22" s="58">
        <f t="shared" si="48"/>
        <v>260.93767498478502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10</v>
      </c>
      <c r="FZ22" s="13">
        <f>IF('Données projet'!$A$244&gt;35,FZ21+FY22-GH21,IF(A22&lt;'Données projet'!$A$244,$FW$205^A22,IF(A22='Données projet'!$A$244,'Données projet'!$B$244,FZ21+FY22-GH21)))</f>
        <v>118.2051282051282</v>
      </c>
      <c r="GA22" s="18">
        <f>FZ22*VLOOKUP('Données projet'!$B$17,Paramètres!$A$1:$I$89,3,0)*VLOOKUP('Données projet'!$B$17,Paramètres!$A$1:$I$89,5,0)</f>
        <v>79.292000000000002</v>
      </c>
      <c r="GB22" s="14">
        <f t="shared" si="49"/>
        <v>21.96398498934548</v>
      </c>
      <c r="GC22" s="22">
        <f t="shared" si="25"/>
        <v>176.35417385644337</v>
      </c>
      <c r="GD22" s="58">
        <f t="shared" si="26"/>
        <v>456.24306274533222</v>
      </c>
      <c r="GE22" s="58">
        <f ca="1">AVERAGE(OFFSET($GD$3,0,0,'Données projet'!$E$17+1,1))-AVERAGE(OFFSET($H$3,0,0,'Données projet'!$E$17+1,1))</f>
        <v>362.1372269575329</v>
      </c>
      <c r="GF22" s="58">
        <f t="shared" si="50"/>
        <v>308.1559670593121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58" t="e">
        <f t="shared" si="29"/>
        <v>#N/A</v>
      </c>
      <c r="GZ22" s="58" t="e">
        <f ca="1">AVERAGE(OFFSET($GY$3,0,0,'Données projet'!$E$18+1,1))-AVERAGE(OFFSET($H$3,0,0,'Données projet'!$E$18+1,1))</f>
        <v>#N/A</v>
      </c>
      <c r="HA22" s="58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0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3">
        <f t="shared" si="1"/>
        <v>256.66666666666669</v>
      </c>
      <c r="I23" s="6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58">
        <f t="shared" si="0"/>
        <v>377.37315625071483</v>
      </c>
      <c r="S23" s="58">
        <f ca="1">AVERAGE(OFFSET($R$3,0,0,'Données projet'!$E$9+1,1))-AVERAGE(OFFSET($H$3,0,0,'Données projet'!$E$9+1,1))</f>
        <v>483.15009705023641</v>
      </c>
      <c r="T23" s="58">
        <f t="shared" si="34"/>
        <v>254.25036207346591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1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58">
        <f t="shared" si="5"/>
        <v>367.26962158162712</v>
      </c>
      <c r="AN23" s="58">
        <f ca="1">AVERAGE(OFFSET($AM$3,0,0,'Données projet'!$E$10+1,1))-AVERAGE(OFFSET($H$3,0,0,'Données projet'!$E$10+1,1))</f>
        <v>435.7095890216213</v>
      </c>
      <c r="AO23" s="58">
        <f t="shared" si="36"/>
        <v>231.36959598460686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87.820512820512818</v>
      </c>
      <c r="BB23" s="13">
        <f>VLOOKUP(A23,'Données projet'!$A$87:$I$107,9,0)</f>
        <v>9.1025641025641022</v>
      </c>
      <c r="BC23" s="13">
        <f t="array" ref="BC23">INDEX(BB:BB,MIN(IF(ISNUMBER(BB23:BB219),ROW(BB23:BB219),"")))</f>
        <v>9.1025641025641022</v>
      </c>
      <c r="BD23" s="13">
        <f>IF('Données projet'!$A$88&gt;35,BD22+BC23-BL22,IF(A23&lt;'Données projet'!$A$88,$BA$205^A23,IF(A23='Données projet'!$A$88,'Données projet'!$B$88,BD22+BC23-BL22)))</f>
        <v>87.820512820512818</v>
      </c>
      <c r="BE23" s="14">
        <f>BD23*VLOOKUP('Données projet'!$B$11,Paramètres!$A$1:$I$89,3,0)*VLOOKUP('Données projet'!$B$11,Paramètres!$A$1:$I$89,5,0)</f>
        <v>76.720000000000013</v>
      </c>
      <c r="BF23" s="14">
        <f t="shared" si="37"/>
        <v>21.333263551360414</v>
      </c>
      <c r="BG23" s="22">
        <f t="shared" si="7"/>
        <v>170.77610068528608</v>
      </c>
      <c r="BH23" s="58">
        <f t="shared" si="8"/>
        <v>451.8872117963972</v>
      </c>
      <c r="BI23" s="58">
        <f ca="1">AVERAGE(OFFSET($BH$3,0,0,'Données projet'!$E$11+1,1))-AVERAGE(OFFSET($H$3,0,0,'Données projet'!$E$11+1,1))</f>
        <v>218.76424742311815</v>
      </c>
      <c r="BJ23" s="58">
        <f t="shared" si="38"/>
        <v>264.34598683038593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27.564102564102562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2.2571428571428571</v>
      </c>
      <c r="BY23" s="13">
        <f>IF('Données projet'!$A$114&gt;35,BY22+BX23-CG22,IF(A23&lt;'Données projet'!$A$114,$BV$205^A23,IF(A23='Données projet'!$A$114,'Données projet'!$B$114,BY22+BX23-CG22)))</f>
        <v>12.143904349540204</v>
      </c>
      <c r="BZ23" s="14">
        <f>BY23*VLOOKUP('Données projet'!$B$12,Paramètres!$A$1:$I$89,3,0)*VLOOKUP('Données projet'!$B$12,Paramètres!$A$1:$I$89,5,0)</f>
        <v>11.745584286875285</v>
      </c>
      <c r="CA23" s="14">
        <f t="shared" si="39"/>
        <v>4.0634346925073261</v>
      </c>
      <c r="CB23" s="22">
        <f t="shared" si="10"/>
        <v>27.534041389091382</v>
      </c>
      <c r="CC23" s="58">
        <f t="shared" si="11"/>
        <v>308.64515250020253</v>
      </c>
      <c r="CD23" s="58">
        <f ca="1">AVERAGE(OFFSET($CC$3,0,0,'Données projet'!$E$12+1,1))-AVERAGE(OFFSET($H$3,0,0,'Données projet'!$E$12+1,1))</f>
        <v>343.86347628565426</v>
      </c>
      <c r="CE23" s="58">
        <f t="shared" si="40"/>
        <v>129.28196646107097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58" t="e">
        <f t="shared" si="14"/>
        <v>#N/A</v>
      </c>
      <c r="CY23" s="58" t="e">
        <f ca="1">AVERAGE(OFFSET($CX$3,0,0,'Données projet'!$E$13+1,1))-AVERAGE(OFFSET($H$3,0,0,'Données projet'!$E$13+1,1))</f>
        <v>#N/A</v>
      </c>
      <c r="CZ23" s="58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60</v>
      </c>
      <c r="DM23" s="13">
        <f>VLOOKUP(A23,'Données projet'!$A$165:$I$185,9,0)</f>
        <v>3</v>
      </c>
      <c r="DN23" s="13">
        <f t="array" ref="DN23">INDEX(DM:DM,MIN(IF(ISNUMBER(DM23:DM219),ROW(DM23:DM219),"")))</f>
        <v>3</v>
      </c>
      <c r="DO23" s="13">
        <f>IF('Données projet'!$A$166&gt;35,DO22+DN23-DW22,IF(A23&lt;'Données projet'!$A$166,$DL$205^A23,IF(A23='Données projet'!$A$166,'Données projet'!$B$166,DO22+DN23-DW22)))</f>
        <v>60</v>
      </c>
      <c r="DP23" s="18">
        <f>DO23*VLOOKUP('Données projet'!$B$14,Paramètres!$A$1:$I$89,3,0)*VLOOKUP('Données projet'!$B$14,Paramètres!$A$1:$I$89,5,0)</f>
        <v>57.096000000000004</v>
      </c>
      <c r="DQ23" s="14">
        <f t="shared" si="43"/>
        <v>16.431940248498016</v>
      </c>
      <c r="DR23" s="22">
        <f t="shared" si="16"/>
        <v>128.06116259946739</v>
      </c>
      <c r="DS23" s="58">
        <f t="shared" si="17"/>
        <v>409.17227371057857</v>
      </c>
      <c r="DT23" s="58">
        <f ca="1">AVERAGE(OFFSET($DS$3,0,0,'Données projet'!$E$14+1,1))-AVERAGE(OFFSET($H$3,0,0,'Données projet'!$E$14+1,1))</f>
        <v>332.49889399440514</v>
      </c>
      <c r="DU23" s="58">
        <f t="shared" si="44"/>
        <v>256.06044006790529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15.384615384615383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79.487179487179489</v>
      </c>
      <c r="EH23" s="13">
        <f>VLOOKUP(A23,'Données projet'!$A$191:$I$211,9,0)</f>
        <v>7.4358974358974361</v>
      </c>
      <c r="EI23" s="13">
        <f t="array" ref="EI23">INDEX(EH:EH,MIN(IF(ISNUMBER(EH23:EH219),ROW(EH23:EH219),"")))</f>
        <v>7.4358974358974361</v>
      </c>
      <c r="EJ23" s="13">
        <f>IF('Données projet'!$A$192&gt;35,EJ22+EI23-ER22,IF(A23&lt;'Données projet'!$A$192,$EG$205^A23,IF(A23='Données projet'!$A$192,'Données projet'!$B$192,EJ22+EI23-ER22)))</f>
        <v>79.487179487179475</v>
      </c>
      <c r="EK23" s="18">
        <f>EJ23*VLOOKUP('Données projet'!$B$15,Paramètres!$A$1:$I$89,3,0)*VLOOKUP('Données projet'!$B$15,Paramètres!$A$1:$I$89,5,0)</f>
        <v>83.079999999999984</v>
      </c>
      <c r="EL23" s="14">
        <f t="shared" si="45"/>
        <v>22.888596418138132</v>
      </c>
      <c r="EM23" s="22">
        <f t="shared" si="19"/>
        <v>184.5619720949239</v>
      </c>
      <c r="EN23" s="58">
        <f t="shared" si="20"/>
        <v>465.67308320603502</v>
      </c>
      <c r="EO23" s="58">
        <f ca="1">AVERAGE(OFFSET($EN$3,0,0,'Données projet'!$E$15+1,1))-AVERAGE(OFFSET($H$3,0,0,'Données projet'!$E$15+1,1))</f>
        <v>596.00698505207174</v>
      </c>
      <c r="EP23" s="58">
        <f t="shared" si="46"/>
        <v>378.16197659288338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12.820512820512819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7.2264102564102561</v>
      </c>
      <c r="FE23" s="13">
        <f>IF('Données projet'!$A$218&gt;35,FE22+FD23-FM22,IF(A23&lt;'Données projet'!$A$218,$FB$205^A23,IF(A23='Données projet'!$A$218,'Données projet'!$B$218,FE22+FD23-FM22)))</f>
        <v>36.0879804560157</v>
      </c>
      <c r="FF23" s="18">
        <f>FE23*VLOOKUP('Données projet'!$B$16,Paramètres!$A$1:$I$89,3,0)*VLOOKUP('Données projet'!$B$16,Paramètres!$A$1:$I$89,5,0)</f>
        <v>16.889174853415348</v>
      </c>
      <c r="FG23" s="14">
        <f t="shared" si="47"/>
        <v>5.6010168004690764</v>
      </c>
      <c r="FH23" s="22">
        <f t="shared" si="22"/>
        <v>39.170417130515368</v>
      </c>
      <c r="FI23" s="58">
        <f t="shared" si="23"/>
        <v>320.28152824162652</v>
      </c>
      <c r="FJ23" s="58">
        <f ca="1">AVERAGE(OFFSET($FI$3,0,0,'Données projet'!$E$16+1,1))-AVERAGE(OFFSET($H$3,0,0,'Données projet'!$E$16+1,1))</f>
        <v>294.31042006404056</v>
      </c>
      <c r="FK23" s="58">
        <f t="shared" si="48"/>
        <v>260.93767498478502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128.2051282051282</v>
      </c>
      <c r="FX23" s="13">
        <f>VLOOKUP(A23,'Données projet'!$A$243:$I$263,9,0)</f>
        <v>10</v>
      </c>
      <c r="FY23" s="13">
        <f t="array" ref="FY23">INDEX(FX:FX,MIN(IF(ISNUMBER(FX23:FX219),ROW(FX23:FX219),"")))</f>
        <v>10</v>
      </c>
      <c r="FZ23" s="13">
        <f>IF('Données projet'!$A$244&gt;35,FZ22+FY23-GH22,IF(A23&lt;'Données projet'!$A$244,$FW$205^A23,IF(A23='Données projet'!$A$244,'Données projet'!$B$244,FZ22+FY23-GH22)))</f>
        <v>128.2051282051282</v>
      </c>
      <c r="GA23" s="18">
        <f>FZ23*VLOOKUP('Données projet'!$B$17,Paramètres!$A$1:$I$89,3,0)*VLOOKUP('Données projet'!$B$17,Paramètres!$A$1:$I$89,5,0)</f>
        <v>86</v>
      </c>
      <c r="GB23" s="14">
        <f t="shared" si="49"/>
        <v>23.597983677077231</v>
      </c>
      <c r="GC23" s="22">
        <f t="shared" si="25"/>
        <v>190.88315490424284</v>
      </c>
      <c r="GD23" s="58">
        <f t="shared" si="26"/>
        <v>471.99426601535401</v>
      </c>
      <c r="GE23" s="58">
        <f ca="1">AVERAGE(OFFSET($GD$3,0,0,'Données projet'!$E$17+1,1))-AVERAGE(OFFSET($H$3,0,0,'Données projet'!$E$17+1,1))</f>
        <v>362.1372269575329</v>
      </c>
      <c r="GF23" s="58">
        <f t="shared" si="50"/>
        <v>308.1559670593121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39.102564102564102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58" t="e">
        <f t="shared" si="29"/>
        <v>#N/A</v>
      </c>
      <c r="GZ23" s="58" t="e">
        <f ca="1">AVERAGE(OFFSET($GY$3,0,0,'Données projet'!$E$18+1,1))-AVERAGE(OFFSET($H$3,0,0,'Données projet'!$E$18+1,1))</f>
        <v>#N/A</v>
      </c>
      <c r="HA23" s="58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0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3">
        <f t="shared" si="1"/>
        <v>256.66666666666669</v>
      </c>
      <c r="I24" s="6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58">
        <f t="shared" si="0"/>
        <v>391.06825607785231</v>
      </c>
      <c r="S24" s="58">
        <f ca="1">AVERAGE(OFFSET($R$3,0,0,'Données projet'!$E$9+1,1))-AVERAGE(OFFSET($H$3,0,0,'Données projet'!$E$9+1,1))</f>
        <v>483.15009705023641</v>
      </c>
      <c r="T24" s="58">
        <f t="shared" si="34"/>
        <v>254.25036207346591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58">
        <f t="shared" si="5"/>
        <v>379.65226125630295</v>
      </c>
      <c r="AN24" s="58">
        <f ca="1">AVERAGE(OFFSET($AM$3,0,0,'Données projet'!$E$10+1,1))-AVERAGE(OFFSET($H$3,0,0,'Données projet'!$E$10+1,1))</f>
        <v>435.7095890216213</v>
      </c>
      <c r="AO24" s="58">
        <f t="shared" si="36"/>
        <v>231.36959598460686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8.8461538461538467</v>
      </c>
      <c r="BD24" s="13">
        <f>IF('Données projet'!$A$88&gt;35,BD23+BC24-BL23,IF(A24&lt;'Données projet'!$A$88,$BA$205^A24,IF(A24='Données projet'!$A$88,'Données projet'!$B$88,BD23+BC24-BL23)))</f>
        <v>69.102564102564088</v>
      </c>
      <c r="BE24" s="14">
        <f>BD24*VLOOKUP('Données projet'!$B$11,Paramètres!$A$1:$I$89,3,0)*VLOOKUP('Données projet'!$B$11,Paramètres!$A$1:$I$89,5,0)</f>
        <v>60.367999999999995</v>
      </c>
      <c r="BF24" s="14">
        <f t="shared" si="37"/>
        <v>17.261277821800029</v>
      </c>
      <c r="BG24" s="22">
        <f t="shared" si="7"/>
        <v>135.20432553963505</v>
      </c>
      <c r="BH24" s="58">
        <f t="shared" si="8"/>
        <v>417.53765887296834</v>
      </c>
      <c r="BI24" s="58">
        <f ca="1">AVERAGE(OFFSET($BH$3,0,0,'Données projet'!$E$11+1,1))-AVERAGE(OFFSET($H$3,0,0,'Données projet'!$E$11+1,1))</f>
        <v>218.76424742311815</v>
      </c>
      <c r="BJ24" s="58">
        <f t="shared" si="38"/>
        <v>264.34598683038593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2.2571428571428571</v>
      </c>
      <c r="BY24" s="13">
        <f>IF('Données projet'!$A$114&gt;35,BY23+BX24-CG23,IF(A24&lt;'Données projet'!$A$114,$BV$205^A24,IF(A24='Données projet'!$A$114,'Données projet'!$B$114,BY23+BX24-CG23)))</f>
        <v>13.758663679589679</v>
      </c>
      <c r="BZ24" s="14">
        <f>BY24*VLOOKUP('Données projet'!$B$12,Paramètres!$A$1:$I$89,3,0)*VLOOKUP('Données projet'!$B$12,Paramètres!$A$1:$I$89,5,0)</f>
        <v>13.307379510899137</v>
      </c>
      <c r="CA24" s="14">
        <f t="shared" si="39"/>
        <v>4.5373286301481395</v>
      </c>
      <c r="CB24" s="22">
        <f t="shared" si="10"/>
        <v>31.079533345657339</v>
      </c>
      <c r="CC24" s="58">
        <f t="shared" si="11"/>
        <v>313.41286667899067</v>
      </c>
      <c r="CD24" s="58">
        <f ca="1">AVERAGE(OFFSET($CC$3,0,0,'Données projet'!$E$12+1,1))-AVERAGE(OFFSET($H$3,0,0,'Données projet'!$E$12+1,1))</f>
        <v>343.86347628565426</v>
      </c>
      <c r="CE24" s="58">
        <f t="shared" si="40"/>
        <v>129.28196646107097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58" t="e">
        <f t="shared" si="14"/>
        <v>#N/A</v>
      </c>
      <c r="CY24" s="58" t="e">
        <f ca="1">AVERAGE(OFFSET($CX$3,0,0,'Données projet'!$E$13+1,1))-AVERAGE(OFFSET($H$3,0,0,'Données projet'!$E$13+1,1))</f>
        <v>#N/A</v>
      </c>
      <c r="CZ24" s="58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5.962703962703964</v>
      </c>
      <c r="DO24" s="13">
        <f>IF('Données projet'!$A$166&gt;35,DO23+DN24-DW23,IF(A24&lt;'Données projet'!$A$166,$DL$205^A24,IF(A24='Données projet'!$A$166,'Données projet'!$B$166,DO23+DN24-DW23)))</f>
        <v>50.578088578088582</v>
      </c>
      <c r="DP24" s="18">
        <f>DO24*VLOOKUP('Données projet'!$B$14,Paramètres!$A$1:$I$89,3,0)*VLOOKUP('Données projet'!$B$14,Paramètres!$A$1:$I$89,5,0)</f>
        <v>48.130109090909095</v>
      </c>
      <c r="DQ24" s="14">
        <f t="shared" si="43"/>
        <v>14.129786184142224</v>
      </c>
      <c r="DR24" s="22">
        <f t="shared" si="16"/>
        <v>108.43598427071437</v>
      </c>
      <c r="DS24" s="58">
        <f t="shared" si="17"/>
        <v>390.76931760404767</v>
      </c>
      <c r="DT24" s="58">
        <f ca="1">AVERAGE(OFFSET($DS$3,0,0,'Données projet'!$E$14+1,1))-AVERAGE(OFFSET($H$3,0,0,'Données projet'!$E$14+1,1))</f>
        <v>332.49889399440514</v>
      </c>
      <c r="DU24" s="58">
        <f t="shared" si="44"/>
        <v>256.06044006790529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8.2051282051282044</v>
      </c>
      <c r="EJ24" s="13">
        <f>IF('Données projet'!$A$192&gt;35,EJ23+EI24-ER23,IF(A24&lt;'Données projet'!$A$192,$EG$205^A24,IF(A24='Données projet'!$A$192,'Données projet'!$B$192,EJ23+EI24-ER23)))</f>
        <v>74.871794871794862</v>
      </c>
      <c r="EK24" s="18">
        <f>EJ24*VLOOKUP('Données projet'!$B$15,Paramètres!$A$1:$I$89,3,0)*VLOOKUP('Données projet'!$B$15,Paramètres!$A$1:$I$89,5,0)</f>
        <v>78.256</v>
      </c>
      <c r="EL24" s="14">
        <f t="shared" si="45"/>
        <v>21.710221600850431</v>
      </c>
      <c r="EM24" s="22">
        <f t="shared" si="19"/>
        <v>174.1078359548145</v>
      </c>
      <c r="EN24" s="58">
        <f t="shared" si="20"/>
        <v>456.44116928814782</v>
      </c>
      <c r="EO24" s="58">
        <f ca="1">AVERAGE(OFFSET($EN$3,0,0,'Données projet'!$E$15+1,1))-AVERAGE(OFFSET($H$3,0,0,'Données projet'!$E$15+1,1))</f>
        <v>596.00698505207174</v>
      </c>
      <c r="EP24" s="58">
        <f t="shared" si="46"/>
        <v>378.16197659288338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7.2264102564102561</v>
      </c>
      <c r="FE24" s="13">
        <f>IF('Données projet'!$A$218&gt;35,FE23+FD24-FM23,IF(A24&lt;'Données projet'!$A$218,$FB$205^A24,IF(A24='Données projet'!$A$218,'Données projet'!$B$218,FE23+FD24-FM23)))</f>
        <v>43.17483711984115</v>
      </c>
      <c r="FF24" s="18">
        <f>FE24*VLOOKUP('Données projet'!$B$16,Paramètres!$A$1:$I$89,3,0)*VLOOKUP('Données projet'!$B$16,Paramètres!$A$1:$I$89,5,0)</f>
        <v>20.205823772085658</v>
      </c>
      <c r="FG24" s="14">
        <f t="shared" si="47"/>
        <v>6.5625277686471071</v>
      </c>
      <c r="FH24" s="22">
        <f t="shared" si="22"/>
        <v>46.621545600109563</v>
      </c>
      <c r="FI24" s="58">
        <f t="shared" si="23"/>
        <v>328.9548789334429</v>
      </c>
      <c r="FJ24" s="58">
        <f ca="1">AVERAGE(OFFSET($FI$3,0,0,'Données projet'!$E$16+1,1))-AVERAGE(OFFSET($H$3,0,0,'Données projet'!$E$16+1,1))</f>
        <v>294.31042006404056</v>
      </c>
      <c r="FK24" s="58">
        <f t="shared" si="48"/>
        <v>260.93767498478502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9.7435897435897427</v>
      </c>
      <c r="FZ24" s="13">
        <f>IF('Données projet'!$A$244&gt;35,FZ23+FY24-GH23,IF(A24&lt;'Données projet'!$A$244,$FW$205^A24,IF(A24='Données projet'!$A$244,'Données projet'!$B$244,FZ23+FY24-GH23)))</f>
        <v>98.846153846153854</v>
      </c>
      <c r="GA24" s="18">
        <f>FZ24*VLOOKUP('Données projet'!$B$17,Paramètres!$A$1:$I$89,3,0)*VLOOKUP('Données projet'!$B$17,Paramètres!$A$1:$I$89,5,0)</f>
        <v>66.305999999999997</v>
      </c>
      <c r="GB24" s="14">
        <f t="shared" si="49"/>
        <v>18.753232796006525</v>
      </c>
      <c r="GC24" s="22">
        <f t="shared" si="25"/>
        <v>148.1448304530447</v>
      </c>
      <c r="GD24" s="58">
        <f t="shared" si="26"/>
        <v>430.47816378637799</v>
      </c>
      <c r="GE24" s="58">
        <f ca="1">AVERAGE(OFFSET($GD$3,0,0,'Données projet'!$E$17+1,1))-AVERAGE(OFFSET($H$3,0,0,'Données projet'!$E$17+1,1))</f>
        <v>362.1372269575329</v>
      </c>
      <c r="GF24" s="58">
        <f t="shared" si="50"/>
        <v>308.1559670593121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58" t="e">
        <f t="shared" si="29"/>
        <v>#N/A</v>
      </c>
      <c r="GZ24" s="58" t="e">
        <f ca="1">AVERAGE(OFFSET($GY$3,0,0,'Données projet'!$E$18+1,1))-AVERAGE(OFFSET($H$3,0,0,'Données projet'!$E$18+1,1))</f>
        <v>#N/A</v>
      </c>
      <c r="HA24" s="58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0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3">
        <f t="shared" si="1"/>
        <v>256.66666666666669</v>
      </c>
      <c r="I25" s="6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58">
        <f t="shared" si="0"/>
        <v>404.72813945687091</v>
      </c>
      <c r="S25" s="58">
        <f ca="1">AVERAGE(OFFSET($R$3,0,0,'Données projet'!$E$9+1,1))-AVERAGE(OFFSET($H$3,0,0,'Données projet'!$E$9+1,1))</f>
        <v>483.15009705023641</v>
      </c>
      <c r="T25" s="58">
        <f t="shared" si="34"/>
        <v>254.25036207346591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58">
        <f t="shared" si="5"/>
        <v>392.00305746847613</v>
      </c>
      <c r="AN25" s="58">
        <f ca="1">AVERAGE(OFFSET($AM$3,0,0,'Données projet'!$E$10+1,1))-AVERAGE(OFFSET($H$3,0,0,'Données projet'!$E$10+1,1))</f>
        <v>435.7095890216213</v>
      </c>
      <c r="AO25" s="58">
        <f t="shared" si="36"/>
        <v>231.36959598460686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8.8461538461538467</v>
      </c>
      <c r="BD25" s="13">
        <f>IF('Données projet'!$A$88&gt;35,BD24+BC25-BL24,IF(A25&lt;'Données projet'!$A$88,$BA$205^A25,IF(A25='Données projet'!$A$88,'Données projet'!$B$88,BD24+BC25-BL24)))</f>
        <v>77.948717948717928</v>
      </c>
      <c r="BE25" s="14">
        <f>BD25*VLOOKUP('Données projet'!$B$11,Paramètres!$A$1:$I$89,3,0)*VLOOKUP('Données projet'!$B$11,Paramètres!$A$1:$I$89,5,0)</f>
        <v>68.095999999999989</v>
      </c>
      <c r="BF25" s="14">
        <f t="shared" si="37"/>
        <v>19.199871069347427</v>
      </c>
      <c r="BG25" s="22">
        <f t="shared" si="7"/>
        <v>152.04030877911339</v>
      </c>
      <c r="BH25" s="58">
        <f t="shared" si="8"/>
        <v>435.59586433466893</v>
      </c>
      <c r="BI25" s="58">
        <f ca="1">AVERAGE(OFFSET($BH$3,0,0,'Données projet'!$E$11+1,1))-AVERAGE(OFFSET($H$3,0,0,'Données projet'!$E$11+1,1))</f>
        <v>218.76424742311815</v>
      </c>
      <c r="BJ25" s="58">
        <f t="shared" si="38"/>
        <v>264.34598683038593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2.2571428571428571</v>
      </c>
      <c r="BY25" s="13">
        <f>IF('Données projet'!$A$114&gt;35,BY24+BX25-CG24,IF(A25&lt;'Données projet'!$A$114,$BV$205^A25,IF(A25='Données projet'!$A$114,'Données projet'!$B$114,BY24+BX25-CG24)))</f>
        <v>15.588135479280812</v>
      </c>
      <c r="BZ25" s="14">
        <f>BY25*VLOOKUP('Données projet'!$B$12,Paramètres!$A$1:$I$89,3,0)*VLOOKUP('Données projet'!$B$12,Paramètres!$A$1:$I$89,5,0)</f>
        <v>15.076844635560402</v>
      </c>
      <c r="CA25" s="14">
        <f t="shared" si="39"/>
        <v>5.0664899662159115</v>
      </c>
      <c r="CB25" s="22">
        <f t="shared" si="10"/>
        <v>35.082974431427083</v>
      </c>
      <c r="CC25" s="58">
        <f t="shared" si="11"/>
        <v>318.63852998698263</v>
      </c>
      <c r="CD25" s="58">
        <f ca="1">AVERAGE(OFFSET($CC$3,0,0,'Données projet'!$E$12+1,1))-AVERAGE(OFFSET($H$3,0,0,'Données projet'!$E$12+1,1))</f>
        <v>343.86347628565426</v>
      </c>
      <c r="CE25" s="58">
        <f t="shared" si="40"/>
        <v>129.28196646107097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58" t="e">
        <f t="shared" si="14"/>
        <v>#N/A</v>
      </c>
      <c r="CY25" s="58" t="e">
        <f ca="1">AVERAGE(OFFSET($CX$3,0,0,'Données projet'!$E$13+1,1))-AVERAGE(OFFSET($H$3,0,0,'Données projet'!$E$13+1,1))</f>
        <v>#N/A</v>
      </c>
      <c r="CZ25" s="58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5.962703962703964</v>
      </c>
      <c r="DO25" s="13">
        <f>IF('Données projet'!$A$166&gt;35,DO24+DN25-DW24,IF(A25&lt;'Données projet'!$A$166,$DL$205^A25,IF(A25='Données projet'!$A$166,'Données projet'!$B$166,DO24+DN25-DW24)))</f>
        <v>56.540792540792545</v>
      </c>
      <c r="DP25" s="18">
        <f>DO25*VLOOKUP('Données projet'!$B$14,Paramètres!$A$1:$I$89,3,0)*VLOOKUP('Données projet'!$B$14,Paramètres!$A$1:$I$89,5,0)</f>
        <v>53.804218181818186</v>
      </c>
      <c r="DQ25" s="14">
        <f t="shared" si="43"/>
        <v>15.591983616066859</v>
      </c>
      <c r="DR25" s="22">
        <f t="shared" si="16"/>
        <v>120.86505146464977</v>
      </c>
      <c r="DS25" s="58">
        <f t="shared" si="17"/>
        <v>404.4206070202053</v>
      </c>
      <c r="DT25" s="58">
        <f ca="1">AVERAGE(OFFSET($DS$3,0,0,'Données projet'!$E$14+1,1))-AVERAGE(OFFSET($H$3,0,0,'Données projet'!$E$14+1,1))</f>
        <v>332.49889399440514</v>
      </c>
      <c r="DU25" s="58">
        <f t="shared" si="44"/>
        <v>256.06044006790529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8.2051282051282044</v>
      </c>
      <c r="EJ25" s="13">
        <f>IF('Données projet'!$A$192&gt;35,EJ24+EI25-ER24,IF(A25&lt;'Données projet'!$A$192,$EG$205^A25,IF(A25='Données projet'!$A$192,'Données projet'!$B$192,EJ24+EI25-ER24)))</f>
        <v>83.076923076923066</v>
      </c>
      <c r="EK25" s="18">
        <f>EJ25*VLOOKUP('Données projet'!$B$15,Paramètres!$A$1:$I$89,3,0)*VLOOKUP('Données projet'!$B$15,Paramètres!$A$1:$I$89,5,0)</f>
        <v>86.831999999999994</v>
      </c>
      <c r="EL25" s="14">
        <f t="shared" si="45"/>
        <v>23.799593531540278</v>
      </c>
      <c r="EM25" s="22">
        <f t="shared" si="19"/>
        <v>192.6833587340993</v>
      </c>
      <c r="EN25" s="58">
        <f t="shared" si="20"/>
        <v>476.23891428965487</v>
      </c>
      <c r="EO25" s="58">
        <f ca="1">AVERAGE(OFFSET($EN$3,0,0,'Données projet'!$E$15+1,1))-AVERAGE(OFFSET($H$3,0,0,'Données projet'!$E$15+1,1))</f>
        <v>596.00698505207174</v>
      </c>
      <c r="EP25" s="58">
        <f t="shared" si="46"/>
        <v>378.16197659288338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7.2264102564102561</v>
      </c>
      <c r="FE25" s="13">
        <f>IF('Données projet'!$A$218&gt;35,FE24+FD25-FM24,IF(A25&lt;'Données projet'!$A$218,$FB$205^A25,IF(A25='Données projet'!$A$218,'Données projet'!$B$218,FE24+FD25-FM24)))</f>
        <v>51.653390873361616</v>
      </c>
      <c r="FF25" s="18">
        <f>FE25*VLOOKUP('Données projet'!$B$16,Paramètres!$A$1:$I$89,3,0)*VLOOKUP('Données projet'!$B$16,Paramètres!$A$1:$I$89,5,0)</f>
        <v>24.173786928733236</v>
      </c>
      <c r="FG25" s="14">
        <f t="shared" si="47"/>
        <v>7.6890986491341353</v>
      </c>
      <c r="FH25" s="22">
        <f t="shared" si="22"/>
        <v>55.494525714785674</v>
      </c>
      <c r="FI25" s="58">
        <f t="shared" si="23"/>
        <v>339.0500812703412</v>
      </c>
      <c r="FJ25" s="58">
        <f ca="1">AVERAGE(OFFSET($FI$3,0,0,'Données projet'!$E$16+1,1))-AVERAGE(OFFSET($H$3,0,0,'Données projet'!$E$16+1,1))</f>
        <v>294.31042006404056</v>
      </c>
      <c r="FK25" s="58">
        <f t="shared" si="48"/>
        <v>260.93767498478502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9.7435897435897427</v>
      </c>
      <c r="FZ25" s="13">
        <f>IF('Données projet'!$A$244&gt;35,FZ24+FY25-GH24,IF(A25&lt;'Données projet'!$A$244,$FW$205^A25,IF(A25='Données projet'!$A$244,'Données projet'!$B$244,FZ24+FY25-GH24)))</f>
        <v>108.58974358974359</v>
      </c>
      <c r="GA25" s="18">
        <f>FZ25*VLOOKUP('Données projet'!$B$17,Paramètres!$A$1:$I$89,3,0)*VLOOKUP('Données projet'!$B$17,Paramètres!$A$1:$I$89,5,0)</f>
        <v>72.841999999999999</v>
      </c>
      <c r="GB25" s="14">
        <f t="shared" si="49"/>
        <v>20.377583329250708</v>
      </c>
      <c r="GC25" s="22">
        <f t="shared" si="25"/>
        <v>162.35744096511164</v>
      </c>
      <c r="GD25" s="58">
        <f t="shared" si="26"/>
        <v>445.91299652066721</v>
      </c>
      <c r="GE25" s="58">
        <f ca="1">AVERAGE(OFFSET($GD$3,0,0,'Données projet'!$E$17+1,1))-AVERAGE(OFFSET($H$3,0,0,'Données projet'!$E$17+1,1))</f>
        <v>362.1372269575329</v>
      </c>
      <c r="GF25" s="58">
        <f t="shared" si="50"/>
        <v>308.1559670593121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58" t="e">
        <f t="shared" si="29"/>
        <v>#N/A</v>
      </c>
      <c r="GZ25" s="58" t="e">
        <f ca="1">AVERAGE(OFFSET($GY$3,0,0,'Données projet'!$E$18+1,1))-AVERAGE(OFFSET($H$3,0,0,'Données projet'!$E$18+1,1))</f>
        <v>#N/A</v>
      </c>
      <c r="HA25" s="58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0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3">
        <f t="shared" si="1"/>
        <v>256.66666666666669</v>
      </c>
      <c r="I26" s="6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58">
        <f t="shared" si="0"/>
        <v>418.35693573662502</v>
      </c>
      <c r="S26" s="58">
        <f ca="1">AVERAGE(OFFSET($R$3,0,0,'Données projet'!$E$9+1,1))-AVERAGE(OFFSET($H$3,0,0,'Données projet'!$E$9+1,1))</f>
        <v>483.15009705023641</v>
      </c>
      <c r="T26" s="58">
        <f t="shared" si="34"/>
        <v>254.25036207346591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58">
        <f t="shared" si="5"/>
        <v>404.32574406333623</v>
      </c>
      <c r="AN26" s="58">
        <f ca="1">AVERAGE(OFFSET($AM$3,0,0,'Données projet'!$E$10+1,1))-AVERAGE(OFFSET($H$3,0,0,'Données projet'!$E$10+1,1))</f>
        <v>435.7095890216213</v>
      </c>
      <c r="AO26" s="58">
        <f t="shared" si="36"/>
        <v>231.36959598460686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8.8461538461538467</v>
      </c>
      <c r="BD26" s="13">
        <f>IF('Données projet'!$A$88&gt;35,BD25+BC26-BL25,IF(A26&lt;'Données projet'!$A$88,$BA$205^A26,IF(A26='Données projet'!$A$88,'Données projet'!$B$88,BD25+BC26-BL25)))</f>
        <v>86.794871794871767</v>
      </c>
      <c r="BE26" s="14">
        <f>BD26*VLOOKUP('Données projet'!$B$11,Paramètres!$A$1:$I$89,3,0)*VLOOKUP('Données projet'!$B$11,Paramètres!$A$1:$I$89,5,0)</f>
        <v>75.823999999999984</v>
      </c>
      <c r="BF26" s="14">
        <f t="shared" si="37"/>
        <v>21.11296643895113</v>
      </c>
      <c r="BG26" s="22">
        <f t="shared" si="7"/>
        <v>168.83188321450652</v>
      </c>
      <c r="BH26" s="58">
        <f t="shared" si="8"/>
        <v>453.60966099228426</v>
      </c>
      <c r="BI26" s="58">
        <f ca="1">AVERAGE(OFFSET($BH$3,0,0,'Données projet'!$E$11+1,1))-AVERAGE(OFFSET($H$3,0,0,'Données projet'!$E$11+1,1))</f>
        <v>218.76424742311815</v>
      </c>
      <c r="BJ26" s="58">
        <f t="shared" si="38"/>
        <v>264.34598683038593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2.2571428571428571</v>
      </c>
      <c r="BY26" s="13">
        <f>IF('Données projet'!$A$114&gt;35,BY25+BX26-CG25,IF(A26&lt;'Données projet'!$A$114,$BV$205^A26,IF(A26='Données projet'!$A$114,'Données projet'!$B$114,BY25+BX26-CG25)))</f>
        <v>17.660869789329706</v>
      </c>
      <c r="BZ26" s="14">
        <f>BY26*VLOOKUP('Données projet'!$B$12,Paramètres!$A$1:$I$89,3,0)*VLOOKUP('Données projet'!$B$12,Paramètres!$A$1:$I$89,5,0)</f>
        <v>17.081593260239693</v>
      </c>
      <c r="CA26" s="14">
        <f t="shared" si="39"/>
        <v>5.6573642048335469</v>
      </c>
      <c r="CB26" s="22">
        <f t="shared" si="10"/>
        <v>39.603684251669229</v>
      </c>
      <c r="CC26" s="58">
        <f t="shared" si="11"/>
        <v>324.38146202944699</v>
      </c>
      <c r="CD26" s="58">
        <f ca="1">AVERAGE(OFFSET($CC$3,0,0,'Données projet'!$E$12+1,1))-AVERAGE(OFFSET($H$3,0,0,'Données projet'!$E$12+1,1))</f>
        <v>343.86347628565426</v>
      </c>
      <c r="CE26" s="58">
        <f t="shared" si="40"/>
        <v>129.28196646107097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58" t="e">
        <f t="shared" si="14"/>
        <v>#N/A</v>
      </c>
      <c r="CY26" s="58" t="e">
        <f ca="1">AVERAGE(OFFSET($CX$3,0,0,'Données projet'!$E$13+1,1))-AVERAGE(OFFSET($H$3,0,0,'Données projet'!$E$13+1,1))</f>
        <v>#N/A</v>
      </c>
      <c r="CZ26" s="58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5.962703962703964</v>
      </c>
      <c r="DO26" s="13">
        <f>IF('Données projet'!$A$166&gt;35,DO25+DN26-DW25,IF(A26&lt;'Données projet'!$A$166,$DL$205^A26,IF(A26='Données projet'!$A$166,'Données projet'!$B$166,DO25+DN26-DW25)))</f>
        <v>62.503496503496507</v>
      </c>
      <c r="DP26" s="18">
        <f>DO26*VLOOKUP('Données projet'!$B$14,Paramètres!$A$1:$I$89,3,0)*VLOOKUP('Données projet'!$B$14,Paramètres!$A$1:$I$89,5,0)</f>
        <v>59.478327272727284</v>
      </c>
      <c r="DQ26" s="14">
        <f t="shared" si="43"/>
        <v>17.036306820659838</v>
      </c>
      <c r="DR26" s="22">
        <f t="shared" si="16"/>
        <v>133.26298771264922</v>
      </c>
      <c r="DS26" s="58">
        <f t="shared" si="17"/>
        <v>418.04076549042702</v>
      </c>
      <c r="DT26" s="58">
        <f ca="1">AVERAGE(OFFSET($DS$3,0,0,'Données projet'!$E$14+1,1))-AVERAGE(OFFSET($H$3,0,0,'Données projet'!$E$14+1,1))</f>
        <v>332.49889399440514</v>
      </c>
      <c r="DU26" s="58">
        <f t="shared" si="44"/>
        <v>256.06044006790529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8.2051282051282044</v>
      </c>
      <c r="EJ26" s="13">
        <f>IF('Données projet'!$A$192&gt;35,EJ25+EI26-ER25,IF(A26&lt;'Données projet'!$A$192,$EG$205^A26,IF(A26='Données projet'!$A$192,'Données projet'!$B$192,EJ25+EI26-ER25)))</f>
        <v>91.28205128205127</v>
      </c>
      <c r="EK26" s="18">
        <f>EJ26*VLOOKUP('Données projet'!$B$15,Paramètres!$A$1:$I$89,3,0)*VLOOKUP('Données projet'!$B$15,Paramètres!$A$1:$I$89,5,0)</f>
        <v>95.408000000000001</v>
      </c>
      <c r="EL26" s="14">
        <f t="shared" si="45"/>
        <v>25.865041947791504</v>
      </c>
      <c r="EM26" s="22">
        <f t="shared" si="19"/>
        <v>211.21721472573688</v>
      </c>
      <c r="EN26" s="58">
        <f t="shared" si="20"/>
        <v>495.99499250351465</v>
      </c>
      <c r="EO26" s="58">
        <f ca="1">AVERAGE(OFFSET($EN$3,0,0,'Données projet'!$E$15+1,1))-AVERAGE(OFFSET($H$3,0,0,'Données projet'!$E$15+1,1))</f>
        <v>596.00698505207174</v>
      </c>
      <c r="EP26" s="58">
        <f t="shared" si="46"/>
        <v>378.16197659288338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7.2264102564102561</v>
      </c>
      <c r="FE26" s="13">
        <f>IF('Données projet'!$A$218&gt;35,FE25+FD26-FM25,IF(A26&lt;'Données projet'!$A$218,$FB$205^A26,IF(A26='Données projet'!$A$218,'Données projet'!$B$218,FE25+FD26-FM25)))</f>
        <v>61.796939298472864</v>
      </c>
      <c r="FF26" s="18">
        <f>FE26*VLOOKUP('Données projet'!$B$16,Paramètres!$A$1:$I$89,3,0)*VLOOKUP('Données projet'!$B$16,Paramètres!$A$1:$I$89,5,0)</f>
        <v>28.920967591685301</v>
      </c>
      <c r="FG26" s="14">
        <f t="shared" si="47"/>
        <v>9.0090648177637647</v>
      </c>
      <c r="FH26" s="22">
        <f t="shared" si="22"/>
        <v>66.061473113123796</v>
      </c>
      <c r="FI26" s="58">
        <f t="shared" si="23"/>
        <v>350.83925089090155</v>
      </c>
      <c r="FJ26" s="58">
        <f ca="1">AVERAGE(OFFSET($FI$3,0,0,'Données projet'!$E$16+1,1))-AVERAGE(OFFSET($H$3,0,0,'Données projet'!$E$16+1,1))</f>
        <v>294.31042006404056</v>
      </c>
      <c r="FK26" s="58">
        <f t="shared" si="48"/>
        <v>260.93767498478502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9.7435897435897427</v>
      </c>
      <c r="FZ26" s="13">
        <f>IF('Données projet'!$A$244&gt;35,FZ25+FY26-GH25,IF(A26&lt;'Données projet'!$A$244,$FW$205^A26,IF(A26='Données projet'!$A$244,'Données projet'!$B$244,FZ25+FY26-GH25)))</f>
        <v>118.33333333333333</v>
      </c>
      <c r="GA26" s="18">
        <f>FZ26*VLOOKUP('Données projet'!$B$17,Paramètres!$A$1:$I$89,3,0)*VLOOKUP('Données projet'!$B$17,Paramètres!$A$1:$I$89,5,0)</f>
        <v>79.378</v>
      </c>
      <c r="GB26" s="14">
        <f t="shared" si="49"/>
        <v>21.985032877161519</v>
      </c>
      <c r="GC26" s="22">
        <f t="shared" si="25"/>
        <v>176.54061559438961</v>
      </c>
      <c r="GD26" s="58">
        <f t="shared" si="26"/>
        <v>461.31839337216741</v>
      </c>
      <c r="GE26" s="58">
        <f ca="1">AVERAGE(OFFSET($GD$3,0,0,'Données projet'!$E$17+1,1))-AVERAGE(OFFSET($H$3,0,0,'Données projet'!$E$17+1,1))</f>
        <v>362.1372269575329</v>
      </c>
      <c r="GF26" s="58">
        <f t="shared" si="50"/>
        <v>308.1559670593121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58" t="e">
        <f t="shared" si="29"/>
        <v>#N/A</v>
      </c>
      <c r="GZ26" s="58" t="e">
        <f ca="1">AVERAGE(OFFSET($GY$3,0,0,'Données projet'!$E$18+1,1))-AVERAGE(OFFSET($H$3,0,0,'Données projet'!$E$18+1,1))</f>
        <v>#N/A</v>
      </c>
      <c r="HA26" s="58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0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3">
        <f t="shared" si="1"/>
        <v>256.66666666666669</v>
      </c>
      <c r="I27" s="6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58">
        <f t="shared" si="0"/>
        <v>431.95794243077449</v>
      </c>
      <c r="S27" s="58">
        <f ca="1">AVERAGE(OFFSET($R$3,0,0,'Données projet'!$E$9+1,1))-AVERAGE(OFFSET($H$3,0,0,'Données projet'!$E$9+1,1))</f>
        <v>483.15009705023641</v>
      </c>
      <c r="T27" s="58">
        <f t="shared" si="34"/>
        <v>254.25036207346591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58">
        <f t="shared" si="5"/>
        <v>416.62330272297186</v>
      </c>
      <c r="AN27" s="58">
        <f ca="1">AVERAGE(OFFSET($AM$3,0,0,'Données projet'!$E$10+1,1))-AVERAGE(OFFSET($H$3,0,0,'Données projet'!$E$10+1,1))</f>
        <v>435.7095890216213</v>
      </c>
      <c r="AO27" s="58">
        <f t="shared" si="36"/>
        <v>231.36959598460686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8.8461538461538467</v>
      </c>
      <c r="BD27" s="13">
        <f>IF('Données projet'!$A$88&gt;35,BD26+BC27-BL26,IF(A27&lt;'Données projet'!$A$88,$BA$205^A27,IF(A27='Données projet'!$A$88,'Données projet'!$B$88,BD26+BC27-BL26)))</f>
        <v>95.641025641025607</v>
      </c>
      <c r="BE27" s="14">
        <f>BD27*VLOOKUP('Données projet'!$B$11,Paramètres!$A$1:$I$89,3,0)*VLOOKUP('Données projet'!$B$11,Paramètres!$A$1:$I$89,5,0)</f>
        <v>83.551999999999978</v>
      </c>
      <c r="BF27" s="14">
        <f t="shared" si="37"/>
        <v>23.003458599323753</v>
      </c>
      <c r="BG27" s="22">
        <f t="shared" si="7"/>
        <v>185.58409039382215</v>
      </c>
      <c r="BH27" s="58">
        <f t="shared" si="8"/>
        <v>471.58409039382218</v>
      </c>
      <c r="BI27" s="58">
        <f ca="1">AVERAGE(OFFSET($BH$3,0,0,'Données projet'!$E$11+1,1))-AVERAGE(OFFSET($H$3,0,0,'Données projet'!$E$11+1,1))</f>
        <v>218.76424742311815</v>
      </c>
      <c r="BJ27" s="58">
        <f t="shared" si="38"/>
        <v>264.34598683038593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2.2571428571428571</v>
      </c>
      <c r="BY27" s="13">
        <f>IF('Données projet'!$A$114&gt;35,BY26+BX27-CG26,IF(A27&lt;'Données projet'!$A$114,$BV$205^A27,IF(A27='Données projet'!$A$114,'Données projet'!$B$114,BY26+BX27-CG26)))</f>
        <v>20.009212912617624</v>
      </c>
      <c r="BZ27" s="14">
        <f>BY27*VLOOKUP('Données projet'!$B$12,Paramètres!$A$1:$I$89,3,0)*VLOOKUP('Données projet'!$B$12,Paramètres!$A$1:$I$89,5,0)</f>
        <v>19.352910729083767</v>
      </c>
      <c r="CA27" s="14">
        <f t="shared" si="39"/>
        <v>6.3171485504858369</v>
      </c>
      <c r="CB27" s="22">
        <f t="shared" si="10"/>
        <v>44.708686578583723</v>
      </c>
      <c r="CC27" s="58">
        <f t="shared" si="11"/>
        <v>330.70868657858375</v>
      </c>
      <c r="CD27" s="58">
        <f ca="1">AVERAGE(OFFSET($CC$3,0,0,'Données projet'!$E$12+1,1))-AVERAGE(OFFSET($H$3,0,0,'Données projet'!$E$12+1,1))</f>
        <v>343.86347628565426</v>
      </c>
      <c r="CE27" s="58">
        <f t="shared" si="40"/>
        <v>129.28196646107097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58" t="e">
        <f t="shared" si="14"/>
        <v>#N/A</v>
      </c>
      <c r="CY27" s="58" t="e">
        <f ca="1">AVERAGE(OFFSET($CX$3,0,0,'Données projet'!$E$13+1,1))-AVERAGE(OFFSET($H$3,0,0,'Données projet'!$E$13+1,1))</f>
        <v>#N/A</v>
      </c>
      <c r="CZ27" s="58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5.962703962703964</v>
      </c>
      <c r="DO27" s="13">
        <f>IF('Données projet'!$A$166&gt;35,DO26+DN27-DW26,IF(A27&lt;'Données projet'!$A$166,$DL$205^A27,IF(A27='Données projet'!$A$166,'Données projet'!$B$166,DO26+DN27-DW26)))</f>
        <v>68.466200466200476</v>
      </c>
      <c r="DP27" s="18">
        <f>DO27*VLOOKUP('Données projet'!$B$14,Paramètres!$A$1:$I$89,3,0)*VLOOKUP('Données projet'!$B$14,Paramètres!$A$1:$I$89,5,0)</f>
        <v>65.152436363636369</v>
      </c>
      <c r="DQ27" s="14">
        <f t="shared" si="43"/>
        <v>18.464654962753631</v>
      </c>
      <c r="DR27" s="22">
        <f t="shared" si="16"/>
        <v>145.6331007267959</v>
      </c>
      <c r="DS27" s="58">
        <f t="shared" si="17"/>
        <v>431.63310072679587</v>
      </c>
      <c r="DT27" s="58">
        <f ca="1">AVERAGE(OFFSET($DS$3,0,0,'Données projet'!$E$14+1,1))-AVERAGE(OFFSET($H$3,0,0,'Données projet'!$E$14+1,1))</f>
        <v>332.49889399440514</v>
      </c>
      <c r="DU27" s="58">
        <f t="shared" si="44"/>
        <v>256.06044006790529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8.2051282051282044</v>
      </c>
      <c r="EJ27" s="13">
        <f>IF('Données projet'!$A$192&gt;35,EJ26+EI27-ER26,IF(A27&lt;'Données projet'!$A$192,$EG$205^A27,IF(A27='Données projet'!$A$192,'Données projet'!$B$192,EJ26+EI27-ER26)))</f>
        <v>99.487179487179475</v>
      </c>
      <c r="EK27" s="18">
        <f>EJ27*VLOOKUP('Données projet'!$B$15,Paramètres!$A$1:$I$89,3,0)*VLOOKUP('Données projet'!$B$15,Paramètres!$A$1:$I$89,5,0)</f>
        <v>103.98399999999999</v>
      </c>
      <c r="EL27" s="14">
        <f t="shared" si="45"/>
        <v>27.908961823510698</v>
      </c>
      <c r="EM27" s="22">
        <f t="shared" si="19"/>
        <v>229.71357517594777</v>
      </c>
      <c r="EN27" s="58">
        <f t="shared" si="20"/>
        <v>515.71357517594777</v>
      </c>
      <c r="EO27" s="58">
        <f ca="1">AVERAGE(OFFSET($EN$3,0,0,'Données projet'!$E$15+1,1))-AVERAGE(OFFSET($H$3,0,0,'Données projet'!$E$15+1,1))</f>
        <v>596.00698505207174</v>
      </c>
      <c r="EP27" s="58">
        <f t="shared" si="46"/>
        <v>378.16197659288338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7.2264102564102561</v>
      </c>
      <c r="FE27" s="13">
        <f>IF('Données projet'!$A$218&gt;35,FE26+FD27-FM26,IF(A27&lt;'Données projet'!$A$218,$FB$205^A27,IF(A27='Données projet'!$A$218,'Données projet'!$B$218,FE26+FD27-FM26)))</f>
        <v>73.932449391789717</v>
      </c>
      <c r="FF27" s="18">
        <f>FE27*VLOOKUP('Données projet'!$B$16,Paramètres!$A$1:$I$89,3,0)*VLOOKUP('Données projet'!$B$16,Paramètres!$A$1:$I$89,5,0)</f>
        <v>34.600386315357589</v>
      </c>
      <c r="FG27" s="14">
        <f t="shared" si="47"/>
        <v>10.555625905490055</v>
      </c>
      <c r="FH27" s="22">
        <f t="shared" si="22"/>
        <v>78.646721284642979</v>
      </c>
      <c r="FI27" s="58">
        <f t="shared" si="23"/>
        <v>364.64672128464298</v>
      </c>
      <c r="FJ27" s="58">
        <f ca="1">AVERAGE(OFFSET($FI$3,0,0,'Données projet'!$E$16+1,1))-AVERAGE(OFFSET($H$3,0,0,'Données projet'!$E$16+1,1))</f>
        <v>294.31042006404056</v>
      </c>
      <c r="FK27" s="58">
        <f t="shared" si="48"/>
        <v>260.93767498478502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9.7435897435897427</v>
      </c>
      <c r="FZ27" s="13">
        <f>IF('Données projet'!$A$244&gt;35,FZ26+FY27-GH26,IF(A27&lt;'Données projet'!$A$244,$FW$205^A27,IF(A27='Données projet'!$A$244,'Données projet'!$B$244,FZ26+FY27-GH26)))</f>
        <v>128.07692307692307</v>
      </c>
      <c r="GA27" s="18">
        <f>FZ27*VLOOKUP('Données projet'!$B$17,Paramètres!$A$1:$I$89,3,0)*VLOOKUP('Données projet'!$B$17,Paramètres!$A$1:$I$89,5,0)</f>
        <v>85.914000000000001</v>
      </c>
      <c r="GB27" s="14">
        <f t="shared" si="49"/>
        <v>23.577131284709758</v>
      </c>
      <c r="GC27" s="22">
        <f t="shared" si="25"/>
        <v>190.69705365420279</v>
      </c>
      <c r="GD27" s="58">
        <f t="shared" si="26"/>
        <v>476.69705365420282</v>
      </c>
      <c r="GE27" s="58">
        <f ca="1">AVERAGE(OFFSET($GD$3,0,0,'Données projet'!$E$17+1,1))-AVERAGE(OFFSET($H$3,0,0,'Données projet'!$E$17+1,1))</f>
        <v>362.1372269575329</v>
      </c>
      <c r="GF27" s="58">
        <f t="shared" si="50"/>
        <v>308.1559670593121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58" t="e">
        <f t="shared" si="29"/>
        <v>#N/A</v>
      </c>
      <c r="GZ27" s="58" t="e">
        <f ca="1">AVERAGE(OFFSET($GY$3,0,0,'Données projet'!$E$18+1,1))-AVERAGE(OFFSET($H$3,0,0,'Données projet'!$E$18+1,1))</f>
        <v>#N/A</v>
      </c>
      <c r="HA27" s="58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0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3">
        <f t="shared" si="1"/>
        <v>256.66666666666669</v>
      </c>
      <c r="I28" s="6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58">
        <f t="shared" si="0"/>
        <v>445.53385078478129</v>
      </c>
      <c r="S28" s="58">
        <f ca="1">AVERAGE(OFFSET($R$3,0,0,'Données projet'!$E$9+1,1))-AVERAGE(OFFSET($H$3,0,0,'Données projet'!$E$9+1,1))</f>
        <v>483.15009705023641</v>
      </c>
      <c r="T28" s="58">
        <f t="shared" si="34"/>
        <v>254.25036207346591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58">
        <f t="shared" si="5"/>
        <v>428.89816692885358</v>
      </c>
      <c r="AN28" s="58">
        <f ca="1">AVERAGE(OFFSET($AM$3,0,0,'Données projet'!$E$10+1,1))-AVERAGE(OFFSET($H$3,0,0,'Données projet'!$E$10+1,1))</f>
        <v>435.7095890216213</v>
      </c>
      <c r="AO28" s="58">
        <f t="shared" si="36"/>
        <v>231.36959598460686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104.48717948717949</v>
      </c>
      <c r="BB28" s="13">
        <f>VLOOKUP(A28,'Données projet'!$A$87:$I$107,9,0)</f>
        <v>8.8461538461538467</v>
      </c>
      <c r="BC28" s="13">
        <f t="array" ref="BC28">INDEX(BB:BB,MIN(IF(ISNUMBER(BB28:BB224),ROW(BB28:BB224),"")))</f>
        <v>8.8461538461538467</v>
      </c>
      <c r="BD28" s="13">
        <f>IF('Données projet'!$A$88&gt;35,BD27+BC28-BL27,IF(A28&lt;'Données projet'!$A$88,$BA$205^A28,IF(A28='Données projet'!$A$88,'Données projet'!$B$88,BD27+BC28-BL27)))</f>
        <v>104.48717948717945</v>
      </c>
      <c r="BE28" s="14">
        <f>BD28*VLOOKUP('Données projet'!$B$11,Paramètres!$A$1:$I$89,3,0)*VLOOKUP('Données projet'!$B$11,Paramètres!$A$1:$I$89,5,0)</f>
        <v>91.279999999999973</v>
      </c>
      <c r="BF28" s="14">
        <f t="shared" si="37"/>
        <v>24.873675988307212</v>
      </c>
      <c r="BG28" s="22">
        <f t="shared" si="7"/>
        <v>202.300985679635</v>
      </c>
      <c r="BH28" s="58">
        <f t="shared" si="8"/>
        <v>489.52320790185723</v>
      </c>
      <c r="BI28" s="58">
        <f ca="1">AVERAGE(OFFSET($BH$3,0,0,'Données projet'!$E$11+1,1))-AVERAGE(OFFSET($H$3,0,0,'Données projet'!$E$11+1,1))</f>
        <v>218.76424742311815</v>
      </c>
      <c r="BJ28" s="58">
        <f t="shared" si="38"/>
        <v>264.34598683038593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28.205128205128204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8.6000000000000007E-2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2.3333124964221876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2.3333124964221876</v>
      </c>
      <c r="BT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2.2571428571428571</v>
      </c>
      <c r="BY28" s="13">
        <f>IF('Données projet'!$A$114&gt;35,BY27+BX28-CG27,IF(A28&lt;'Données projet'!$A$114,$BV$205^A28,IF(A28='Données projet'!$A$114,'Données projet'!$B$114,BY27+BX28-CG27)))</f>
        <v>22.669812198284681</v>
      </c>
      <c r="BZ28" s="14">
        <f>BY28*VLOOKUP('Données projet'!$B$12,Paramètres!$A$1:$I$89,3,0)*VLOOKUP('Données projet'!$B$12,Paramètres!$A$1:$I$89,5,0)</f>
        <v>21.926242358180943</v>
      </c>
      <c r="CA28" s="14">
        <f t="shared" si="39"/>
        <v>7.0538795743095468</v>
      </c>
      <c r="CB28" s="22">
        <f t="shared" si="10"/>
        <v>50.473712365754267</v>
      </c>
      <c r="CC28" s="58">
        <f t="shared" si="11"/>
        <v>337.69593458797647</v>
      </c>
      <c r="CD28" s="58">
        <f ca="1">AVERAGE(OFFSET($CC$3,0,0,'Données projet'!$E$12+1,1))-AVERAGE(OFFSET($H$3,0,0,'Données projet'!$E$12+1,1))</f>
        <v>343.86347628565426</v>
      </c>
      <c r="CE28" s="58">
        <f t="shared" si="40"/>
        <v>129.28196646107097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58" t="e">
        <f t="shared" si="14"/>
        <v>#N/A</v>
      </c>
      <c r="CY28" s="58" t="e">
        <f ca="1">AVERAGE(OFFSET($CX$3,0,0,'Données projet'!$E$13+1,1))-AVERAGE(OFFSET($H$3,0,0,'Données projet'!$E$13+1,1))</f>
        <v>#N/A</v>
      </c>
      <c r="CZ28" s="58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5.962703962703964</v>
      </c>
      <c r="DO28" s="13">
        <f>IF('Données projet'!$A$166&gt;35,DO27+DN28-DW27,IF(A28&lt;'Données projet'!$A$166,$DL$205^A28,IF(A28='Données projet'!$A$166,'Données projet'!$B$166,DO27+DN28-DW27)))</f>
        <v>74.428904428904445</v>
      </c>
      <c r="DP28" s="18">
        <f>DO28*VLOOKUP('Données projet'!$B$14,Paramètres!$A$1:$I$89,3,0)*VLOOKUP('Données projet'!$B$14,Paramètres!$A$1:$I$89,5,0)</f>
        <v>70.826545454545467</v>
      </c>
      <c r="DQ28" s="14">
        <f t="shared" si="43"/>
        <v>19.878577497142633</v>
      </c>
      <c r="DR28" s="22">
        <f t="shared" si="16"/>
        <v>157.97808914085678</v>
      </c>
      <c r="DS28" s="58">
        <f t="shared" si="17"/>
        <v>445.20031136307898</v>
      </c>
      <c r="DT28" s="58">
        <f ca="1">AVERAGE(OFFSET($DS$3,0,0,'Données projet'!$E$14+1,1))-AVERAGE(OFFSET($H$3,0,0,'Données projet'!$E$14+1,1))</f>
        <v>332.49889399440514</v>
      </c>
      <c r="DU28" s="58">
        <f t="shared" si="44"/>
        <v>256.06044006790529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107.69230769230769</v>
      </c>
      <c r="EH28" s="13">
        <f>VLOOKUP(A28,'Données projet'!$A$191:$I$211,9,0)</f>
        <v>8.2051282051282044</v>
      </c>
      <c r="EI28" s="13">
        <f t="array" ref="EI28">INDEX(EH:EH,MIN(IF(ISNUMBER(EH28:EH224),ROW(EH28:EH224),"")))</f>
        <v>8.2051282051282044</v>
      </c>
      <c r="EJ28" s="13">
        <f>IF('Données projet'!$A$192&gt;35,EJ27+EI28-ER27,IF(A28&lt;'Données projet'!$A$192,$EG$205^A28,IF(A28='Données projet'!$A$192,'Données projet'!$B$192,EJ27+EI28-ER27)))</f>
        <v>107.69230769230768</v>
      </c>
      <c r="EK28" s="18">
        <f>EJ28*VLOOKUP('Données projet'!$B$15,Paramètres!$A$1:$I$89,3,0)*VLOOKUP('Données projet'!$B$15,Paramètres!$A$1:$I$89,5,0)</f>
        <v>112.55999999999999</v>
      </c>
      <c r="EL28" s="14">
        <f t="shared" si="45"/>
        <v>29.933330570949426</v>
      </c>
      <c r="EM28" s="22">
        <f t="shared" si="19"/>
        <v>248.1758840777369</v>
      </c>
      <c r="EN28" s="58">
        <f t="shared" si="20"/>
        <v>535.39810629995918</v>
      </c>
      <c r="EO28" s="58">
        <f ca="1">AVERAGE(OFFSET($EN$3,0,0,'Données projet'!$E$15+1,1))-AVERAGE(OFFSET($H$3,0,0,'Données projet'!$E$15+1,1))</f>
        <v>596.00698505207174</v>
      </c>
      <c r="EP28" s="58">
        <f t="shared" si="46"/>
        <v>378.16197659288338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7.2264102564102561</v>
      </c>
      <c r="FE28" s="13">
        <f>IF('Données projet'!$A$218&gt;35,FE27+FD28-FM27,IF(A28&lt;'Données projet'!$A$218,$FB$205^A28,IF(A28='Données projet'!$A$218,'Données projet'!$B$218,FE27+FD28-FM27)))</f>
        <v>88.451097014195071</v>
      </c>
      <c r="FF28" s="18">
        <f>FE28*VLOOKUP('Données projet'!$B$16,Paramètres!$A$1:$I$89,3,0)*VLOOKUP('Données projet'!$B$16,Paramètres!$A$1:$I$89,5,0)</f>
        <v>41.39511340264329</v>
      </c>
      <c r="FG28" s="14">
        <f t="shared" si="47"/>
        <v>12.367680831528276</v>
      </c>
      <c r="FH28" s="22">
        <f t="shared" si="22"/>
        <v>93.636866624515463</v>
      </c>
      <c r="FI28" s="58">
        <f t="shared" si="23"/>
        <v>380.85908884673768</v>
      </c>
      <c r="FJ28" s="58">
        <f ca="1">AVERAGE(OFFSET($FI$3,0,0,'Données projet'!$E$16+1,1))-AVERAGE(OFFSET($H$3,0,0,'Données projet'!$E$16+1,1))</f>
        <v>294.31042006404056</v>
      </c>
      <c r="FK28" s="58">
        <f t="shared" si="48"/>
        <v>260.93767498478502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137.82051282051282</v>
      </c>
      <c r="FX28" s="13">
        <f>VLOOKUP(A28,'Données projet'!$A$243:$I$263,9,0)</f>
        <v>9.7435897435897427</v>
      </c>
      <c r="FY28" s="13">
        <f t="array" ref="FY28">INDEX(FX:FX,MIN(IF(ISNUMBER(FX28:FX224),ROW(FX28:FX224),"")))</f>
        <v>9.7435897435897427</v>
      </c>
      <c r="FZ28" s="13">
        <f>IF('Données projet'!$A$244&gt;35,FZ27+FY28-GH27,IF(A28&lt;'Données projet'!$A$244,$FW$205^A28,IF(A28='Données projet'!$A$244,'Données projet'!$B$244,FZ27+FY28-GH27)))</f>
        <v>137.82051282051282</v>
      </c>
      <c r="GA28" s="18">
        <f>FZ28*VLOOKUP('Données projet'!$B$17,Paramètres!$A$1:$I$89,3,0)*VLOOKUP('Données projet'!$B$17,Paramètres!$A$1:$I$89,5,0)</f>
        <v>92.45</v>
      </c>
      <c r="GB28" s="14">
        <f t="shared" si="49"/>
        <v>25.155179194747834</v>
      </c>
      <c r="GC28" s="22">
        <f t="shared" si="25"/>
        <v>204.82902043085244</v>
      </c>
      <c r="GD28" s="58">
        <f t="shared" si="26"/>
        <v>492.05124265307467</v>
      </c>
      <c r="GE28" s="58">
        <f ca="1">AVERAGE(OFFSET($GD$3,0,0,'Données projet'!$E$17+1,1))-AVERAGE(OFFSET($H$3,0,0,'Données projet'!$E$17+1,1))</f>
        <v>362.1372269575329</v>
      </c>
      <c r="GF28" s="58">
        <f t="shared" si="50"/>
        <v>308.1559670593121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58" t="e">
        <f t="shared" si="29"/>
        <v>#N/A</v>
      </c>
      <c r="GZ28" s="58" t="e">
        <f ca="1">AVERAGE(OFFSET($GY$3,0,0,'Données projet'!$E$18+1,1))-AVERAGE(OFFSET($H$3,0,0,'Données projet'!$E$18+1,1))</f>
        <v>#N/A</v>
      </c>
      <c r="HA28" s="58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0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3">
        <f t="shared" si="1"/>
        <v>256.66666666666669</v>
      </c>
      <c r="I29" s="6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69.966000000000008</v>
      </c>
      <c r="P29" s="14">
        <f t="shared" si="33"/>
        <v>19.665013934342461</v>
      </c>
      <c r="Q29" s="22">
        <f t="shared" si="2"/>
        <v>156.10734926897979</v>
      </c>
      <c r="R29" s="58">
        <f t="shared" si="0"/>
        <v>444.55179371342422</v>
      </c>
      <c r="S29" s="58">
        <f ca="1">AVERAGE(OFFSET($R$3,0,0,'Données projet'!$E$9+1,1))-AVERAGE(OFFSET($H$3,0,0,'Données projet'!$E$9+1,1))</f>
        <v>483.15009705023641</v>
      </c>
      <c r="T29" s="58">
        <f t="shared" si="34"/>
        <v>254.25036207346591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58">
        <f t="shared" si="5"/>
        <v>428.14827288949664</v>
      </c>
      <c r="AN29" s="58">
        <f ca="1">AVERAGE(OFFSET($AM$3,0,0,'Données projet'!$E$10+1,1))-AVERAGE(OFFSET($H$3,0,0,'Données projet'!$E$10+1,1))</f>
        <v>435.7095890216213</v>
      </c>
      <c r="AO29" s="58">
        <f t="shared" si="36"/>
        <v>231.36959598460686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8.3333333333333321</v>
      </c>
      <c r="BD29" s="13">
        <f>IF('Données projet'!$A$88&gt;35,BD28+BC29-BL28,IF(A29&lt;'Données projet'!$A$88,$BA$205^A29,IF(A29='Données projet'!$A$88,'Données projet'!$B$88,BD28+BC29-BL28)))</f>
        <v>84.615384615384571</v>
      </c>
      <c r="BE29" s="14">
        <f>BD29*VLOOKUP('Données projet'!$B$11,Paramètres!$A$1:$I$89,3,0)*VLOOKUP('Données projet'!$B$11,Paramètres!$A$1:$I$89,5,0)</f>
        <v>73.919999999999973</v>
      </c>
      <c r="BF29" s="14">
        <f t="shared" si="37"/>
        <v>20.643823207715588</v>
      </c>
      <c r="BG29" s="22">
        <f t="shared" si="7"/>
        <v>164.69865875343794</v>
      </c>
      <c r="BH29" s="58">
        <f t="shared" si="8"/>
        <v>453.1431031978824</v>
      </c>
      <c r="BI29" s="58">
        <f ca="1">AVERAGE(OFFSET($BH$3,0,0,'Données projet'!$E$11+1,1))-AVERAGE(OFFSET($H$3,0,0,'Données projet'!$E$11+1,1))</f>
        <v>218.76424742311815</v>
      </c>
      <c r="BJ29" s="58">
        <f t="shared" si="38"/>
        <v>264.34598683038593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2.2695079435039518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2.2695079435039518</v>
      </c>
      <c r="BT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2.2571428571428571</v>
      </c>
      <c r="BY29" s="13">
        <f>IF('Données projet'!$A$114&gt;35,BY28+BX29-CG28,IF(A29&lt;'Données projet'!$A$114,$BV$205^A29,IF(A29='Données projet'!$A$114,'Données projet'!$B$114,BY28+BX29-CG28)))</f>
        <v>25.684187946314651</v>
      </c>
      <c r="BZ29" s="14">
        <f>BY29*VLOOKUP('Données projet'!$B$12,Paramètres!$A$1:$I$89,3,0)*VLOOKUP('Données projet'!$B$12,Paramètres!$A$1:$I$89,5,0)</f>
        <v>24.841746581675533</v>
      </c>
      <c r="CA29" s="14">
        <f t="shared" si="39"/>
        <v>7.8765311043753616</v>
      </c>
      <c r="CB29" s="22">
        <f t="shared" si="10"/>
        <v>56.984333636538643</v>
      </c>
      <c r="CC29" s="58">
        <f t="shared" si="11"/>
        <v>345.42877808098308</v>
      </c>
      <c r="CD29" s="58">
        <f ca="1">AVERAGE(OFFSET($CC$3,0,0,'Données projet'!$E$12+1,1))-AVERAGE(OFFSET($H$3,0,0,'Données projet'!$E$12+1,1))</f>
        <v>343.86347628565426</v>
      </c>
      <c r="CE29" s="58">
        <f t="shared" si="40"/>
        <v>129.28196646107097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58" t="e">
        <f t="shared" si="14"/>
        <v>#N/A</v>
      </c>
      <c r="CY29" s="58" t="e">
        <f ca="1">AVERAGE(OFFSET($CX$3,0,0,'Données projet'!$E$13+1,1))-AVERAGE(OFFSET($H$3,0,0,'Données projet'!$E$13+1,1))</f>
        <v>#N/A</v>
      </c>
      <c r="CZ29" s="58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5.962703962703964</v>
      </c>
      <c r="DO29" s="13">
        <f>IF('Données projet'!$A$166&gt;35,DO28+DN29-DW28,IF(A29&lt;'Données projet'!$A$166,$DL$205^A29,IF(A29='Données projet'!$A$166,'Données projet'!$B$166,DO28+DN29-DW28)))</f>
        <v>80.391608391608415</v>
      </c>
      <c r="DP29" s="18">
        <f>DO29*VLOOKUP('Données projet'!$B$14,Paramètres!$A$1:$I$89,3,0)*VLOOKUP('Données projet'!$B$14,Paramètres!$A$1:$I$89,5,0)</f>
        <v>76.500654545454566</v>
      </c>
      <c r="DQ29" s="14">
        <f t="shared" si="43"/>
        <v>21.27936148844751</v>
      </c>
      <c r="DR29" s="22">
        <f t="shared" si="16"/>
        <v>170.30019459237943</v>
      </c>
      <c r="DS29" s="58">
        <f t="shared" si="17"/>
        <v>458.74463903682386</v>
      </c>
      <c r="DT29" s="58">
        <f ca="1">AVERAGE(OFFSET($DS$3,0,0,'Données projet'!$E$14+1,1))-AVERAGE(OFFSET($H$3,0,0,'Données projet'!$E$14+1,1))</f>
        <v>332.49889399440514</v>
      </c>
      <c r="DU29" s="58">
        <f t="shared" si="44"/>
        <v>256.06044006790529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8.3333333333333339</v>
      </c>
      <c r="EJ29" s="13">
        <f>IF('Données projet'!$A$192&gt;35,EJ28+EI29-ER28,IF(A29&lt;'Données projet'!$A$192,$EG$205^A29,IF(A29='Données projet'!$A$192,'Données projet'!$B$192,EJ28+EI29-ER28)))</f>
        <v>116.02564102564101</v>
      </c>
      <c r="EK29" s="18">
        <f>EJ29*VLOOKUP('Données projet'!$B$15,Paramètres!$A$1:$I$89,3,0)*VLOOKUP('Données projet'!$B$15,Paramètres!$A$1:$I$89,5,0)</f>
        <v>121.26999999999998</v>
      </c>
      <c r="EL29" s="14">
        <f t="shared" si="45"/>
        <v>31.971024204432702</v>
      </c>
      <c r="EM29" s="22">
        <f t="shared" si="19"/>
        <v>266.89478382272023</v>
      </c>
      <c r="EN29" s="58">
        <f t="shared" si="20"/>
        <v>555.33922826716469</v>
      </c>
      <c r="EO29" s="58">
        <f ca="1">AVERAGE(OFFSET($EN$3,0,0,'Données projet'!$E$15+1,1))-AVERAGE(OFFSET($H$3,0,0,'Données projet'!$E$15+1,1))</f>
        <v>596.00698505207174</v>
      </c>
      <c r="EP29" s="58">
        <f t="shared" si="46"/>
        <v>378.16197659288338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7.2264102564102561</v>
      </c>
      <c r="FE29" s="13">
        <f>IF('Données projet'!$A$218&gt;35,FE28+FD29-FM28,IF(A29&lt;'Données projet'!$A$218,$FB$205^A29,IF(A29='Données projet'!$A$218,'Données projet'!$B$218,FE28+FD29-FM28)))</f>
        <v>105.82087604801265</v>
      </c>
      <c r="FF29" s="18">
        <f>FE29*VLOOKUP('Données projet'!$B$16,Paramètres!$A$1:$I$89,3,0)*VLOOKUP('Données projet'!$B$16,Paramètres!$A$1:$I$89,5,0)</f>
        <v>49.524169990469915</v>
      </c>
      <c r="FG29" s="14">
        <f t="shared" si="47"/>
        <v>14.490806184311312</v>
      </c>
      <c r="FH29" s="22">
        <f t="shared" si="22"/>
        <v>111.4927501710773</v>
      </c>
      <c r="FI29" s="58">
        <f t="shared" si="23"/>
        <v>399.93719461552178</v>
      </c>
      <c r="FJ29" s="58">
        <f ca="1">AVERAGE(OFFSET($FI$3,0,0,'Données projet'!$E$16+1,1))-AVERAGE(OFFSET($H$3,0,0,'Données projet'!$E$16+1,1))</f>
        <v>294.31042006404056</v>
      </c>
      <c r="FK29" s="58">
        <f t="shared" si="48"/>
        <v>260.93767498478502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9.2307692307692317</v>
      </c>
      <c r="FZ29" s="13">
        <f>IF('Données projet'!$A$244&gt;35,FZ28+FY29-GH28,IF(A29&lt;'Données projet'!$A$244,$FW$205^A29,IF(A29='Données projet'!$A$244,'Données projet'!$B$244,FZ28+FY29-GH28)))</f>
        <v>147.05128205128204</v>
      </c>
      <c r="GA29" s="18">
        <f>FZ29*VLOOKUP('Données projet'!$B$17,Paramètres!$A$1:$I$89,3,0)*VLOOKUP('Données projet'!$B$17,Paramètres!$A$1:$I$89,5,0)</f>
        <v>98.641999999999996</v>
      </c>
      <c r="GB29" s="14">
        <f t="shared" si="49"/>
        <v>26.638215773406319</v>
      </c>
      <c r="GC29" s="22">
        <f t="shared" si="25"/>
        <v>218.19637580534933</v>
      </c>
      <c r="GD29" s="58">
        <f t="shared" si="26"/>
        <v>506.64082024979382</v>
      </c>
      <c r="GE29" s="58">
        <f ca="1">AVERAGE(OFFSET($GD$3,0,0,'Données projet'!$E$17+1,1))-AVERAGE(OFFSET($H$3,0,0,'Données projet'!$E$17+1,1))</f>
        <v>362.1372269575329</v>
      </c>
      <c r="GF29" s="58">
        <f t="shared" si="50"/>
        <v>308.1559670593121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58" t="e">
        <f t="shared" si="29"/>
        <v>#N/A</v>
      </c>
      <c r="GZ29" s="58" t="e">
        <f ca="1">AVERAGE(OFFSET($GY$3,0,0,'Données projet'!$E$18+1,1))-AVERAGE(OFFSET($H$3,0,0,'Données projet'!$E$18+1,1))</f>
        <v>#N/A</v>
      </c>
      <c r="HA29" s="58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0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3">
        <f t="shared" si="1"/>
        <v>256.66666666666669</v>
      </c>
      <c r="I30" s="6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77.064000000000007</v>
      </c>
      <c r="P30" s="14">
        <f t="shared" si="33"/>
        <v>21.417762186678065</v>
      </c>
      <c r="Q30" s="22">
        <f t="shared" si="2"/>
        <v>171.52240247513097</v>
      </c>
      <c r="R30" s="58">
        <f t="shared" si="0"/>
        <v>461.18906914179763</v>
      </c>
      <c r="S30" s="58">
        <f ca="1">AVERAGE(OFFSET($R$3,0,0,'Données projet'!$E$9+1,1))-AVERAGE(OFFSET($H$3,0,0,'Données projet'!$E$9+1,1))</f>
        <v>483.15009705023641</v>
      </c>
      <c r="T30" s="58">
        <f t="shared" si="34"/>
        <v>254.25036207346591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58">
        <f t="shared" si="5"/>
        <v>443.16183437358302</v>
      </c>
      <c r="AN30" s="58">
        <f ca="1">AVERAGE(OFFSET($AM$3,0,0,'Données projet'!$E$10+1,1))-AVERAGE(OFFSET($H$3,0,0,'Données projet'!$E$10+1,1))</f>
        <v>435.7095890216213</v>
      </c>
      <c r="AO30" s="58">
        <f t="shared" si="36"/>
        <v>231.36959598460686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8.3333333333333321</v>
      </c>
      <c r="BD30" s="13">
        <f>IF('Données projet'!$A$88&gt;35,BD29+BC30-BL29,IF(A30&lt;'Données projet'!$A$88,$BA$205^A30,IF(A30='Données projet'!$A$88,'Données projet'!$B$88,BD29+BC30-BL29)))</f>
        <v>92.948717948717899</v>
      </c>
      <c r="BE30" s="14">
        <f>BD30*VLOOKUP('Données projet'!$B$11,Paramètres!$A$1:$I$89,3,0)*VLOOKUP('Données projet'!$B$11,Paramètres!$A$1:$I$89,5,0)</f>
        <v>81.199999999999974</v>
      </c>
      <c r="BF30" s="14">
        <f t="shared" si="37"/>
        <v>22.430335642007741</v>
      </c>
      <c r="BG30" s="22">
        <f t="shared" si="7"/>
        <v>180.48950124316343</v>
      </c>
      <c r="BH30" s="58">
        <f t="shared" si="8"/>
        <v>470.15616790983012</v>
      </c>
      <c r="BI30" s="58">
        <f ca="1">AVERAGE(OFFSET($BH$3,0,0,'Données projet'!$E$11+1,1))-AVERAGE(OFFSET($H$3,0,0,'Données projet'!$E$11+1,1))</f>
        <v>218.76424742311815</v>
      </c>
      <c r="BJ30" s="58">
        <f t="shared" si="38"/>
        <v>264.34598683038593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2.2074481294406003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2.2074481294406003</v>
      </c>
      <c r="BT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2.2571428571428571</v>
      </c>
      <c r="BY30" s="13">
        <f>IF('Données projet'!$A$114&gt;35,BY29+BX30-CG29,IF(A30&lt;'Données projet'!$A$114,$BV$205^A30,IF(A30='Données projet'!$A$114,'Données projet'!$B$114,BY29+BX30-CG29)))</f>
        <v>29.099381357536316</v>
      </c>
      <c r="BZ30" s="14">
        <f>BY30*VLOOKUP('Données projet'!$B$12,Paramètres!$A$1:$I$89,3,0)*VLOOKUP('Données projet'!$B$12,Paramètres!$A$1:$I$89,5,0)</f>
        <v>28.144921649009127</v>
      </c>
      <c r="CA30" s="14">
        <f t="shared" si="39"/>
        <v>8.7951235323244319</v>
      </c>
      <c r="CB30" s="22">
        <f t="shared" si="10"/>
        <v>64.33724535748928</v>
      </c>
      <c r="CC30" s="58">
        <f t="shared" si="11"/>
        <v>354.00391202415597</v>
      </c>
      <c r="CD30" s="58">
        <f ca="1">AVERAGE(OFFSET($CC$3,0,0,'Données projet'!$E$12+1,1))-AVERAGE(OFFSET($H$3,0,0,'Données projet'!$E$12+1,1))</f>
        <v>343.86347628565426</v>
      </c>
      <c r="CE30" s="58">
        <f t="shared" si="40"/>
        <v>129.28196646107097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58" t="e">
        <f t="shared" si="14"/>
        <v>#N/A</v>
      </c>
      <c r="CY30" s="58" t="e">
        <f ca="1">AVERAGE(OFFSET($CX$3,0,0,'Données projet'!$E$13+1,1))-AVERAGE(OFFSET($H$3,0,0,'Données projet'!$E$13+1,1))</f>
        <v>#N/A</v>
      </c>
      <c r="CZ30" s="58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5.962703962703964</v>
      </c>
      <c r="DO30" s="13">
        <f>IF('Données projet'!$A$166&gt;35,DO29+DN30-DW29,IF(A30&lt;'Données projet'!$A$166,$DL$205^A30,IF(A30='Données projet'!$A$166,'Données projet'!$B$166,DO29+DN30-DW29)))</f>
        <v>86.354312354312384</v>
      </c>
      <c r="DP30" s="18">
        <f>DO30*VLOOKUP('Données projet'!$B$14,Paramètres!$A$1:$I$89,3,0)*VLOOKUP('Données projet'!$B$14,Paramètres!$A$1:$I$89,5,0)</f>
        <v>82.174763636363664</v>
      </c>
      <c r="DQ30" s="14">
        <f t="shared" si="43"/>
        <v>22.668092245013927</v>
      </c>
      <c r="DR30" s="22">
        <f t="shared" si="16"/>
        <v>182.60130732673261</v>
      </c>
      <c r="DS30" s="58">
        <f t="shared" si="17"/>
        <v>472.26797399339932</v>
      </c>
      <c r="DT30" s="58">
        <f ca="1">AVERAGE(OFFSET($DS$3,0,0,'Données projet'!$E$14+1,1))-AVERAGE(OFFSET($H$3,0,0,'Données projet'!$E$14+1,1))</f>
        <v>332.49889399440514</v>
      </c>
      <c r="DU30" s="58">
        <f t="shared" si="44"/>
        <v>256.06044006790529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8.3333333333333339</v>
      </c>
      <c r="EJ30" s="13">
        <f>IF('Données projet'!$A$192&gt;35,EJ29+EI30-ER29,IF(A30&lt;'Données projet'!$A$192,$EG$205^A30,IF(A30='Données projet'!$A$192,'Données projet'!$B$192,EJ29+EI30-ER29)))</f>
        <v>124.35897435897434</v>
      </c>
      <c r="EK30" s="18">
        <f>EJ30*VLOOKUP('Données projet'!$B$15,Paramètres!$A$1:$I$89,3,0)*VLOOKUP('Données projet'!$B$15,Paramètres!$A$1:$I$89,5,0)</f>
        <v>129.97999999999999</v>
      </c>
      <c r="EL30" s="14">
        <f t="shared" si="45"/>
        <v>33.991737878182434</v>
      </c>
      <c r="EM30" s="22">
        <f t="shared" si="19"/>
        <v>285.58411013783433</v>
      </c>
      <c r="EN30" s="58">
        <f t="shared" si="20"/>
        <v>575.25077680450102</v>
      </c>
      <c r="EO30" s="58">
        <f ca="1">AVERAGE(OFFSET($EN$3,0,0,'Données projet'!$E$15+1,1))-AVERAGE(OFFSET($H$3,0,0,'Données projet'!$E$15+1,1))</f>
        <v>596.00698505207174</v>
      </c>
      <c r="EP30" s="58">
        <f t="shared" si="46"/>
        <v>378.16197659288338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7.2264102564102561</v>
      </c>
      <c r="FE30" s="13">
        <f>IF('Données projet'!$A$218&gt;35,FE29+FD30-FM29,IF(A30&lt;'Données projet'!$A$218,$FB$205^A30,IF(A30='Données projet'!$A$218,'Données projet'!$B$218,FE29+FD30-FM29)))</f>
        <v>126.60168370519743</v>
      </c>
      <c r="FF30" s="18">
        <f>FE30*VLOOKUP('Données projet'!$B$16,Paramètres!$A$1:$I$89,3,0)*VLOOKUP('Données projet'!$B$16,Paramètres!$A$1:$I$89,5,0)</f>
        <v>59.249587974032401</v>
      </c>
      <c r="FG30" s="14">
        <f t="shared" si="47"/>
        <v>16.97840255838226</v>
      </c>
      <c r="FH30" s="22">
        <f t="shared" si="22"/>
        <v>132.76375017728887</v>
      </c>
      <c r="FI30" s="58">
        <f t="shared" si="23"/>
        <v>422.43041684395553</v>
      </c>
      <c r="FJ30" s="58">
        <f ca="1">AVERAGE(OFFSET($FI$3,0,0,'Données projet'!$E$16+1,1))-AVERAGE(OFFSET($H$3,0,0,'Données projet'!$E$16+1,1))</f>
        <v>294.31042006404056</v>
      </c>
      <c r="FK30" s="58">
        <f t="shared" si="48"/>
        <v>260.93767498478502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9.2307692307692317</v>
      </c>
      <c r="FZ30" s="13">
        <f>IF('Données projet'!$A$244&gt;35,FZ29+FY30-GH29,IF(A30&lt;'Données projet'!$A$244,$FW$205^A30,IF(A30='Données projet'!$A$244,'Données projet'!$B$244,FZ29+FY30-GH29)))</f>
        <v>156.28205128205127</v>
      </c>
      <c r="GA30" s="18">
        <f>FZ30*VLOOKUP('Données projet'!$B$17,Paramètres!$A$1:$I$89,3,0)*VLOOKUP('Données projet'!$B$17,Paramètres!$A$1:$I$89,5,0)</f>
        <v>104.834</v>
      </c>
      <c r="GB30" s="14">
        <f t="shared" si="49"/>
        <v>28.110448233045847</v>
      </c>
      <c r="GC30" s="22">
        <f t="shared" si="25"/>
        <v>231.54491400588816</v>
      </c>
      <c r="GD30" s="58">
        <f t="shared" si="26"/>
        <v>521.21158067255487</v>
      </c>
      <c r="GE30" s="58">
        <f ca="1">AVERAGE(OFFSET($GD$3,0,0,'Données projet'!$E$17+1,1))-AVERAGE(OFFSET($H$3,0,0,'Données projet'!$E$17+1,1))</f>
        <v>362.1372269575329</v>
      </c>
      <c r="GF30" s="58">
        <f t="shared" si="50"/>
        <v>308.1559670593121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58" t="e">
        <f t="shared" si="29"/>
        <v>#N/A</v>
      </c>
      <c r="GZ30" s="58" t="e">
        <f ca="1">AVERAGE(OFFSET($GY$3,0,0,'Données projet'!$E$18+1,1))-AVERAGE(OFFSET($H$3,0,0,'Données projet'!$E$18+1,1))</f>
        <v>#N/A</v>
      </c>
      <c r="HA30" s="58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0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3">
        <f t="shared" si="1"/>
        <v>256.66666666666669</v>
      </c>
      <c r="I31" s="6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84.162000000000006</v>
      </c>
      <c r="P31" s="14">
        <f t="shared" si="33"/>
        <v>23.151791590506594</v>
      </c>
      <c r="Q31" s="22">
        <f t="shared" si="2"/>
        <v>186.90485368679899</v>
      </c>
      <c r="R31" s="58">
        <f t="shared" si="0"/>
        <v>477.79374257568782</v>
      </c>
      <c r="S31" s="58">
        <f ca="1">AVERAGE(OFFSET($R$3,0,0,'Données projet'!$E$9+1,1))-AVERAGE(OFFSET($H$3,0,0,'Données projet'!$E$9+1,1))</f>
        <v>483.15009705023641</v>
      </c>
      <c r="T31" s="58">
        <f t="shared" si="34"/>
        <v>254.25036207346591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58">
        <f t="shared" si="5"/>
        <v>458.14591643983221</v>
      </c>
      <c r="AN31" s="58">
        <f ca="1">AVERAGE(OFFSET($AM$3,0,0,'Données projet'!$E$10+1,1))-AVERAGE(OFFSET($H$3,0,0,'Données projet'!$E$10+1,1))</f>
        <v>435.7095890216213</v>
      </c>
      <c r="AO31" s="58">
        <f t="shared" si="36"/>
        <v>231.36959598460686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8.3333333333333321</v>
      </c>
      <c r="BD31" s="13">
        <f>IF('Données projet'!$A$88&gt;35,BD30+BC31-BL30,IF(A31&lt;'Données projet'!$A$88,$BA$205^A31,IF(A31='Données projet'!$A$88,'Données projet'!$B$88,BD30+BC31-BL30)))</f>
        <v>101.28205128205123</v>
      </c>
      <c r="BE31" s="14">
        <f>BD31*VLOOKUP('Données projet'!$B$11,Paramètres!$A$1:$I$89,3,0)*VLOOKUP('Données projet'!$B$11,Paramètres!$A$1:$I$89,5,0)</f>
        <v>88.479999999999961</v>
      </c>
      <c r="BF31" s="14">
        <f t="shared" si="37"/>
        <v>24.198274979354824</v>
      </c>
      <c r="BG31" s="22">
        <f t="shared" si="7"/>
        <v>196.24799558904292</v>
      </c>
      <c r="BH31" s="58">
        <f t="shared" si="8"/>
        <v>487.13688447793174</v>
      </c>
      <c r="BI31" s="58">
        <f ca="1">AVERAGE(OFFSET($BH$3,0,0,'Données projet'!$E$11+1,1))-AVERAGE(OFFSET($H$3,0,0,'Données projet'!$E$11+1,1))</f>
        <v>218.76424742311815</v>
      </c>
      <c r="BJ31" s="58">
        <f t="shared" si="38"/>
        <v>264.34598683038593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2.1470853442563951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2.1470853442563951</v>
      </c>
      <c r="BT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2.2571428571428571</v>
      </c>
      <c r="BY31" s="13">
        <f>IF('Données projet'!$A$114&gt;35,BY30+BX31-CG30,IF(A31&lt;'Données projet'!$A$114,$BV$205^A31,IF(A31='Données projet'!$A$114,'Données projet'!$B$114,BY30+BX31-CG30)))</f>
        <v>32.96868864070251</v>
      </c>
      <c r="BZ31" s="14">
        <f>BY31*VLOOKUP('Données projet'!$B$12,Paramètres!$A$1:$I$89,3,0)*VLOOKUP('Données projet'!$B$12,Paramètres!$A$1:$I$89,5,0)</f>
        <v>31.88731565328747</v>
      </c>
      <c r="CA31" s="14">
        <f t="shared" si="39"/>
        <v>9.8208458677802053</v>
      </c>
      <c r="CB31" s="22">
        <f t="shared" si="10"/>
        <v>72.641714649192863</v>
      </c>
      <c r="CC31" s="58">
        <f t="shared" si="11"/>
        <v>363.53060353808172</v>
      </c>
      <c r="CD31" s="58">
        <f ca="1">AVERAGE(OFFSET($CC$3,0,0,'Données projet'!$E$12+1,1))-AVERAGE(OFFSET($H$3,0,0,'Données projet'!$E$12+1,1))</f>
        <v>343.86347628565426</v>
      </c>
      <c r="CE31" s="58">
        <f t="shared" si="40"/>
        <v>129.28196646107097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58" t="e">
        <f t="shared" si="14"/>
        <v>#N/A</v>
      </c>
      <c r="CY31" s="58" t="e">
        <f ca="1">AVERAGE(OFFSET($CX$3,0,0,'Données projet'!$E$13+1,1))-AVERAGE(OFFSET($H$3,0,0,'Données projet'!$E$13+1,1))</f>
        <v>#N/A</v>
      </c>
      <c r="CZ31" s="58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5.962703962703964</v>
      </c>
      <c r="DO31" s="13">
        <f>IF('Données projet'!$A$166&gt;35,DO30+DN31-DW30,IF(A31&lt;'Données projet'!$A$166,$DL$205^A31,IF(A31='Données projet'!$A$166,'Données projet'!$B$166,DO30+DN31-DW30)))</f>
        <v>92.317016317016353</v>
      </c>
      <c r="DP31" s="18">
        <f>DO31*VLOOKUP('Données projet'!$B$14,Paramètres!$A$1:$I$89,3,0)*VLOOKUP('Données projet'!$B$14,Paramètres!$A$1:$I$89,5,0)</f>
        <v>87.848872727272763</v>
      </c>
      <c r="DQ31" s="14">
        <f t="shared" si="43"/>
        <v>24.045696710074203</v>
      </c>
      <c r="DR31" s="22">
        <f t="shared" si="16"/>
        <v>194.88304177004599</v>
      </c>
      <c r="DS31" s="58">
        <f t="shared" si="17"/>
        <v>485.77193065893482</v>
      </c>
      <c r="DT31" s="58">
        <f ca="1">AVERAGE(OFFSET($DS$3,0,0,'Données projet'!$E$14+1,1))-AVERAGE(OFFSET($H$3,0,0,'Données projet'!$E$14+1,1))</f>
        <v>332.49889399440514</v>
      </c>
      <c r="DU31" s="58">
        <f t="shared" si="44"/>
        <v>256.06044006790529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8.3333333333333339</v>
      </c>
      <c r="EJ31" s="13">
        <f>IF('Données projet'!$A$192&gt;35,EJ30+EI31-ER30,IF(A31&lt;'Données projet'!$A$192,$EG$205^A31,IF(A31='Données projet'!$A$192,'Données projet'!$B$192,EJ30+EI31-ER30)))</f>
        <v>132.69230769230768</v>
      </c>
      <c r="EK31" s="18">
        <f>EJ31*VLOOKUP('Données projet'!$B$15,Paramètres!$A$1:$I$89,3,0)*VLOOKUP('Données projet'!$B$15,Paramètres!$A$1:$I$89,5,0)</f>
        <v>138.69</v>
      </c>
      <c r="EL31" s="14">
        <f t="shared" si="45"/>
        <v>35.996738887121467</v>
      </c>
      <c r="EM31" s="22">
        <f t="shared" si="19"/>
        <v>304.2460702284032</v>
      </c>
      <c r="EN31" s="58">
        <f t="shared" si="20"/>
        <v>595.13495911729206</v>
      </c>
      <c r="EO31" s="58">
        <f ca="1">AVERAGE(OFFSET($EN$3,0,0,'Données projet'!$E$15+1,1))-AVERAGE(OFFSET($H$3,0,0,'Données projet'!$E$15+1,1))</f>
        <v>596.00698505207174</v>
      </c>
      <c r="EP31" s="58">
        <f t="shared" si="46"/>
        <v>378.16197659288338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7.2264102564102561</v>
      </c>
      <c r="FE31" s="13">
        <f>IF('Données projet'!$A$218&gt;35,FE30+FD31-FM30,IF(A31&lt;'Données projet'!$A$218,$FB$205^A31,IF(A31='Données projet'!$A$218,'Données projet'!$B$218,FE30+FD31-FM30)))</f>
        <v>151.46336824615491</v>
      </c>
      <c r="FF31" s="18">
        <f>FE31*VLOOKUP('Données projet'!$B$16,Paramètres!$A$1:$I$89,3,0)*VLOOKUP('Données projet'!$B$16,Paramètres!$A$1:$I$89,5,0)</f>
        <v>70.884856339200496</v>
      </c>
      <c r="FG31" s="14">
        <f t="shared" si="47"/>
        <v>19.893037679751526</v>
      </c>
      <c r="FH31" s="22">
        <f t="shared" si="22"/>
        <v>158.10483208300809</v>
      </c>
      <c r="FI31" s="58">
        <f t="shared" si="23"/>
        <v>448.99372097189695</v>
      </c>
      <c r="FJ31" s="58">
        <f ca="1">AVERAGE(OFFSET($FI$3,0,0,'Données projet'!$E$16+1,1))-AVERAGE(OFFSET($H$3,0,0,'Données projet'!$E$16+1,1))</f>
        <v>294.31042006404056</v>
      </c>
      <c r="FK31" s="58">
        <f t="shared" si="48"/>
        <v>260.93767498478502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9.2307692307692317</v>
      </c>
      <c r="FZ31" s="13">
        <f>IF('Données projet'!$A$244&gt;35,FZ30+FY31-GH30,IF(A31&lt;'Données projet'!$A$244,$FW$205^A31,IF(A31='Données projet'!$A$244,'Données projet'!$B$244,FZ30+FY31-GH30)))</f>
        <v>165.5128205128205</v>
      </c>
      <c r="GA31" s="18">
        <f>FZ31*VLOOKUP('Données projet'!$B$17,Paramètres!$A$1:$I$89,3,0)*VLOOKUP('Données projet'!$B$17,Paramètres!$A$1:$I$89,5,0)</f>
        <v>111.026</v>
      </c>
      <c r="GB31" s="14">
        <f t="shared" si="49"/>
        <v>29.572587403880362</v>
      </c>
      <c r="GC31" s="22">
        <f t="shared" si="25"/>
        <v>244.87587306175826</v>
      </c>
      <c r="GD31" s="58">
        <f t="shared" si="26"/>
        <v>535.76476195064708</v>
      </c>
      <c r="GE31" s="58">
        <f ca="1">AVERAGE(OFFSET($GD$3,0,0,'Données projet'!$E$17+1,1))-AVERAGE(OFFSET($H$3,0,0,'Données projet'!$E$17+1,1))</f>
        <v>362.1372269575329</v>
      </c>
      <c r="GF31" s="58">
        <f t="shared" si="50"/>
        <v>308.1559670593121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58" t="e">
        <f t="shared" si="29"/>
        <v>#N/A</v>
      </c>
      <c r="GZ31" s="58" t="e">
        <f ca="1">AVERAGE(OFFSET($GY$3,0,0,'Données projet'!$E$18+1,1))-AVERAGE(OFFSET($H$3,0,0,'Données projet'!$E$18+1,1))</f>
        <v>#N/A</v>
      </c>
      <c r="HA31" s="58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0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3">
        <f t="shared" si="1"/>
        <v>256.66666666666669</v>
      </c>
      <c r="I32" s="6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91.26</v>
      </c>
      <c r="P32" s="14">
        <f t="shared" si="33"/>
        <v>24.868860330902777</v>
      </c>
      <c r="Q32" s="22">
        <f t="shared" si="2"/>
        <v>202.25776507632233</v>
      </c>
      <c r="R32" s="58">
        <f t="shared" si="0"/>
        <v>494.36887618743344</v>
      </c>
      <c r="S32" s="58">
        <f ca="1">AVERAGE(OFFSET($R$3,0,0,'Données projet'!$E$9+1,1))-AVERAGE(OFFSET($H$3,0,0,'Données projet'!$E$9+1,1))</f>
        <v>483.15009705023641</v>
      </c>
      <c r="T32" s="58">
        <f t="shared" si="34"/>
        <v>254.25036207346591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58">
        <f t="shared" si="5"/>
        <v>473.10328796969736</v>
      </c>
      <c r="AN32" s="58">
        <f ca="1">AVERAGE(OFFSET($AM$3,0,0,'Données projet'!$E$10+1,1))-AVERAGE(OFFSET($H$3,0,0,'Données projet'!$E$10+1,1))</f>
        <v>435.7095890216213</v>
      </c>
      <c r="AO32" s="58">
        <f t="shared" si="36"/>
        <v>231.36959598460686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8.3333333333333321</v>
      </c>
      <c r="BD32" s="13">
        <f>IF('Données projet'!$A$88&gt;35,BD31+BC32-BL31,IF(A32&lt;'Données projet'!$A$88,$BA$205^A32,IF(A32='Données projet'!$A$88,'Données projet'!$B$88,BD31+BC32-BL31)))</f>
        <v>109.61538461538456</v>
      </c>
      <c r="BE32" s="14">
        <f>BD32*VLOOKUP('Données projet'!$B$11,Paramètres!$A$1:$I$89,3,0)*VLOOKUP('Données projet'!$B$11,Paramètres!$A$1:$I$89,5,0)</f>
        <v>95.759999999999962</v>
      </c>
      <c r="BF32" s="14">
        <f t="shared" si="37"/>
        <v>25.949343123205708</v>
      </c>
      <c r="BG32" s="22">
        <f t="shared" si="7"/>
        <v>211.9771059395832</v>
      </c>
      <c r="BH32" s="58">
        <f t="shared" si="8"/>
        <v>504.08821705069431</v>
      </c>
      <c r="BI32" s="58">
        <f ca="1">AVERAGE(OFFSET($BH$3,0,0,'Données projet'!$E$11+1,1))-AVERAGE(OFFSET($H$3,0,0,'Données projet'!$E$11+1,1))</f>
        <v>218.76424742311815</v>
      </c>
      <c r="BJ32" s="58">
        <f t="shared" si="38"/>
        <v>264.34598683038593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2.088373182607393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2.088373182607393</v>
      </c>
      <c r="BT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2.2571428571428571</v>
      </c>
      <c r="BY32" s="13">
        <f>IF('Données projet'!$A$114&gt;35,BY31+BX32-CG31,IF(A32&lt;'Données projet'!$A$114,$BV$205^A32,IF(A32='Données projet'!$A$114,'Données projet'!$B$114,BY31+BX32-CG31)))</f>
        <v>37.352492732842464</v>
      </c>
      <c r="BZ32" s="14">
        <f>BY32*VLOOKUP('Données projet'!$B$12,Paramètres!$A$1:$I$89,3,0)*VLOOKUP('Données projet'!$B$12,Paramètres!$A$1:$I$89,5,0)</f>
        <v>36.127330971205232</v>
      </c>
      <c r="CA32" s="14">
        <f t="shared" si="39"/>
        <v>10.966192027231864</v>
      </c>
      <c r="CB32" s="22">
        <f t="shared" si="10"/>
        <v>82.021219222277935</v>
      </c>
      <c r="CC32" s="58">
        <f t="shared" si="11"/>
        <v>374.13233033338906</v>
      </c>
      <c r="CD32" s="58">
        <f ca="1">AVERAGE(OFFSET($CC$3,0,0,'Données projet'!$E$12+1,1))-AVERAGE(OFFSET($H$3,0,0,'Données projet'!$E$12+1,1))</f>
        <v>343.86347628565426</v>
      </c>
      <c r="CE32" s="58">
        <f t="shared" si="40"/>
        <v>129.28196646107097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58" t="e">
        <f t="shared" si="14"/>
        <v>#N/A</v>
      </c>
      <c r="CY32" s="58" t="e">
        <f ca="1">AVERAGE(OFFSET($CX$3,0,0,'Données projet'!$E$13+1,1))-AVERAGE(OFFSET($H$3,0,0,'Données projet'!$E$13+1,1))</f>
        <v>#N/A</v>
      </c>
      <c r="CZ32" s="58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5.962703962703964</v>
      </c>
      <c r="DO32" s="13">
        <f>IF('Données projet'!$A$166&gt;35,DO31+DN32-DW31,IF(A32&lt;'Données projet'!$A$166,$DL$205^A32,IF(A32='Données projet'!$A$166,'Données projet'!$B$166,DO31+DN32-DW31)))</f>
        <v>98.279720279720323</v>
      </c>
      <c r="DP32" s="18">
        <f>DO32*VLOOKUP('Données projet'!$B$14,Paramètres!$A$1:$I$89,3,0)*VLOOKUP('Données projet'!$B$14,Paramètres!$A$1:$I$89,5,0)</f>
        <v>93.522981818181862</v>
      </c>
      <c r="DQ32" s="14">
        <f t="shared" si="43"/>
        <v>25.412975314639301</v>
      </c>
      <c r="DR32" s="22">
        <f t="shared" si="16"/>
        <v>207.14679200633017</v>
      </c>
      <c r="DS32" s="58">
        <f t="shared" si="17"/>
        <v>499.25790311744129</v>
      </c>
      <c r="DT32" s="58">
        <f ca="1">AVERAGE(OFFSET($DS$3,0,0,'Données projet'!$E$14+1,1))-AVERAGE(OFFSET($H$3,0,0,'Données projet'!$E$14+1,1))</f>
        <v>332.49889399440514</v>
      </c>
      <c r="DU32" s="58">
        <f t="shared" si="44"/>
        <v>256.06044006790529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8.3333333333333339</v>
      </c>
      <c r="EJ32" s="13">
        <f>IF('Données projet'!$A$192&gt;35,EJ31+EI32-ER31,IF(A32&lt;'Données projet'!$A$192,$EG$205^A32,IF(A32='Données projet'!$A$192,'Données projet'!$B$192,EJ31+EI32-ER31)))</f>
        <v>141.02564102564102</v>
      </c>
      <c r="EK32" s="18">
        <f>EJ32*VLOOKUP('Données projet'!$B$15,Paramètres!$A$1:$I$89,3,0)*VLOOKUP('Données projet'!$B$15,Paramètres!$A$1:$I$89,5,0)</f>
        <v>147.4</v>
      </c>
      <c r="EL32" s="14">
        <f t="shared" si="45"/>
        <v>37.987126351804257</v>
      </c>
      <c r="EM32" s="22">
        <f t="shared" si="19"/>
        <v>322.88257839605905</v>
      </c>
      <c r="EN32" s="58">
        <f t="shared" si="20"/>
        <v>614.99368950717019</v>
      </c>
      <c r="EO32" s="58">
        <f ca="1">AVERAGE(OFFSET($EN$3,0,0,'Données projet'!$E$15+1,1))-AVERAGE(OFFSET($H$3,0,0,'Données projet'!$E$15+1,1))</f>
        <v>596.00698505207174</v>
      </c>
      <c r="EP32" s="58">
        <f t="shared" si="46"/>
        <v>378.16197659288338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7.2264102564102561</v>
      </c>
      <c r="FE32" s="13">
        <f>IF('Données projet'!$A$218&gt;35,FE31+FD32-FM31,IF(A32&lt;'Données projet'!$A$218,$FB$205^A32,IF(A32='Données projet'!$A$218,'Données projet'!$B$218,FE31+FD32-FM31)))</f>
        <v>181.20732085910257</v>
      </c>
      <c r="FF32" s="18">
        <f>FE32*VLOOKUP('Données projet'!$B$16,Paramètres!$A$1:$I$89,3,0)*VLOOKUP('Données projet'!$B$16,Paramètres!$A$1:$I$89,5,0)</f>
        <v>84.805026162060003</v>
      </c>
      <c r="FG32" s="14">
        <f t="shared" si="47"/>
        <v>23.308020101846395</v>
      </c>
      <c r="FH32" s="22">
        <f t="shared" si="22"/>
        <v>188.29688890963698</v>
      </c>
      <c r="FI32" s="58">
        <f t="shared" si="23"/>
        <v>480.40800002074809</v>
      </c>
      <c r="FJ32" s="58">
        <f ca="1">AVERAGE(OFFSET($FI$3,0,0,'Données projet'!$E$16+1,1))-AVERAGE(OFFSET($H$3,0,0,'Données projet'!$E$16+1,1))</f>
        <v>294.31042006404056</v>
      </c>
      <c r="FK32" s="58">
        <f t="shared" si="48"/>
        <v>260.93767498478502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9.2307692307692317</v>
      </c>
      <c r="FZ32" s="13">
        <f>IF('Données projet'!$A$244&gt;35,FZ31+FY32-GH31,IF(A32&lt;'Données projet'!$A$244,$FW$205^A32,IF(A32='Données projet'!$A$244,'Données projet'!$B$244,FZ31+FY32-GH31)))</f>
        <v>174.74358974358972</v>
      </c>
      <c r="GA32" s="18">
        <f>FZ32*VLOOKUP('Données projet'!$B$17,Paramètres!$A$1:$I$89,3,0)*VLOOKUP('Données projet'!$B$17,Paramètres!$A$1:$I$89,5,0)</f>
        <v>117.21799999999998</v>
      </c>
      <c r="GB32" s="14">
        <f t="shared" si="49"/>
        <v>31.025260351021213</v>
      </c>
      <c r="GC32" s="22">
        <f t="shared" si="25"/>
        <v>258.19034511136186</v>
      </c>
      <c r="GD32" s="58">
        <f t="shared" si="26"/>
        <v>550.30145622247301</v>
      </c>
      <c r="GE32" s="58">
        <f ca="1">AVERAGE(OFFSET($GD$3,0,0,'Données projet'!$E$17+1,1))-AVERAGE(OFFSET($H$3,0,0,'Données projet'!$E$17+1,1))</f>
        <v>362.1372269575329</v>
      </c>
      <c r="GF32" s="58">
        <f t="shared" si="50"/>
        <v>308.1559670593121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58" t="e">
        <f t="shared" si="29"/>
        <v>#N/A</v>
      </c>
      <c r="GZ32" s="58" t="e">
        <f ca="1">AVERAGE(OFFSET($GY$3,0,0,'Données projet'!$E$18+1,1))-AVERAGE(OFFSET($H$3,0,0,'Données projet'!$E$18+1,1))</f>
        <v>#N/A</v>
      </c>
      <c r="HA32" s="58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0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3">
        <f t="shared" si="1"/>
        <v>256.66666666666669</v>
      </c>
      <c r="I33" s="6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98.358000000000004</v>
      </c>
      <c r="P33" s="14">
        <f t="shared" si="33"/>
        <v>26.570437554143126</v>
      </c>
      <c r="Q33" s="22">
        <f t="shared" si="2"/>
        <v>217.58369540679928</v>
      </c>
      <c r="R33" s="58">
        <f t="shared" si="0"/>
        <v>510.91702874013259</v>
      </c>
      <c r="S33" s="58">
        <f ca="1">AVERAGE(OFFSET($R$3,0,0,'Données projet'!$E$9+1,1))-AVERAGE(OFFSET($H$3,0,0,'Données projet'!$E$9+1,1))</f>
        <v>483.15009705023641</v>
      </c>
      <c r="T33" s="58">
        <f t="shared" si="34"/>
        <v>254.25036207346591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58">
        <f t="shared" si="5"/>
        <v>488.03626265127355</v>
      </c>
      <c r="AN33" s="58">
        <f ca="1">AVERAGE(OFFSET($AM$3,0,0,'Données projet'!$E$10+1,1))-AVERAGE(OFFSET($H$3,0,0,'Données projet'!$E$10+1,1))</f>
        <v>435.7095890216213</v>
      </c>
      <c r="AO33" s="58">
        <f t="shared" si="36"/>
        <v>231.36959598460686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117.94871794871794</v>
      </c>
      <c r="BB33" s="13">
        <f>VLOOKUP(A33,'Données projet'!$A$87:$I$107,9,0)</f>
        <v>8.3333333333333321</v>
      </c>
      <c r="BC33" s="13">
        <f t="array" ref="BC33">INDEX(BB:BB,MIN(IF(ISNUMBER(BB33:BB229),ROW(BB33:BB229),"")))</f>
        <v>8.3333333333333321</v>
      </c>
      <c r="BD33" s="13">
        <f>IF('Données projet'!$A$88&gt;35,BD32+BC33-BL32,IF(A33&lt;'Données projet'!$A$88,$BA$205^A33,IF(A33='Données projet'!$A$88,'Données projet'!$B$88,BD32+BC33-BL32)))</f>
        <v>117.94871794871788</v>
      </c>
      <c r="BE33" s="14">
        <f>BD33*VLOOKUP('Données projet'!$B$11,Paramètres!$A$1:$I$89,3,0)*VLOOKUP('Données projet'!$B$11,Paramètres!$A$1:$I$89,5,0)</f>
        <v>103.03999999999995</v>
      </c>
      <c r="BF33" s="14">
        <f t="shared" si="37"/>
        <v>27.68496851505423</v>
      </c>
      <c r="BG33" s="22">
        <f t="shared" si="7"/>
        <v>227.67932016371932</v>
      </c>
      <c r="BH33" s="58">
        <f t="shared" si="8"/>
        <v>521.01265349705261</v>
      </c>
      <c r="BI33" s="58">
        <f ca="1">AVERAGE(OFFSET($BH$3,0,0,'Données projet'!$E$11+1,1))-AVERAGE(OFFSET($H$3,0,0,'Données projet'!$E$11+1,1))</f>
        <v>218.76424742311815</v>
      </c>
      <c r="BJ33" s="58">
        <f t="shared" si="38"/>
        <v>264.34598683038593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28.205128205128204</v>
      </c>
      <c r="BM33" s="17">
        <f>IF(ISNA(VLOOKUP(A33,'Données projet'!$A$87:$I$107,5,0)),0%,VLOOKUP(A33,'Données projet'!$A$87:$I$107,5,0)*VLOOKUP('Données projet'!$B$11,Paramètres!$A$1:$I$89,7,0))</f>
        <v>8.6000000000000007E-2</v>
      </c>
      <c r="BN33" s="17">
        <f>IF(ISNA(VLOOKUP(A33,'Données projet'!$A$87:$I$107,6,0)),0%,VLOOKUP(A33,'Données projet'!$A$87:$I$107,6,0)*VLOOKUP('Données projet'!$B$11,Paramètres!$A$1:$I$89,7,0))</f>
        <v>8.6000000000000007E-2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2.3425359530455032</v>
      </c>
      <c r="BQ33" s="23">
        <f>EXP(-LN(2)/25)*BQ32+(1-EXP(-LN(2)/25))/(LN(2)/25)*Calculateur!BL33*Calculateur!BN33*VLOOKUP('Données projet'!$B$11,Paramètres!$A$1:$I$89,3,0)*0.475*44/12</f>
        <v>4.3645790045284087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6.7071149575739124</v>
      </c>
      <c r="BT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2.2571428571428571</v>
      </c>
      <c r="BY33" s="13">
        <f>IF('Données projet'!$A$114&gt;35,BY32+BX33-CG32,IF(A33&lt;'Données projet'!$A$114,$BV$205^A33,IF(A33='Données projet'!$A$114,'Données projet'!$B$114,BY32+BX33-CG32)))</f>
        <v>42.319205612398889</v>
      </c>
      <c r="BZ33" s="14">
        <f>BY33*VLOOKUP('Données projet'!$B$12,Paramètres!$A$1:$I$89,3,0)*VLOOKUP('Données projet'!$B$12,Paramètres!$A$1:$I$89,5,0)</f>
        <v>40.931135668312209</v>
      </c>
      <c r="CA33" s="14">
        <f t="shared" si="39"/>
        <v>12.245113017470187</v>
      </c>
      <c r="CB33" s="22">
        <f t="shared" si="10"/>
        <v>92.615299794404336</v>
      </c>
      <c r="CC33" s="58">
        <f t="shared" si="11"/>
        <v>385.94863312773765</v>
      </c>
      <c r="CD33" s="58">
        <f ca="1">AVERAGE(OFFSET($CC$3,0,0,'Données projet'!$E$12+1,1))-AVERAGE(OFFSET($H$3,0,0,'Données projet'!$E$12+1,1))</f>
        <v>343.86347628565426</v>
      </c>
      <c r="CE33" s="58">
        <f t="shared" si="40"/>
        <v>129.28196646107097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58" t="e">
        <f t="shared" si="14"/>
        <v>#N/A</v>
      </c>
      <c r="CY33" s="58" t="e">
        <f ca="1">AVERAGE(OFFSET($CX$3,0,0,'Données projet'!$E$13+1,1))-AVERAGE(OFFSET($H$3,0,0,'Données projet'!$E$13+1,1))</f>
        <v>#N/A</v>
      </c>
      <c r="CZ33" s="58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104.24242424242425</v>
      </c>
      <c r="DM33" s="13">
        <f>VLOOKUP(A33,'Données projet'!$A$165:$I$185,9,0)</f>
        <v>5.962703962703964</v>
      </c>
      <c r="DN33" s="13">
        <f t="array" ref="DN33">INDEX(DM:DM,MIN(IF(ISNUMBER(DM33:DM229),ROW(DM33:DM229),"")))</f>
        <v>5.962703962703964</v>
      </c>
      <c r="DO33" s="13">
        <f>IF('Données projet'!$A$166&gt;35,DO32+DN33-DW32,IF(A33&lt;'Données projet'!$A$166,$DL$205^A33,IF(A33='Données projet'!$A$166,'Données projet'!$B$166,DO32+DN33-DW32)))</f>
        <v>104.24242424242429</v>
      </c>
      <c r="DP33" s="18">
        <f>DO33*VLOOKUP('Données projet'!$B$14,Paramètres!$A$1:$I$89,3,0)*VLOOKUP('Données projet'!$B$14,Paramètres!$A$1:$I$89,5,0)</f>
        <v>99.19709090909096</v>
      </c>
      <c r="DQ33" s="14">
        <f t="shared" si="43"/>
        <v>26.770625876309239</v>
      </c>
      <c r="DR33" s="22">
        <f t="shared" si="16"/>
        <v>219.39377340123869</v>
      </c>
      <c r="DS33" s="58">
        <f t="shared" si="17"/>
        <v>512.72710673457198</v>
      </c>
      <c r="DT33" s="58">
        <f ca="1">AVERAGE(OFFSET($DS$3,0,0,'Données projet'!$E$14+1,1))-AVERAGE(OFFSET($H$3,0,0,'Données projet'!$E$14+1,1))</f>
        <v>332.49889399440514</v>
      </c>
      <c r="DU33" s="58">
        <f t="shared" si="44"/>
        <v>256.06044006790529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24.358974358974358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149.35897435897436</v>
      </c>
      <c r="EH33" s="13">
        <f>VLOOKUP(A33,'Données projet'!$A$191:$I$211,9,0)</f>
        <v>8.3333333333333339</v>
      </c>
      <c r="EI33" s="13">
        <f t="array" ref="EI33">INDEX(EH:EH,MIN(IF(ISNUMBER(EH33:EH229),ROW(EH33:EH229),"")))</f>
        <v>8.3333333333333339</v>
      </c>
      <c r="EJ33" s="13">
        <f>IF('Données projet'!$A$192&gt;35,EJ32+EI33-ER32,IF(A33&lt;'Données projet'!$A$192,$EG$205^A33,IF(A33='Données projet'!$A$192,'Données projet'!$B$192,EJ32+EI33-ER32)))</f>
        <v>149.35897435897436</v>
      </c>
      <c r="EK33" s="18">
        <f>EJ33*VLOOKUP('Données projet'!$B$15,Paramètres!$A$1:$I$89,3,0)*VLOOKUP('Données projet'!$B$15,Paramètres!$A$1:$I$89,5,0)</f>
        <v>156.11000000000001</v>
      </c>
      <c r="EL33" s="14">
        <f t="shared" si="45"/>
        <v>39.963862158593372</v>
      </c>
      <c r="EM33" s="22">
        <f t="shared" si="19"/>
        <v>341.49530992621681</v>
      </c>
      <c r="EN33" s="58">
        <f t="shared" si="20"/>
        <v>634.82864325955006</v>
      </c>
      <c r="EO33" s="58">
        <f ca="1">AVERAGE(OFFSET($EN$3,0,0,'Données projet'!$E$15+1,1))-AVERAGE(OFFSET($H$3,0,0,'Données projet'!$E$15+1,1))</f>
        <v>596.00698505207174</v>
      </c>
      <c r="EP33" s="58">
        <f t="shared" si="46"/>
        <v>378.16197659288338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22.435897435897434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216.79230769230767</v>
      </c>
      <c r="FC33" s="13">
        <f>VLOOKUP(A33,'Données projet'!$A$217:$I$237,9,0)</f>
        <v>7.2264102564102561</v>
      </c>
      <c r="FD33" s="13">
        <f t="array" ref="FD33">INDEX(FC:FC,MIN(IF(ISNUMBER(FC33:FC229),ROW(FC33:FC229),"")))</f>
        <v>7.2264102564102561</v>
      </c>
      <c r="FE33" s="13">
        <f>IF('Données projet'!$A$218&gt;35,FE32+FD33-FM32,IF(A33&lt;'Données projet'!$A$218,$FB$205^A33,IF(A33='Données projet'!$A$218,'Données projet'!$B$218,FE32+FD33-FM32)))</f>
        <v>216.79230769230767</v>
      </c>
      <c r="FF33" s="18">
        <f>FE33*VLOOKUP('Données projet'!$B$16,Paramètres!$A$1:$I$89,3,0)*VLOOKUP('Données projet'!$B$16,Paramètres!$A$1:$I$89,5,0)</f>
        <v>101.45879999999998</v>
      </c>
      <c r="FG33" s="14">
        <f t="shared" si="47"/>
        <v>27.309243053465156</v>
      </c>
      <c r="FH33" s="22">
        <f t="shared" si="22"/>
        <v>224.27100831811845</v>
      </c>
      <c r="FI33" s="58">
        <f t="shared" si="23"/>
        <v>517.6043416514517</v>
      </c>
      <c r="FJ33" s="58">
        <f ca="1">AVERAGE(OFFSET($FI$3,0,0,'Données projet'!$E$16+1,1))-AVERAGE(OFFSET($H$3,0,0,'Données projet'!$E$16+1,1))</f>
        <v>294.31042006404056</v>
      </c>
      <c r="FK33" s="58">
        <f t="shared" si="48"/>
        <v>260.93767498478502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1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183.97435897435898</v>
      </c>
      <c r="FX33" s="13">
        <f>VLOOKUP(A33,'Données projet'!$A$243:$I$263,9,0)</f>
        <v>9.2307692307692317</v>
      </c>
      <c r="FY33" s="13">
        <f t="array" ref="FY33">INDEX(FX:FX,MIN(IF(ISNUMBER(FX33:FX229),ROW(FX33:FX229),"")))</f>
        <v>9.2307692307692317</v>
      </c>
      <c r="FZ33" s="13">
        <f>IF('Données projet'!$A$244&gt;35,FZ32+FY33-GH32,IF(A33&lt;'Données projet'!$A$244,$FW$205^A33,IF(A33='Données projet'!$A$244,'Données projet'!$B$244,FZ32+FY33-GH32)))</f>
        <v>183.97435897435895</v>
      </c>
      <c r="GA33" s="18">
        <f>FZ33*VLOOKUP('Données projet'!$B$17,Paramètres!$A$1:$I$89,3,0)*VLOOKUP('Données projet'!$B$17,Paramètres!$A$1:$I$89,5,0)</f>
        <v>123.41</v>
      </c>
      <c r="GB33" s="14">
        <f t="shared" si="49"/>
        <v>32.469024148887371</v>
      </c>
      <c r="GC33" s="22">
        <f t="shared" si="25"/>
        <v>271.48930039264548</v>
      </c>
      <c r="GD33" s="58">
        <f t="shared" si="26"/>
        <v>564.82263372597879</v>
      </c>
      <c r="GE33" s="58">
        <f ca="1">AVERAGE(OFFSET($GD$3,0,0,'Données projet'!$E$17+1,1))-AVERAGE(OFFSET($H$3,0,0,'Données projet'!$E$17+1,1))</f>
        <v>362.1372269575329</v>
      </c>
      <c r="GF33" s="58">
        <f t="shared" si="50"/>
        <v>308.1559670593121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39.102564102564102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58" t="e">
        <f t="shared" si="29"/>
        <v>#N/A</v>
      </c>
      <c r="GZ33" s="58" t="e">
        <f ca="1">AVERAGE(OFFSET($GY$3,0,0,'Données projet'!$E$18+1,1))-AVERAGE(OFFSET($H$3,0,0,'Données projet'!$E$18+1,1))</f>
        <v>#N/A</v>
      </c>
      <c r="HA33" s="58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0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3">
        <f t="shared" si="1"/>
        <v>256.66666666666669</v>
      </c>
      <c r="I34" s="6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106.47</v>
      </c>
      <c r="P34" s="14">
        <f t="shared" si="33"/>
        <v>28.49771681771891</v>
      </c>
      <c r="Q34" s="22">
        <f t="shared" si="2"/>
        <v>235.06877345752704</v>
      </c>
      <c r="R34" s="58">
        <f t="shared" si="0"/>
        <v>528.40210679086033</v>
      </c>
      <c r="S34" s="58">
        <f ca="1">AVERAGE(OFFSET($R$3,0,0,'Données projet'!$E$9+1,1))-AVERAGE(OFFSET($H$3,0,0,'Données projet'!$E$9+1,1))</f>
        <v>483.15009705023641</v>
      </c>
      <c r="T34" s="58">
        <f t="shared" si="34"/>
        <v>254.25036207346591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105</v>
      </c>
      <c r="AJ34" s="14">
        <f>AI34*VLOOKUP('Données projet'!$B$10,Paramètres!$A$1:$I$89,3,0)*VLOOKUP('Données projet'!$B$10,Paramètres!$A$1:$I$89,5,0)</f>
        <v>95.004000000000005</v>
      </c>
      <c r="AK34" s="14">
        <f t="shared" si="35"/>
        <v>25.768242550600785</v>
      </c>
      <c r="AL34" s="22">
        <f t="shared" si="4"/>
        <v>210.34498910896306</v>
      </c>
      <c r="AM34" s="58">
        <f t="shared" si="5"/>
        <v>503.67832244229635</v>
      </c>
      <c r="AN34" s="58">
        <f ca="1">AVERAGE(OFFSET($AM$3,0,0,'Données projet'!$E$10+1,1))-AVERAGE(OFFSET($H$3,0,0,'Données projet'!$E$10+1,1))</f>
        <v>435.7095890216213</v>
      </c>
      <c r="AO34" s="58">
        <f t="shared" si="36"/>
        <v>231.36959598460686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7.8205128205128203</v>
      </c>
      <c r="BD34" s="13">
        <f>IF('Données projet'!$A$88&gt;35,BD33+BC34-BL33,IF(A34&lt;'Données projet'!$A$88,$BA$205^A34,IF(A34='Données projet'!$A$88,'Données projet'!$B$88,BD33+BC34-BL33)))</f>
        <v>97.564102564102498</v>
      </c>
      <c r="BE34" s="14">
        <f>BD34*VLOOKUP('Données projet'!$B$11,Paramètres!$A$1:$I$89,3,0)*VLOOKUP('Données projet'!$B$11,Paramètres!$A$1:$I$89,5,0)</f>
        <v>85.231999999999957</v>
      </c>
      <c r="BF34" s="14">
        <f t="shared" si="37"/>
        <v>23.411680703359224</v>
      </c>
      <c r="BG34" s="22">
        <f t="shared" si="7"/>
        <v>189.22107722501724</v>
      </c>
      <c r="BH34" s="58">
        <f t="shared" si="8"/>
        <v>482.55441055835058</v>
      </c>
      <c r="BI34" s="58">
        <f ca="1">AVERAGE(OFFSET($BH$3,0,0,'Données projet'!$E$11+1,1))-AVERAGE(OFFSET($H$3,0,0,'Données projet'!$E$11+1,1))</f>
        <v>218.76424742311815</v>
      </c>
      <c r="BJ34" s="58">
        <f t="shared" si="38"/>
        <v>264.34598683038593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2.2966002518121296</v>
      </c>
      <c r="BQ34" s="23">
        <f>EXP(-LN(2)/25)*BQ33+(1-EXP(-LN(2)/25))/(LN(2)/25)*Calculateur!BL34*Calculateur!BN34*VLOOKUP('Données projet'!$B$11,Paramètres!$A$1:$I$89,3,0)*0.475*44/12</f>
        <v>4.2452293621263451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6.5418296139384751</v>
      </c>
      <c r="BT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2.2571428571428571</v>
      </c>
      <c r="BY34" s="13">
        <f>IF('Données projet'!$A$114&gt;35,BY33+BX34-CG33,IF(A34&lt;'Données projet'!$A$114,$BV$205^A34,IF(A34='Données projet'!$A$114,'Données projet'!$B$114,BY33+BX34-CG33)))</f>
        <v>47.946335910529946</v>
      </c>
      <c r="BZ34" s="14">
        <f>BY34*VLOOKUP('Données projet'!$B$12,Paramètres!$A$1:$I$89,3,0)*VLOOKUP('Données projet'!$B$12,Paramètres!$A$1:$I$89,5,0)</f>
        <v>46.373696092664566</v>
      </c>
      <c r="CA34" s="14">
        <f t="shared" si="39"/>
        <v>13.673186867261805</v>
      </c>
      <c r="CB34" s="22">
        <f t="shared" si="10"/>
        <v>104.58165448853843</v>
      </c>
      <c r="CC34" s="58">
        <f t="shared" si="11"/>
        <v>397.91498782187176</v>
      </c>
      <c r="CD34" s="58">
        <f ca="1">AVERAGE(OFFSET($CC$3,0,0,'Données projet'!$E$12+1,1))-AVERAGE(OFFSET($H$3,0,0,'Données projet'!$E$12+1,1))</f>
        <v>343.86347628565426</v>
      </c>
      <c r="CE34" s="58">
        <f t="shared" si="40"/>
        <v>129.28196646107097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58" t="e">
        <f t="shared" si="14"/>
        <v>#N/A</v>
      </c>
      <c r="CY34" s="58" t="e">
        <f ca="1">AVERAGE(OFFSET($CX$3,0,0,'Données projet'!$E$13+1,1))-AVERAGE(OFFSET($H$3,0,0,'Données projet'!$E$13+1,1))</f>
        <v>#N/A</v>
      </c>
      <c r="CZ34" s="58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5.7692307692307709</v>
      </c>
      <c r="DO34" s="13">
        <f>IF('Données projet'!$A$166&gt;35,DO33+DN34-DW33,IF(A34&lt;'Données projet'!$A$166,$DL$205^A34,IF(A34='Données projet'!$A$166,'Données projet'!$B$166,DO33+DN34-DW33)))</f>
        <v>85.652680652680715</v>
      </c>
      <c r="DP34" s="18">
        <f>DO34*VLOOKUP('Données projet'!$B$14,Paramètres!$A$1:$I$89,3,0)*VLOOKUP('Données projet'!$B$14,Paramètres!$A$1:$I$89,5,0)</f>
        <v>81.507090909090977</v>
      </c>
      <c r="DQ34" s="14">
        <f t="shared" si="43"/>
        <v>22.505274477970922</v>
      </c>
      <c r="DR34" s="22">
        <f t="shared" si="16"/>
        <v>181.15486971579946</v>
      </c>
      <c r="DS34" s="58">
        <f t="shared" si="17"/>
        <v>474.48820304913278</v>
      </c>
      <c r="DT34" s="58">
        <f ca="1">AVERAGE(OFFSET($DS$3,0,0,'Données projet'!$E$14+1,1))-AVERAGE(OFFSET($H$3,0,0,'Données projet'!$E$14+1,1))</f>
        <v>332.49889399440514</v>
      </c>
      <c r="DU34" s="58">
        <f t="shared" si="44"/>
        <v>256.06044006790529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8.3333333333333321</v>
      </c>
      <c r="EJ34" s="13">
        <f>IF('Données projet'!$A$192&gt;35,EJ33+EI34-ER33,IF(A34&lt;'Données projet'!$A$192,$EG$205^A34,IF(A34='Données projet'!$A$192,'Données projet'!$B$192,EJ33+EI34-ER33)))</f>
        <v>135.25641025641028</v>
      </c>
      <c r="EK34" s="18">
        <f>EJ34*VLOOKUP('Données projet'!$B$15,Paramètres!$A$1:$I$89,3,0)*VLOOKUP('Données projet'!$B$15,Paramètres!$A$1:$I$89,5,0)</f>
        <v>141.37000000000003</v>
      </c>
      <c r="EL34" s="14">
        <f t="shared" si="45"/>
        <v>36.610675159135589</v>
      </c>
      <c r="EM34" s="22">
        <f t="shared" si="19"/>
        <v>309.98300923549448</v>
      </c>
      <c r="EN34" s="58">
        <f t="shared" si="20"/>
        <v>603.31634256882785</v>
      </c>
      <c r="EO34" s="58">
        <f ca="1">AVERAGE(OFFSET($EN$3,0,0,'Données projet'!$E$15+1,1))-AVERAGE(OFFSET($H$3,0,0,'Données projet'!$E$15+1,1))</f>
        <v>596.00698505207174</v>
      </c>
      <c r="EP34" s="58">
        <f t="shared" si="46"/>
        <v>378.16197659288338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15.092307692307696</v>
      </c>
      <c r="FE34" s="13">
        <f>IF('Données projet'!$A$218&gt;35,FE33+FD34-FM33,IF(A34&lt;'Données projet'!$A$218,$FB$205^A34,IF(A34='Données projet'!$A$218,'Données projet'!$B$218,FE33+FD34-FM33)))</f>
        <v>231.88461538461536</v>
      </c>
      <c r="FF34" s="18">
        <f>FE34*VLOOKUP('Données projet'!$B$16,Paramètres!$A$1:$I$89,3,0)*VLOOKUP('Données projet'!$B$16,Paramètres!$A$1:$I$89,5,0)</f>
        <v>108.52199999999999</v>
      </c>
      <c r="FG34" s="14">
        <f t="shared" si="47"/>
        <v>28.982482559938159</v>
      </c>
      <c r="FH34" s="22">
        <f t="shared" si="22"/>
        <v>239.48697379189227</v>
      </c>
      <c r="FI34" s="58">
        <f t="shared" si="23"/>
        <v>532.82030712522555</v>
      </c>
      <c r="FJ34" s="58">
        <f ca="1">AVERAGE(OFFSET($FI$3,0,0,'Données projet'!$E$16+1,1))-AVERAGE(OFFSET($H$3,0,0,'Données projet'!$E$16+1,1))</f>
        <v>294.31042006404056</v>
      </c>
      <c r="FK34" s="58">
        <f t="shared" si="48"/>
        <v>260.93767498478502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8.717948717948719</v>
      </c>
      <c r="FZ34" s="13">
        <f>IF('Données projet'!$A$244&gt;35,FZ33+FY34-GH33,IF(A34&lt;'Données projet'!$A$244,$FW$205^A34,IF(A34='Données projet'!$A$244,'Données projet'!$B$244,FZ33+FY34-GH33)))</f>
        <v>153.58974358974359</v>
      </c>
      <c r="GA34" s="18">
        <f>FZ34*VLOOKUP('Données projet'!$B$17,Paramètres!$A$1:$I$89,3,0)*VLOOKUP('Données projet'!$B$17,Paramètres!$A$1:$I$89,5,0)</f>
        <v>103.02800000000001</v>
      </c>
      <c r="GB34" s="14">
        <f t="shared" si="49"/>
        <v>27.682119609309797</v>
      </c>
      <c r="GC34" s="22">
        <f t="shared" si="25"/>
        <v>227.65345831954789</v>
      </c>
      <c r="GD34" s="58">
        <f t="shared" si="26"/>
        <v>520.98679165288127</v>
      </c>
      <c r="GE34" s="58">
        <f ca="1">AVERAGE(OFFSET($GD$3,0,0,'Données projet'!$E$17+1,1))-AVERAGE(OFFSET($H$3,0,0,'Données projet'!$E$17+1,1))</f>
        <v>362.1372269575329</v>
      </c>
      <c r="GF34" s="58">
        <f t="shared" si="50"/>
        <v>308.1559670593121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58" t="e">
        <f t="shared" si="29"/>
        <v>#N/A</v>
      </c>
      <c r="GZ34" s="58" t="e">
        <f ca="1">AVERAGE(OFFSET($GY$3,0,0,'Données projet'!$E$18+1,1))-AVERAGE(OFFSET($H$3,0,0,'Données projet'!$E$18+1,1))</f>
        <v>#N/A</v>
      </c>
      <c r="HA34" s="58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0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3">
        <f t="shared" si="1"/>
        <v>256.66666666666669</v>
      </c>
      <c r="I35" s="6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114.58200000000001</v>
      </c>
      <c r="P35" s="14">
        <f t="shared" si="33"/>
        <v>30.407962048850919</v>
      </c>
      <c r="Q35" s="22">
        <f t="shared" ref="Q35:Q66" si="53">(O35+P35)*0.475*44/12</f>
        <v>252.52418390174873</v>
      </c>
      <c r="R35" s="58">
        <f t="shared" si="0"/>
        <v>545.85751723508201</v>
      </c>
      <c r="S35" s="58">
        <f ca="1">AVERAGE(OFFSET($R$3,0,0,'Données projet'!$E$9+1,1))-AVERAGE(OFFSET($H$3,0,0,'Données projet'!$E$9+1,1))</f>
        <v>483.15009705023641</v>
      </c>
      <c r="T35" s="58">
        <f t="shared" si="34"/>
        <v>254.25036207346591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113</v>
      </c>
      <c r="AJ35" s="14">
        <f>AI35*VLOOKUP('Données projet'!$B$10,Paramètres!$A$1:$I$89,3,0)*VLOOKUP('Données projet'!$B$10,Paramètres!$A$1:$I$89,5,0)</f>
        <v>102.24239999999999</v>
      </c>
      <c r="AK35" s="14">
        <f t="shared" si="35"/>
        <v>27.495526976991481</v>
      </c>
      <c r="AL35" s="22">
        <f t="shared" si="4"/>
        <v>225.96022281826015</v>
      </c>
      <c r="AM35" s="58">
        <f t="shared" si="5"/>
        <v>519.29355615159352</v>
      </c>
      <c r="AN35" s="58">
        <f ca="1">AVERAGE(OFFSET($AM$3,0,0,'Données projet'!$E$10+1,1))-AVERAGE(OFFSET($H$3,0,0,'Données projet'!$E$10+1,1))</f>
        <v>435.7095890216213</v>
      </c>
      <c r="AO35" s="58">
        <f t="shared" si="36"/>
        <v>231.36959598460686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7.8205128205128203</v>
      </c>
      <c r="BD35" s="13">
        <f>IF('Données projet'!$A$88&gt;35,BD34+BC35-BL34,IF(A35&lt;'Données projet'!$A$88,$BA$205^A35,IF(A35='Données projet'!$A$88,'Données projet'!$B$88,BD34+BC35-BL34)))</f>
        <v>105.38461538461532</v>
      </c>
      <c r="BE35" s="14">
        <f>BD35*VLOOKUP('Données projet'!$B$11,Paramètres!$A$1:$I$89,3,0)*VLOOKUP('Données projet'!$B$11,Paramètres!$A$1:$I$89,5,0)</f>
        <v>92.06399999999995</v>
      </c>
      <c r="BF35" s="14">
        <f t="shared" si="37"/>
        <v>25.062353288879734</v>
      </c>
      <c r="BG35" s="22">
        <f t="shared" si="7"/>
        <v>203.99506531146542</v>
      </c>
      <c r="BH35" s="58">
        <f t="shared" si="8"/>
        <v>497.32839864479877</v>
      </c>
      <c r="BI35" s="58">
        <f ca="1">AVERAGE(OFFSET($BH$3,0,0,'Données projet'!$E$11+1,1))-AVERAGE(OFFSET($H$3,0,0,'Données projet'!$E$11+1,1))</f>
        <v>218.76424742311815</v>
      </c>
      <c r="BJ35" s="58">
        <f t="shared" si="38"/>
        <v>264.34598683038593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2.2515653216619311</v>
      </c>
      <c r="BQ35" s="23">
        <f>EXP(-LN(2)/25)*BQ34+(1-EXP(-LN(2)/25))/(LN(2)/25)*Calculateur!BL35*Calculateur!BN35*VLOOKUP('Données projet'!$B$11,Paramètres!$A$1:$I$89,3,0)*0.475*44/12</f>
        <v>4.1291433419720907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6.3807086636340218</v>
      </c>
      <c r="BT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2.2571428571428571</v>
      </c>
      <c r="BY35" s="13">
        <f>IF('Données projet'!$A$114&gt;35,BY34+BX35-CG34,IF(A35&lt;'Données projet'!$A$114,$BV$205^A35,IF(A35='Données projet'!$A$114,'Données projet'!$B$114,BY34+BX35-CG34)))</f>
        <v>54.321698481311863</v>
      </c>
      <c r="BZ35" s="14">
        <f>BY35*VLOOKUP('Données projet'!$B$12,Paramètres!$A$1:$I$89,3,0)*VLOOKUP('Données projet'!$B$12,Paramètres!$A$1:$I$89,5,0)</f>
        <v>52.539946771124839</v>
      </c>
      <c r="CA35" s="14">
        <f t="shared" si="39"/>
        <v>15.267808377132098</v>
      </c>
      <c r="CB35" s="22">
        <f t="shared" si="10"/>
        <v>118.09850688321417</v>
      </c>
      <c r="CC35" s="58">
        <f t="shared" si="11"/>
        <v>411.43184021654747</v>
      </c>
      <c r="CD35" s="58">
        <f ca="1">AVERAGE(OFFSET($CC$3,0,0,'Données projet'!$E$12+1,1))-AVERAGE(OFFSET($H$3,0,0,'Données projet'!$E$12+1,1))</f>
        <v>343.86347628565426</v>
      </c>
      <c r="CE35" s="58">
        <f t="shared" si="40"/>
        <v>129.28196646107097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58" t="e">
        <f t="shared" si="14"/>
        <v>#N/A</v>
      </c>
      <c r="CY35" s="58" t="e">
        <f ca="1">AVERAGE(OFFSET($CX$3,0,0,'Données projet'!$E$13+1,1))-AVERAGE(OFFSET($H$3,0,0,'Données projet'!$E$13+1,1))</f>
        <v>#N/A</v>
      </c>
      <c r="CZ35" s="58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5.7692307692307709</v>
      </c>
      <c r="DO35" s="13">
        <f>IF('Données projet'!$A$166&gt;35,DO34+DN35-DW34,IF(A35&lt;'Données projet'!$A$166,$DL$205^A35,IF(A35='Données projet'!$A$166,'Données projet'!$B$166,DO34+DN35-DW34)))</f>
        <v>91.421911421911489</v>
      </c>
      <c r="DP35" s="18">
        <f>DO35*VLOOKUP('Données projet'!$B$14,Paramètres!$A$1:$I$89,3,0)*VLOOKUP('Données projet'!$B$14,Paramètres!$A$1:$I$89,5,0)</f>
        <v>86.997090909090971</v>
      </c>
      <c r="DQ35" s="14">
        <f t="shared" si="43"/>
        <v>23.839571486729707</v>
      </c>
      <c r="DR35" s="22">
        <f t="shared" si="16"/>
        <v>193.04052033938765</v>
      </c>
      <c r="DS35" s="58">
        <f t="shared" si="17"/>
        <v>486.373853672721</v>
      </c>
      <c r="DT35" s="58">
        <f ca="1">AVERAGE(OFFSET($DS$3,0,0,'Données projet'!$E$14+1,1))-AVERAGE(OFFSET($H$3,0,0,'Données projet'!$E$14+1,1))</f>
        <v>332.49889399440514</v>
      </c>
      <c r="DU35" s="58">
        <f t="shared" si="44"/>
        <v>256.06044006790529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8.3333333333333321</v>
      </c>
      <c r="EJ35" s="13">
        <f>IF('Données projet'!$A$192&gt;35,EJ34+EI35-ER34,IF(A35&lt;'Données projet'!$A$192,$EG$205^A35,IF(A35='Données projet'!$A$192,'Données projet'!$B$192,EJ34+EI35-ER34)))</f>
        <v>143.58974358974362</v>
      </c>
      <c r="EK35" s="18">
        <f>EJ35*VLOOKUP('Données projet'!$B$15,Paramètres!$A$1:$I$89,3,0)*VLOOKUP('Données projet'!$B$15,Paramètres!$A$1:$I$89,5,0)</f>
        <v>150.08000000000004</v>
      </c>
      <c r="EL35" s="14">
        <f t="shared" si="45"/>
        <v>38.596765343718673</v>
      </c>
      <c r="EM35" s="22">
        <f t="shared" si="19"/>
        <v>328.61203297364347</v>
      </c>
      <c r="EN35" s="58">
        <f t="shared" si="20"/>
        <v>621.94536630697678</v>
      </c>
      <c r="EO35" s="58">
        <f ca="1">AVERAGE(OFFSET($EN$3,0,0,'Données projet'!$E$15+1,1))-AVERAGE(OFFSET($H$3,0,0,'Données projet'!$E$15+1,1))</f>
        <v>596.00698505207174</v>
      </c>
      <c r="EP35" s="58">
        <f t="shared" si="46"/>
        <v>378.16197659288338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15.092307692307696</v>
      </c>
      <c r="FE35" s="13">
        <f>IF('Données projet'!$A$218&gt;35,FE34+FD35-FM34,IF(A35&lt;'Données projet'!$A$218,$FB$205^A35,IF(A35='Données projet'!$A$218,'Données projet'!$B$218,FE34+FD35-FM34)))</f>
        <v>246.97692307692304</v>
      </c>
      <c r="FF35" s="18">
        <f>FE35*VLOOKUP('Données projet'!$B$16,Paramètres!$A$1:$I$89,3,0)*VLOOKUP('Données projet'!$B$16,Paramètres!$A$1:$I$89,5,0)</f>
        <v>115.58519999999999</v>
      </c>
      <c r="FG35" s="14">
        <f t="shared" si="47"/>
        <v>30.643084180232457</v>
      </c>
      <c r="FH35" s="22">
        <f t="shared" si="22"/>
        <v>254.68092828057149</v>
      </c>
      <c r="FI35" s="58">
        <f t="shared" si="23"/>
        <v>548.01426161390486</v>
      </c>
      <c r="FJ35" s="58">
        <f ca="1">AVERAGE(OFFSET($FI$3,0,0,'Données projet'!$E$16+1,1))-AVERAGE(OFFSET($H$3,0,0,'Données projet'!$E$16+1,1))</f>
        <v>294.31042006404056</v>
      </c>
      <c r="FK35" s="58">
        <f t="shared" si="48"/>
        <v>260.93767498478502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8.717948717948719</v>
      </c>
      <c r="FZ35" s="13">
        <f>IF('Données projet'!$A$244&gt;35,FZ34+FY35-GH34,IF(A35&lt;'Données projet'!$A$244,$FW$205^A35,IF(A35='Données projet'!$A$244,'Données projet'!$B$244,FZ34+FY35-GH34)))</f>
        <v>162.30769230769232</v>
      </c>
      <c r="GA35" s="18">
        <f>FZ35*VLOOKUP('Données projet'!$B$17,Paramètres!$A$1:$I$89,3,0)*VLOOKUP('Données projet'!$B$17,Paramètres!$A$1:$I$89,5,0)</f>
        <v>108.87600000000002</v>
      </c>
      <c r="GB35" s="14">
        <f t="shared" si="49"/>
        <v>29.066003313709242</v>
      </c>
      <c r="GC35" s="22">
        <f t="shared" si="25"/>
        <v>240.24898910471029</v>
      </c>
      <c r="GD35" s="58">
        <f t="shared" si="26"/>
        <v>533.58232243804355</v>
      </c>
      <c r="GE35" s="58">
        <f ca="1">AVERAGE(OFFSET($GD$3,0,0,'Données projet'!$E$17+1,1))-AVERAGE(OFFSET($H$3,0,0,'Données projet'!$E$17+1,1))</f>
        <v>362.1372269575329</v>
      </c>
      <c r="GF35" s="58">
        <f t="shared" si="50"/>
        <v>308.1559670593121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58" t="e">
        <f t="shared" si="29"/>
        <v>#N/A</v>
      </c>
      <c r="GZ35" s="58" t="e">
        <f ca="1">AVERAGE(OFFSET($GY$3,0,0,'Données projet'!$E$18+1,1))-AVERAGE(OFFSET($H$3,0,0,'Données projet'!$E$18+1,1))</f>
        <v>#N/A</v>
      </c>
      <c r="HA35" s="58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0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3">
        <f t="shared" si="1"/>
        <v>256.66666666666669</v>
      </c>
      <c r="I36" s="6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122.69400000000002</v>
      </c>
      <c r="P36" s="14">
        <f t="shared" si="33"/>
        <v>32.302516360650685</v>
      </c>
      <c r="Q36" s="22">
        <f t="shared" si="53"/>
        <v>269.95226599479992</v>
      </c>
      <c r="R36" s="58">
        <f t="shared" si="0"/>
        <v>563.28559932813323</v>
      </c>
      <c r="S36" s="58">
        <f ca="1">AVERAGE(OFFSET($R$3,0,0,'Données projet'!$E$9+1,1))-AVERAGE(OFFSET($H$3,0,0,'Données projet'!$E$9+1,1))</f>
        <v>483.15009705023641</v>
      </c>
      <c r="T36" s="58">
        <f t="shared" si="34"/>
        <v>254.25036207346591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121</v>
      </c>
      <c r="AJ36" s="14">
        <f>AI36*VLOOKUP('Données projet'!$B$10,Paramètres!$A$1:$I$89,3,0)*VLOOKUP('Données projet'!$B$10,Paramètres!$A$1:$I$89,5,0)</f>
        <v>109.48079999999999</v>
      </c>
      <c r="AK36" s="14">
        <f t="shared" si="35"/>
        <v>29.208623339903898</v>
      </c>
      <c r="AL36" s="22">
        <f t="shared" si="4"/>
        <v>241.5507456503326</v>
      </c>
      <c r="AM36" s="58">
        <f t="shared" si="5"/>
        <v>534.88407898366586</v>
      </c>
      <c r="AN36" s="58">
        <f ca="1">AVERAGE(OFFSET($AM$3,0,0,'Données projet'!$E$10+1,1))-AVERAGE(OFFSET($H$3,0,0,'Données projet'!$E$10+1,1))</f>
        <v>435.7095890216213</v>
      </c>
      <c r="AO36" s="58">
        <f t="shared" si="36"/>
        <v>231.36959598460686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7.8205128205128203</v>
      </c>
      <c r="BD36" s="13">
        <f>IF('Données projet'!$A$88&gt;35,BD35+BC36-BL35,IF(A36&lt;'Données projet'!$A$88,$BA$205^A36,IF(A36='Données projet'!$A$88,'Données projet'!$B$88,BD35+BC36-BL35)))</f>
        <v>113.20512820512813</v>
      </c>
      <c r="BE36" s="14">
        <f>BD36*VLOOKUP('Données projet'!$B$11,Paramètres!$A$1:$I$89,3,0)*VLOOKUP('Données projet'!$B$11,Paramètres!$A$1:$I$89,5,0)</f>
        <v>98.895999999999958</v>
      </c>
      <c r="BF36" s="14">
        <f t="shared" si="37"/>
        <v>26.698815080698957</v>
      </c>
      <c r="BG36" s="22">
        <f t="shared" si="7"/>
        <v>218.74430293221727</v>
      </c>
      <c r="BH36" s="58">
        <f t="shared" si="8"/>
        <v>512.07763626555061</v>
      </c>
      <c r="BI36" s="58">
        <f ca="1">AVERAGE(OFFSET($BH$3,0,0,'Données projet'!$E$11+1,1))-AVERAGE(OFFSET($H$3,0,0,'Données projet'!$E$11+1,1))</f>
        <v>218.76424742311815</v>
      </c>
      <c r="BJ36" s="58">
        <f t="shared" si="38"/>
        <v>264.34598683038593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2.2074134990233829</v>
      </c>
      <c r="BQ36" s="23">
        <f>EXP(-LN(2)/25)*BQ35+(1-EXP(-LN(2)/25))/(LN(2)/25)*Calculateur!BL36*Calculateur!BN36*VLOOKUP('Données projet'!$B$11,Paramètres!$A$1:$I$89,3,0)*0.475*44/12</f>
        <v>4.0162317001436527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6.2236451991670361</v>
      </c>
      <c r="BT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2.2571428571428571</v>
      </c>
      <c r="BY36" s="13">
        <f>IF('Données projet'!$A$114&gt;35,BY35+BX36-CG35,IF(A36&lt;'Données projet'!$A$114,$BV$205^A36,IF(A36='Données projet'!$A$114,'Données projet'!$B$114,BY35+BX36-CG35)))</f>
        <v>61.544784806934473</v>
      </c>
      <c r="BZ36" s="14">
        <f>BY36*VLOOKUP('Données projet'!$B$12,Paramètres!$A$1:$I$89,3,0)*VLOOKUP('Données projet'!$B$12,Paramètres!$A$1:$I$89,5,0)</f>
        <v>59.526115865267023</v>
      </c>
      <c r="CA36" s="14">
        <f t="shared" si="39"/>
        <v>17.048400998523537</v>
      </c>
      <c r="CB36" s="22">
        <f t="shared" si="10"/>
        <v>133.36728353776854</v>
      </c>
      <c r="CC36" s="58">
        <f t="shared" si="11"/>
        <v>426.70061687110183</v>
      </c>
      <c r="CD36" s="58">
        <f ca="1">AVERAGE(OFFSET($CC$3,0,0,'Données projet'!$E$12+1,1))-AVERAGE(OFFSET($H$3,0,0,'Données projet'!$E$12+1,1))</f>
        <v>343.86347628565426</v>
      </c>
      <c r="CE36" s="58">
        <f t="shared" si="40"/>
        <v>129.28196646107097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58" t="e">
        <f t="shared" si="14"/>
        <v>#N/A</v>
      </c>
      <c r="CY36" s="58" t="e">
        <f ca="1">AVERAGE(OFFSET($CX$3,0,0,'Données projet'!$E$13+1,1))-AVERAGE(OFFSET($H$3,0,0,'Données projet'!$E$13+1,1))</f>
        <v>#N/A</v>
      </c>
      <c r="CZ36" s="58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5.7692307692307709</v>
      </c>
      <c r="DO36" s="13">
        <f>IF('Données projet'!$A$166&gt;35,DO35+DN36-DW35,IF(A36&lt;'Données projet'!$A$166,$DL$205^A36,IF(A36='Données projet'!$A$166,'Données projet'!$B$166,DO35+DN36-DW35)))</f>
        <v>97.191142191142262</v>
      </c>
      <c r="DP36" s="18">
        <f>DO36*VLOOKUP('Données projet'!$B$14,Paramètres!$A$1:$I$89,3,0)*VLOOKUP('Données projet'!$B$14,Paramètres!$A$1:$I$89,5,0)</f>
        <v>92.487090909090981</v>
      </c>
      <c r="DQ36" s="14">
        <f t="shared" si="43"/>
        <v>25.164096498199591</v>
      </c>
      <c r="DR36" s="22">
        <f t="shared" si="16"/>
        <v>204.90915140103107</v>
      </c>
      <c r="DS36" s="58">
        <f t="shared" si="17"/>
        <v>498.24248473436438</v>
      </c>
      <c r="DT36" s="58">
        <f ca="1">AVERAGE(OFFSET($DS$3,0,0,'Données projet'!$E$14+1,1))-AVERAGE(OFFSET($H$3,0,0,'Données projet'!$E$14+1,1))</f>
        <v>332.49889399440514</v>
      </c>
      <c r="DU36" s="58">
        <f t="shared" si="44"/>
        <v>256.06044006790529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8.3333333333333321</v>
      </c>
      <c r="EJ36" s="13">
        <f>IF('Données projet'!$A$192&gt;35,EJ35+EI36-ER35,IF(A36&lt;'Données projet'!$A$192,$EG$205^A36,IF(A36='Données projet'!$A$192,'Données projet'!$B$192,EJ35+EI36-ER35)))</f>
        <v>151.92307692307696</v>
      </c>
      <c r="EK36" s="18">
        <f>EJ36*VLOOKUP('Données projet'!$B$15,Paramètres!$A$1:$I$89,3,0)*VLOOKUP('Données projet'!$B$15,Paramètres!$A$1:$I$89,5,0)</f>
        <v>158.79000000000008</v>
      </c>
      <c r="EL36" s="14">
        <f t="shared" si="45"/>
        <v>40.569476067936968</v>
      </c>
      <c r="EM36" s="22">
        <f t="shared" si="19"/>
        <v>347.21775415165695</v>
      </c>
      <c r="EN36" s="58">
        <f t="shared" si="20"/>
        <v>640.55108748499026</v>
      </c>
      <c r="EO36" s="58">
        <f ca="1">AVERAGE(OFFSET($EN$3,0,0,'Données projet'!$E$15+1,1))-AVERAGE(OFFSET($H$3,0,0,'Données projet'!$E$15+1,1))</f>
        <v>596.00698505207174</v>
      </c>
      <c r="EP36" s="58">
        <f t="shared" si="46"/>
        <v>378.16197659288338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15.092307692307696</v>
      </c>
      <c r="FE36" s="13">
        <f>IF('Données projet'!$A$218&gt;35,FE35+FD36-FM35,IF(A36&lt;'Données projet'!$A$218,$FB$205^A36,IF(A36='Données projet'!$A$218,'Données projet'!$B$218,FE35+FD36-FM35)))</f>
        <v>262.06923076923073</v>
      </c>
      <c r="FF36" s="18">
        <f>FE36*VLOOKUP('Données projet'!$B$16,Paramètres!$A$1:$I$89,3,0)*VLOOKUP('Données projet'!$B$16,Paramètres!$A$1:$I$89,5,0)</f>
        <v>122.64839999999997</v>
      </c>
      <c r="FG36" s="14">
        <f t="shared" si="47"/>
        <v>32.291908129487886</v>
      </c>
      <c r="FH36" s="22">
        <f t="shared" si="22"/>
        <v>269.85436999219132</v>
      </c>
      <c r="FI36" s="58">
        <f t="shared" si="23"/>
        <v>563.18770332552458</v>
      </c>
      <c r="FJ36" s="58">
        <f ca="1">AVERAGE(OFFSET($FI$3,0,0,'Données projet'!$E$16+1,1))-AVERAGE(OFFSET($H$3,0,0,'Données projet'!$E$16+1,1))</f>
        <v>294.31042006404056</v>
      </c>
      <c r="FK36" s="58">
        <f t="shared" si="48"/>
        <v>260.93767498478502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8.717948717948719</v>
      </c>
      <c r="FZ36" s="13">
        <f>IF('Données projet'!$A$244&gt;35,FZ35+FY36-GH35,IF(A36&lt;'Données projet'!$A$244,$FW$205^A36,IF(A36='Données projet'!$A$244,'Données projet'!$B$244,FZ35+FY36-GH35)))</f>
        <v>171.02564102564105</v>
      </c>
      <c r="GA36" s="18">
        <f>FZ36*VLOOKUP('Données projet'!$B$17,Paramètres!$A$1:$I$89,3,0)*VLOOKUP('Données projet'!$B$17,Paramètres!$A$1:$I$89,5,0)</f>
        <v>114.72400000000003</v>
      </c>
      <c r="GB36" s="14">
        <f t="shared" si="49"/>
        <v>30.441257404392591</v>
      </c>
      <c r="GC36" s="22">
        <f t="shared" si="25"/>
        <v>252.82948997931717</v>
      </c>
      <c r="GD36" s="58">
        <f t="shared" si="26"/>
        <v>546.16282331265052</v>
      </c>
      <c r="GE36" s="58">
        <f ca="1">AVERAGE(OFFSET($GD$3,0,0,'Données projet'!$E$17+1,1))-AVERAGE(OFFSET($H$3,0,0,'Données projet'!$E$17+1,1))</f>
        <v>362.1372269575329</v>
      </c>
      <c r="GF36" s="58">
        <f t="shared" si="50"/>
        <v>308.1559670593121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58" t="e">
        <f t="shared" si="29"/>
        <v>#N/A</v>
      </c>
      <c r="GZ36" s="58" t="e">
        <f ca="1">AVERAGE(OFFSET($GY$3,0,0,'Données projet'!$E$18+1,1))-AVERAGE(OFFSET($H$3,0,0,'Données projet'!$E$18+1,1))</f>
        <v>#N/A</v>
      </c>
      <c r="HA36" s="58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0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3">
        <f t="shared" si="1"/>
        <v>256.66666666666669</v>
      </c>
      <c r="I37" s="6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130.80600000000001</v>
      </c>
      <c r="P37" s="14">
        <f t="shared" si="33"/>
        <v>34.182535218254564</v>
      </c>
      <c r="Q37" s="22">
        <f t="shared" si="53"/>
        <v>287.35503217179337</v>
      </c>
      <c r="R37" s="58">
        <f t="shared" si="0"/>
        <v>580.68836550512674</v>
      </c>
      <c r="S37" s="58">
        <f ca="1">AVERAGE(OFFSET($R$3,0,0,'Données projet'!$E$9+1,1))-AVERAGE(OFFSET($H$3,0,0,'Données projet'!$E$9+1,1))</f>
        <v>483.15009705023641</v>
      </c>
      <c r="T37" s="58">
        <f t="shared" si="34"/>
        <v>254.25036207346591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129</v>
      </c>
      <c r="AJ37" s="14">
        <f>AI37*VLOOKUP('Données projet'!$B$10,Paramètres!$A$1:$I$89,3,0)*VLOOKUP('Données projet'!$B$10,Paramètres!$A$1:$I$89,5,0)</f>
        <v>116.71919999999999</v>
      </c>
      <c r="AK37" s="14">
        <f t="shared" si="35"/>
        <v>30.908576435525887</v>
      </c>
      <c r="AL37" s="22">
        <f t="shared" si="4"/>
        <v>257.1183772918742</v>
      </c>
      <c r="AM37" s="58">
        <f t="shared" si="5"/>
        <v>550.45171062520751</v>
      </c>
      <c r="AN37" s="58">
        <f ca="1">AVERAGE(OFFSET($AM$3,0,0,'Données projet'!$E$10+1,1))-AVERAGE(OFFSET($H$3,0,0,'Données projet'!$E$10+1,1))</f>
        <v>435.7095890216213</v>
      </c>
      <c r="AO37" s="58">
        <f t="shared" si="36"/>
        <v>231.36959598460686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7.8205128205128203</v>
      </c>
      <c r="BD37" s="13">
        <f>IF('Données projet'!$A$88&gt;35,BD36+BC37-BL36,IF(A37&lt;'Données projet'!$A$88,$BA$205^A37,IF(A37='Données projet'!$A$88,'Données projet'!$B$88,BD36+BC37-BL36)))</f>
        <v>121.02564102564095</v>
      </c>
      <c r="BE37" s="14">
        <f>BD37*VLOOKUP('Données projet'!$B$11,Paramètres!$A$1:$I$89,3,0)*VLOOKUP('Données projet'!$B$11,Paramètres!$A$1:$I$89,5,0)</f>
        <v>105.72799999999994</v>
      </c>
      <c r="BF37" s="14">
        <f t="shared" si="37"/>
        <v>28.322159475202639</v>
      </c>
      <c r="BG37" s="22">
        <f t="shared" si="7"/>
        <v>233.47069441931114</v>
      </c>
      <c r="BH37" s="58">
        <f t="shared" si="8"/>
        <v>526.80402775264452</v>
      </c>
      <c r="BI37" s="58">
        <f ca="1">AVERAGE(OFFSET($BH$3,0,0,'Données projet'!$E$11+1,1))-AVERAGE(OFFSET($H$3,0,0,'Données projet'!$E$11+1,1))</f>
        <v>218.76424742311815</v>
      </c>
      <c r="BJ37" s="58">
        <f t="shared" si="38"/>
        <v>264.34598683038593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2.164127466696824</v>
      </c>
      <c r="BQ37" s="23">
        <f>EXP(-LN(2)/25)*BQ36+(1-EXP(-LN(2)/25))/(LN(2)/25)*Calculateur!BL37*Calculateur!BN37*VLOOKUP('Données projet'!$B$11,Paramètres!$A$1:$I$89,3,0)*0.475*44/12</f>
        <v>3.9064076330987785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6.0705350997956025</v>
      </c>
      <c r="BT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2.2571428571428571</v>
      </c>
      <c r="BY37" s="13">
        <f>IF('Données projet'!$A$114&gt;35,BY36+BX37-CG36,IF(A37&lt;'Données projet'!$A$114,$BV$205^A37,IF(A37='Données projet'!$A$114,'Données projet'!$B$114,BY36+BX37-CG36)))</f>
        <v>69.728315623911584</v>
      </c>
      <c r="BZ37" s="14">
        <f>BY37*VLOOKUP('Données projet'!$B$12,Paramètres!$A$1:$I$89,3,0)*VLOOKUP('Données projet'!$B$12,Paramètres!$A$1:$I$89,5,0)</f>
        <v>67.441226871447284</v>
      </c>
      <c r="CA37" s="14">
        <f t="shared" si="39"/>
        <v>19.036653423145321</v>
      </c>
      <c r="CB37" s="22">
        <f t="shared" si="10"/>
        <v>150.61564151308212</v>
      </c>
      <c r="CC37" s="58">
        <f t="shared" si="11"/>
        <v>443.94897484641547</v>
      </c>
      <c r="CD37" s="58">
        <f ca="1">AVERAGE(OFFSET($CC$3,0,0,'Données projet'!$E$12+1,1))-AVERAGE(OFFSET($H$3,0,0,'Données projet'!$E$12+1,1))</f>
        <v>343.86347628565426</v>
      </c>
      <c r="CE37" s="58">
        <f t="shared" si="40"/>
        <v>129.28196646107097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58" t="e">
        <f t="shared" si="14"/>
        <v>#N/A</v>
      </c>
      <c r="CY37" s="58" t="e">
        <f ca="1">AVERAGE(OFFSET($CX$3,0,0,'Données projet'!$E$13+1,1))-AVERAGE(OFFSET($H$3,0,0,'Données projet'!$E$13+1,1))</f>
        <v>#N/A</v>
      </c>
      <c r="CZ37" s="58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5.7692307692307709</v>
      </c>
      <c r="DO37" s="13">
        <f>IF('Données projet'!$A$166&gt;35,DO36+DN37-DW36,IF(A37&lt;'Données projet'!$A$166,$DL$205^A37,IF(A37='Données projet'!$A$166,'Données projet'!$B$166,DO36+DN37-DW36)))</f>
        <v>102.96037296037304</v>
      </c>
      <c r="DP37" s="18">
        <f>DO37*VLOOKUP('Données projet'!$B$14,Paramètres!$A$1:$I$89,3,0)*VLOOKUP('Données projet'!$B$14,Paramètres!$A$1:$I$89,5,0)</f>
        <v>97.97709090909099</v>
      </c>
      <c r="DQ37" s="14">
        <f t="shared" si="43"/>
        <v>26.479495642724427</v>
      </c>
      <c r="DR37" s="22">
        <f t="shared" si="16"/>
        <v>216.76188824441184</v>
      </c>
      <c r="DS37" s="58">
        <f t="shared" si="17"/>
        <v>510.09522157774518</v>
      </c>
      <c r="DT37" s="58">
        <f ca="1">AVERAGE(OFFSET($DS$3,0,0,'Données projet'!$E$14+1,1))-AVERAGE(OFFSET($H$3,0,0,'Données projet'!$E$14+1,1))</f>
        <v>332.49889399440514</v>
      </c>
      <c r="DU37" s="58">
        <f t="shared" si="44"/>
        <v>256.06044006790529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8.3333333333333321</v>
      </c>
      <c r="EJ37" s="13">
        <f>IF('Données projet'!$A$192&gt;35,EJ36+EI37-ER36,IF(A37&lt;'Données projet'!$A$192,$EG$205^A37,IF(A37='Données projet'!$A$192,'Données projet'!$B$192,EJ36+EI37-ER36)))</f>
        <v>160.25641025641031</v>
      </c>
      <c r="EK37" s="18">
        <f>EJ37*VLOOKUP('Données projet'!$B$15,Paramètres!$A$1:$I$89,3,0)*VLOOKUP('Données projet'!$B$15,Paramètres!$A$1:$I$89,5,0)</f>
        <v>167.50000000000006</v>
      </c>
      <c r="EL37" s="14">
        <f t="shared" si="45"/>
        <v>42.529624883325226</v>
      </c>
      <c r="EM37" s="22">
        <f t="shared" si="19"/>
        <v>365.80159667179151</v>
      </c>
      <c r="EN37" s="58">
        <f t="shared" si="20"/>
        <v>659.13493000512483</v>
      </c>
      <c r="EO37" s="58">
        <f ca="1">AVERAGE(OFFSET($EN$3,0,0,'Données projet'!$E$15+1,1))-AVERAGE(OFFSET($H$3,0,0,'Données projet'!$E$15+1,1))</f>
        <v>596.00698505207174</v>
      </c>
      <c r="EP37" s="58">
        <f t="shared" si="46"/>
        <v>378.16197659288338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15.092307692307696</v>
      </c>
      <c r="FE37" s="13">
        <f>IF('Données projet'!$A$218&gt;35,FE36+FD37-FM36,IF(A37&lt;'Données projet'!$A$218,$FB$205^A37,IF(A37='Données projet'!$A$218,'Données projet'!$B$218,FE36+FD37-FM36)))</f>
        <v>277.16153846153844</v>
      </c>
      <c r="FF37" s="18">
        <f>FE37*VLOOKUP('Données projet'!$B$16,Paramètres!$A$1:$I$89,3,0)*VLOOKUP('Données projet'!$B$16,Paramètres!$A$1:$I$89,5,0)</f>
        <v>129.7116</v>
      </c>
      <c r="FG37" s="14">
        <f t="shared" si="47"/>
        <v>33.929709948582989</v>
      </c>
      <c r="FH37" s="22">
        <f t="shared" si="22"/>
        <v>285.00861482711537</v>
      </c>
      <c r="FI37" s="58">
        <f t="shared" si="23"/>
        <v>578.34194816044874</v>
      </c>
      <c r="FJ37" s="58">
        <f ca="1">AVERAGE(OFFSET($FI$3,0,0,'Données projet'!$E$16+1,1))-AVERAGE(OFFSET($H$3,0,0,'Données projet'!$E$16+1,1))</f>
        <v>294.31042006404056</v>
      </c>
      <c r="FK37" s="58">
        <f t="shared" si="48"/>
        <v>260.93767498478502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8.717948717948719</v>
      </c>
      <c r="FZ37" s="13">
        <f>IF('Données projet'!$A$244&gt;35,FZ36+FY37-GH36,IF(A37&lt;'Données projet'!$A$244,$FW$205^A37,IF(A37='Données projet'!$A$244,'Données projet'!$B$244,FZ36+FY37-GH36)))</f>
        <v>179.74358974358978</v>
      </c>
      <c r="GA37" s="18">
        <f>FZ37*VLOOKUP('Données projet'!$B$17,Paramètres!$A$1:$I$89,3,0)*VLOOKUP('Données projet'!$B$17,Paramètres!$A$1:$I$89,5,0)</f>
        <v>120.57200000000003</v>
      </c>
      <c r="GB37" s="14">
        <f t="shared" si="49"/>
        <v>31.808371955809051</v>
      </c>
      <c r="GC37" s="22">
        <f t="shared" si="25"/>
        <v>265.3958144897008</v>
      </c>
      <c r="GD37" s="58">
        <f t="shared" si="26"/>
        <v>558.72914782303405</v>
      </c>
      <c r="GE37" s="58">
        <f ca="1">AVERAGE(OFFSET($GD$3,0,0,'Données projet'!$E$17+1,1))-AVERAGE(OFFSET($H$3,0,0,'Données projet'!$E$17+1,1))</f>
        <v>362.1372269575329</v>
      </c>
      <c r="GF37" s="58">
        <f t="shared" si="50"/>
        <v>308.1559670593121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58" t="e">
        <f t="shared" si="29"/>
        <v>#N/A</v>
      </c>
      <c r="GZ37" s="58" t="e">
        <f ca="1">AVERAGE(OFFSET($GY$3,0,0,'Données projet'!$E$18+1,1))-AVERAGE(OFFSET($H$3,0,0,'Données projet'!$E$18+1,1))</f>
        <v>#N/A</v>
      </c>
      <c r="HA37" s="58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0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3">
        <f t="shared" si="1"/>
        <v>256.66666666666669</v>
      </c>
      <c r="I38" s="6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138.91800000000001</v>
      </c>
      <c r="P38" s="14">
        <f t="shared" si="33"/>
        <v>36.049022673886341</v>
      </c>
      <c r="Q38" s="22">
        <f t="shared" si="53"/>
        <v>304.73423115701871</v>
      </c>
      <c r="R38" s="58">
        <f t="shared" si="0"/>
        <v>598.06756449035197</v>
      </c>
      <c r="S38" s="58">
        <f ca="1">AVERAGE(OFFSET($R$3,0,0,'Données projet'!$E$9+1,1))-AVERAGE(OFFSET($H$3,0,0,'Données projet'!$E$9+1,1))</f>
        <v>483.15009705023641</v>
      </c>
      <c r="T38" s="58">
        <f t="shared" si="34"/>
        <v>254.25036207346591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137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137</v>
      </c>
      <c r="AJ38" s="14">
        <f>AI38*VLOOKUP('Données projet'!$B$10,Paramètres!$A$1:$I$89,3,0)*VLOOKUP('Données projet'!$B$10,Paramètres!$A$1:$I$89,5,0)</f>
        <v>123.9576</v>
      </c>
      <c r="AK38" s="14">
        <f t="shared" si="35"/>
        <v>32.59629414926458</v>
      </c>
      <c r="AL38" s="22">
        <f t="shared" si="4"/>
        <v>272.6646989766358</v>
      </c>
      <c r="AM38" s="58">
        <f t="shared" si="5"/>
        <v>565.99803230996918</v>
      </c>
      <c r="AN38" s="58">
        <f ca="1">AVERAGE(OFFSET($AM$3,0,0,'Données projet'!$E$10+1,1))-AVERAGE(OFFSET($H$3,0,0,'Données projet'!$E$10+1,1))</f>
        <v>435.7095890216213</v>
      </c>
      <c r="AO38" s="58">
        <f t="shared" si="36"/>
        <v>231.36959598460686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128.84615384615384</v>
      </c>
      <c r="BB38" s="13">
        <f>VLOOKUP(A38,'Données projet'!$A$87:$I$107,9,0)</f>
        <v>7.8205128205128203</v>
      </c>
      <c r="BC38" s="13">
        <f t="array" ref="BC38">INDEX(BB:BB,MIN(IF(ISNUMBER(BB38:BB234),ROW(BB38:BB234),"")))</f>
        <v>7.8205128205128203</v>
      </c>
      <c r="BD38" s="13">
        <f>IF('Données projet'!$A$88&gt;35,BD37+BC38-BL37,IF(A38&lt;'Données projet'!$A$88,$BA$205^A38,IF(A38='Données projet'!$A$88,'Données projet'!$B$88,BD37+BC38-BL37)))</f>
        <v>128.84615384615378</v>
      </c>
      <c r="BE38" s="14">
        <f>BD38*VLOOKUP('Données projet'!$B$11,Paramètres!$A$1:$I$89,3,0)*VLOOKUP('Données projet'!$B$11,Paramètres!$A$1:$I$89,5,0)</f>
        <v>112.55999999999997</v>
      </c>
      <c r="BF38" s="14">
        <f t="shared" si="37"/>
        <v>29.933330570949426</v>
      </c>
      <c r="BG38" s="22">
        <f t="shared" si="7"/>
        <v>248.1758840777369</v>
      </c>
      <c r="BH38" s="58">
        <f t="shared" si="8"/>
        <v>541.50921741107027</v>
      </c>
      <c r="BI38" s="58">
        <f ca="1">AVERAGE(OFFSET($BH$3,0,0,'Données projet'!$E$11+1,1))-AVERAGE(OFFSET($H$3,0,0,'Données projet'!$E$11+1,1))</f>
        <v>218.76424742311815</v>
      </c>
      <c r="BJ38" s="58">
        <f t="shared" si="38"/>
        <v>264.34598683038593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26.923076923076923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2.121690247062316</v>
      </c>
      <c r="BQ38" s="23">
        <f>EXP(-LN(2)/25)*BQ37+(1-EXP(-LN(2)/25))/(LN(2)/25)*Calculateur!BL38*Calculateur!BN38*VLOOKUP('Données projet'!$B$11,Paramètres!$A$1:$I$89,3,0)*0.475*44/12</f>
        <v>3.7995867109426431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5.9212769580049596</v>
      </c>
      <c r="BT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2.2571428571428571</v>
      </c>
      <c r="BX38" s="13">
        <f t="array" ref="BX38">INDEX(BW:BW,MIN(IF(ISNUMBER(BW38:BW234),ROW(BW38:BW234),"")))</f>
        <v>2.2571428571428571</v>
      </c>
      <c r="BY38" s="13">
        <f>IF('Données projet'!$A$114&gt;35,BY37+BX38-CG37,IF(A38&lt;'Données projet'!$A$114,$BV$205^A38,IF(A38='Données projet'!$A$114,'Données projet'!$B$114,BY37+BX38-CG37)))</f>
        <v>79</v>
      </c>
      <c r="BZ38" s="14">
        <f>BY38*VLOOKUP('Données projet'!$B$12,Paramètres!$A$1:$I$89,3,0)*VLOOKUP('Données projet'!$B$12,Paramètres!$A$1:$I$89,5,0)</f>
        <v>76.408799999999999</v>
      </c>
      <c r="CA38" s="14">
        <f t="shared" si="39"/>
        <v>21.256783764315173</v>
      </c>
      <c r="CB38" s="22">
        <f t="shared" si="10"/>
        <v>170.1008917228489</v>
      </c>
      <c r="CC38" s="58">
        <f t="shared" si="11"/>
        <v>463.43422505618219</v>
      </c>
      <c r="CD38" s="58">
        <f ca="1">AVERAGE(OFFSET($CC$3,0,0,'Données projet'!$E$12+1,1))-AVERAGE(OFFSET($H$3,0,0,'Données projet'!$E$12+1,1))</f>
        <v>343.86347628565426</v>
      </c>
      <c r="CE38" s="58">
        <f t="shared" si="40"/>
        <v>129.28196646107097</v>
      </c>
      <c r="CF38" s="16">
        <f>IF(ISNA(VLOOKUP(A38,'Données projet'!$A$113:$I$133,3,0)),0,VLOOKUP(A38,'Données projet'!$A$113:$I$133,3,0))</f>
        <v>1</v>
      </c>
      <c r="CG38" s="16">
        <f>IF(ISNA(VLOOKUP(A38,'Données projet'!$A$113:$I$133,4,0)),0,VLOOKUP(A38,'Données projet'!$A$113:$I$133,4,0))</f>
        <v>13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58" t="e">
        <f t="shared" si="14"/>
        <v>#N/A</v>
      </c>
      <c r="CY38" s="58" t="e">
        <f ca="1">AVERAGE(OFFSET($CX$3,0,0,'Données projet'!$E$13+1,1))-AVERAGE(OFFSET($H$3,0,0,'Données projet'!$E$13+1,1))</f>
        <v>#N/A</v>
      </c>
      <c r="CZ38" s="58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5.7692307692307709</v>
      </c>
      <c r="DO38" s="13">
        <f>IF('Données projet'!$A$166&gt;35,DO37+DN38-DW37,IF(A38&lt;'Données projet'!$A$166,$DL$205^A38,IF(A38='Données projet'!$A$166,'Données projet'!$B$166,DO37+DN38-DW37)))</f>
        <v>108.72960372960381</v>
      </c>
      <c r="DP38" s="18">
        <f>DO38*VLOOKUP('Données projet'!$B$14,Paramètres!$A$1:$I$89,3,0)*VLOOKUP('Données projet'!$B$14,Paramètres!$A$1:$I$89,5,0)</f>
        <v>103.46709090909098</v>
      </c>
      <c r="DQ38" s="14">
        <f t="shared" si="43"/>
        <v>27.78633855105123</v>
      </c>
      <c r="DR38" s="22">
        <f t="shared" si="16"/>
        <v>228.59972297641437</v>
      </c>
      <c r="DS38" s="58">
        <f t="shared" si="17"/>
        <v>521.93305630974771</v>
      </c>
      <c r="DT38" s="58">
        <f ca="1">AVERAGE(OFFSET($DS$3,0,0,'Données projet'!$E$14+1,1))-AVERAGE(OFFSET($H$3,0,0,'Données projet'!$E$14+1,1))</f>
        <v>332.49889399440514</v>
      </c>
      <c r="DU38" s="58">
        <f t="shared" si="44"/>
        <v>256.06044006790529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168.58974358974359</v>
      </c>
      <c r="EH38" s="13">
        <f>VLOOKUP(A38,'Données projet'!$A$191:$I$211,9,0)</f>
        <v>8.3333333333333321</v>
      </c>
      <c r="EI38" s="13">
        <f t="array" ref="EI38">INDEX(EH:EH,MIN(IF(ISNUMBER(EH38:EH234),ROW(EH38:EH234),"")))</f>
        <v>8.3333333333333321</v>
      </c>
      <c r="EJ38" s="13">
        <f>IF('Données projet'!$A$192&gt;35,EJ37+EI38-ER37,IF(A38&lt;'Données projet'!$A$192,$EG$205^A38,IF(A38='Données projet'!$A$192,'Données projet'!$B$192,EJ37+EI38-ER37)))</f>
        <v>168.58974358974365</v>
      </c>
      <c r="EK38" s="18">
        <f>EJ38*VLOOKUP('Données projet'!$B$15,Paramètres!$A$1:$I$89,3,0)*VLOOKUP('Données projet'!$B$15,Paramètres!$A$1:$I$89,5,0)</f>
        <v>176.21000000000006</v>
      </c>
      <c r="EL38" s="14">
        <f t="shared" si="45"/>
        <v>44.477939513715754</v>
      </c>
      <c r="EM38" s="22">
        <f t="shared" si="19"/>
        <v>384.36482798638843</v>
      </c>
      <c r="EN38" s="58">
        <f t="shared" si="20"/>
        <v>677.69816131972175</v>
      </c>
      <c r="EO38" s="58">
        <f ca="1">AVERAGE(OFFSET($EN$3,0,0,'Données projet'!$E$15+1,1))-AVERAGE(OFFSET($H$3,0,0,'Données projet'!$E$15+1,1))</f>
        <v>596.00698505207174</v>
      </c>
      <c r="EP38" s="58">
        <f t="shared" si="46"/>
        <v>378.16197659288338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292.25384615384615</v>
      </c>
      <c r="FC38" s="13">
        <f>VLOOKUP(A38,'Données projet'!$A$217:$I$237,9,0)</f>
        <v>15.092307692307696</v>
      </c>
      <c r="FD38" s="13">
        <f t="array" ref="FD38">INDEX(FC:FC,MIN(IF(ISNUMBER(FC38:FC234),ROW(FC38:FC234),"")))</f>
        <v>15.092307692307696</v>
      </c>
      <c r="FE38" s="13">
        <f>IF('Données projet'!$A$218&gt;35,FE37+FD38-FM37,IF(A38&lt;'Données projet'!$A$218,$FB$205^A38,IF(A38='Données projet'!$A$218,'Données projet'!$B$218,FE37+FD38-FM37)))</f>
        <v>292.25384615384615</v>
      </c>
      <c r="FF38" s="18">
        <f>FE38*VLOOKUP('Données projet'!$B$16,Paramètres!$A$1:$I$89,3,0)*VLOOKUP('Données projet'!$B$16,Paramètres!$A$1:$I$89,5,0)</f>
        <v>136.7748</v>
      </c>
      <c r="FG38" s="14">
        <f t="shared" si="47"/>
        <v>35.557158248110909</v>
      </c>
      <c r="FH38" s="22">
        <f t="shared" si="22"/>
        <v>300.14482728212647</v>
      </c>
      <c r="FI38" s="58">
        <f t="shared" si="23"/>
        <v>593.47816061545973</v>
      </c>
      <c r="FJ38" s="58">
        <f ca="1">AVERAGE(OFFSET($FI$3,0,0,'Données projet'!$E$16+1,1))-AVERAGE(OFFSET($H$3,0,0,'Données projet'!$E$16+1,1))</f>
        <v>294.31042006404056</v>
      </c>
      <c r="FK38" s="58">
        <f t="shared" si="48"/>
        <v>260.93767498478502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188.46153846153845</v>
      </c>
      <c r="FX38" s="13">
        <f>VLOOKUP(A38,'Données projet'!$A$243:$I$263,9,0)</f>
        <v>8.717948717948719</v>
      </c>
      <c r="FY38" s="13">
        <f t="array" ref="FY38">INDEX(FX:FX,MIN(IF(ISNUMBER(FX38:FX234),ROW(FX38:FX234),"")))</f>
        <v>8.717948717948719</v>
      </c>
      <c r="FZ38" s="13">
        <f>IF('Données projet'!$A$244&gt;35,FZ37+FY38-GH37,IF(A38&lt;'Données projet'!$A$244,$FW$205^A38,IF(A38='Données projet'!$A$244,'Données projet'!$B$244,FZ37+FY38-GH37)))</f>
        <v>188.46153846153851</v>
      </c>
      <c r="GA38" s="18">
        <f>FZ38*VLOOKUP('Données projet'!$B$17,Paramètres!$A$1:$I$89,3,0)*VLOOKUP('Données projet'!$B$17,Paramètres!$A$1:$I$89,5,0)</f>
        <v>126.42000000000004</v>
      </c>
      <c r="GB38" s="14">
        <f t="shared" si="49"/>
        <v>33.167786817172477</v>
      </c>
      <c r="GC38" s="22">
        <f t="shared" si="25"/>
        <v>277.94872870657542</v>
      </c>
      <c r="GD38" s="58">
        <f t="shared" si="26"/>
        <v>571.28206203990874</v>
      </c>
      <c r="GE38" s="58">
        <f ca="1">AVERAGE(OFFSET($GD$3,0,0,'Données projet'!$E$17+1,1))-AVERAGE(OFFSET($H$3,0,0,'Données projet'!$E$17+1,1))</f>
        <v>362.1372269575329</v>
      </c>
      <c r="GF38" s="58">
        <f t="shared" si="50"/>
        <v>308.1559670593121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58" t="e">
        <f t="shared" si="29"/>
        <v>#N/A</v>
      </c>
      <c r="GZ38" s="58" t="e">
        <f ca="1">AVERAGE(OFFSET($GY$3,0,0,'Données projet'!$E$18+1,1))-AVERAGE(OFFSET($H$3,0,0,'Données projet'!$E$18+1,1))</f>
        <v>#N/A</v>
      </c>
      <c r="HA38" s="58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0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3">
        <f t="shared" si="1"/>
        <v>256.66666666666669</v>
      </c>
      <c r="I39" s="6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104.84760000000001</v>
      </c>
      <c r="P39" s="14">
        <f t="shared" si="33"/>
        <v>28.113670466115643</v>
      </c>
      <c r="Q39" s="22">
        <f t="shared" si="53"/>
        <v>231.57421272848475</v>
      </c>
      <c r="R39" s="58">
        <f t="shared" si="0"/>
        <v>524.90754606181804</v>
      </c>
      <c r="S39" s="58">
        <f ca="1">AVERAGE(OFFSET($R$3,0,0,'Données projet'!$E$9+1,1))-AVERAGE(OFFSET($H$3,0,0,'Données projet'!$E$9+1,1))</f>
        <v>483.15009705023641</v>
      </c>
      <c r="T39" s="58">
        <f t="shared" si="34"/>
        <v>254.25036207346591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58">
        <f t="shared" si="5"/>
        <v>500.55213023987449</v>
      </c>
      <c r="AN39" s="58">
        <f ca="1">AVERAGE(OFFSET($AM$3,0,0,'Données projet'!$E$10+1,1))-AVERAGE(OFFSET($H$3,0,0,'Données projet'!$E$10+1,1))</f>
        <v>435.7095890216213</v>
      </c>
      <c r="AO39" s="58">
        <f t="shared" si="36"/>
        <v>231.36959598460686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6.9230769230769251</v>
      </c>
      <c r="BD39" s="13">
        <f>IF('Données projet'!$A$88&gt;35,BD38+BC39-BL38,IF(A39&lt;'Données projet'!$A$88,$BA$205^A39,IF(A39='Données projet'!$A$88,'Données projet'!$B$88,BD38+BC39-BL38)))</f>
        <v>108.8461538461538</v>
      </c>
      <c r="BE39" s="14">
        <f>BD39*VLOOKUP('Données projet'!$B$11,Paramètres!$A$1:$I$89,3,0)*VLOOKUP('Données projet'!$B$11,Paramètres!$A$1:$I$89,5,0)</f>
        <v>95.087999999999965</v>
      </c>
      <c r="BF39" s="14">
        <f t="shared" si="37"/>
        <v>25.788373096882776</v>
      </c>
      <c r="BG39" s="22">
        <f t="shared" si="7"/>
        <v>210.5263498104041</v>
      </c>
      <c r="BH39" s="58">
        <f t="shared" si="8"/>
        <v>503.85968314373741</v>
      </c>
      <c r="BI39" s="58">
        <f ca="1">AVERAGE(OFFSET($BH$3,0,0,'Données projet'!$E$11+1,1))-AVERAGE(OFFSET($H$3,0,0,'Données projet'!$E$11+1,1))</f>
        <v>218.76424742311815</v>
      </c>
      <c r="BJ39" s="58">
        <f t="shared" si="38"/>
        <v>264.34598683038593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2.0800851954206925</v>
      </c>
      <c r="BQ39" s="23">
        <f>EXP(-LN(2)/25)*BQ38+(1-EXP(-LN(2)/25))/(LN(2)/25)*Calculateur!BL39*Calculateur!BN39*VLOOKUP('Données projet'!$B$11,Paramètres!$A$1:$I$89,3,0)*0.475*44/12</f>
        <v>3.6956868125203353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5.7757720079410273</v>
      </c>
      <c r="BT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5.5</v>
      </c>
      <c r="BY39" s="13">
        <f>IF('Données projet'!$A$114&gt;35,BY38+BX39-CG38,IF(A39&lt;'Données projet'!$A$114,$BV$205^A39,IF(A39='Données projet'!$A$114,'Données projet'!$B$114,BY38+BX39-CG38)))</f>
        <v>71.5</v>
      </c>
      <c r="BZ39" s="14">
        <f>BY39*VLOOKUP('Données projet'!$B$12,Paramètres!$A$1:$I$89,3,0)*VLOOKUP('Données projet'!$B$12,Paramètres!$A$1:$I$89,5,0)</f>
        <v>69.154799999999994</v>
      </c>
      <c r="CA39" s="14">
        <f t="shared" si="39"/>
        <v>19.463416459089981</v>
      </c>
      <c r="CB39" s="22">
        <f t="shared" si="10"/>
        <v>154.34339366624837</v>
      </c>
      <c r="CC39" s="58">
        <f t="shared" si="11"/>
        <v>447.67672699958166</v>
      </c>
      <c r="CD39" s="58">
        <f ca="1">AVERAGE(OFFSET($CC$3,0,0,'Données projet'!$E$12+1,1))-AVERAGE(OFFSET($H$3,0,0,'Données projet'!$E$12+1,1))</f>
        <v>343.86347628565426</v>
      </c>
      <c r="CE39" s="58">
        <f t="shared" si="40"/>
        <v>129.28196646107097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58" t="e">
        <f t="shared" si="14"/>
        <v>#N/A</v>
      </c>
      <c r="CY39" s="58" t="e">
        <f ca="1">AVERAGE(OFFSET($CX$3,0,0,'Données projet'!$E$13+1,1))-AVERAGE(OFFSET($H$3,0,0,'Données projet'!$E$13+1,1))</f>
        <v>#N/A</v>
      </c>
      <c r="CZ39" s="58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5.7692307692307709</v>
      </c>
      <c r="DO39" s="13">
        <f>IF('Données projet'!$A$166&gt;35,DO38+DN39-DW38,IF(A39&lt;'Données projet'!$A$166,$DL$205^A39,IF(A39='Données projet'!$A$166,'Données projet'!$B$166,DO38+DN39-DW38)))</f>
        <v>114.49883449883458</v>
      </c>
      <c r="DP39" s="18">
        <f>DO39*VLOOKUP('Données projet'!$B$14,Paramètres!$A$1:$I$89,3,0)*VLOOKUP('Données projet'!$B$14,Paramètres!$A$1:$I$89,5,0)</f>
        <v>108.95709090909099</v>
      </c>
      <c r="DQ39" s="14">
        <f t="shared" si="43"/>
        <v>29.085130990182904</v>
      </c>
      <c r="DR39" s="22">
        <f t="shared" si="16"/>
        <v>240.42353647456866</v>
      </c>
      <c r="DS39" s="58">
        <f t="shared" si="17"/>
        <v>533.75686980790192</v>
      </c>
      <c r="DT39" s="58">
        <f ca="1">AVERAGE(OFFSET($DS$3,0,0,'Données projet'!$E$14+1,1))-AVERAGE(OFFSET($H$3,0,0,'Données projet'!$E$14+1,1))</f>
        <v>332.49889399440514</v>
      </c>
      <c r="DU39" s="58">
        <f t="shared" si="44"/>
        <v>256.06044006790529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7.8205128205128176</v>
      </c>
      <c r="EJ39" s="13">
        <f>IF('Données projet'!$A$192&gt;35,EJ38+EI39-ER38,IF(A39&lt;'Données projet'!$A$192,$EG$205^A39,IF(A39='Données projet'!$A$192,'Données projet'!$B$192,EJ38+EI39-ER38)))</f>
        <v>176.41025641025647</v>
      </c>
      <c r="EK39" s="18">
        <f>EJ39*VLOOKUP('Données projet'!$B$15,Paramètres!$A$1:$I$89,3,0)*VLOOKUP('Données projet'!$B$15,Paramètres!$A$1:$I$89,5,0)</f>
        <v>184.38400000000007</v>
      </c>
      <c r="EL39" s="14">
        <f t="shared" si="45"/>
        <v>46.296175202781576</v>
      </c>
      <c r="EM39" s="22">
        <f t="shared" si="19"/>
        <v>401.76797181151136</v>
      </c>
      <c r="EN39" s="58">
        <f t="shared" si="20"/>
        <v>695.10130514484467</v>
      </c>
      <c r="EO39" s="58">
        <f ca="1">AVERAGE(OFFSET($EN$3,0,0,'Données projet'!$E$15+1,1))-AVERAGE(OFFSET($H$3,0,0,'Données projet'!$E$15+1,1))</f>
        <v>596.00698505207174</v>
      </c>
      <c r="EP39" s="58">
        <f t="shared" si="46"/>
        <v>378.16197659288338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16.606153846153848</v>
      </c>
      <c r="FE39" s="13">
        <f>IF('Données projet'!$A$218&gt;35,FE38+FD39-FM38,IF(A39&lt;'Données projet'!$A$218,$FB$205^A39,IF(A39='Données projet'!$A$218,'Données projet'!$B$218,FE38+FD39-FM38)))</f>
        <v>308.86</v>
      </c>
      <c r="FF39" s="18">
        <f>FE39*VLOOKUP('Données projet'!$B$16,Paramètres!$A$1:$I$89,3,0)*VLOOKUP('Données projet'!$B$16,Paramètres!$A$1:$I$89,5,0)</f>
        <v>144.54648</v>
      </c>
      <c r="FG39" s="14">
        <f t="shared" si="47"/>
        <v>37.33659506947329</v>
      </c>
      <c r="FH39" s="22">
        <f t="shared" si="22"/>
        <v>316.77968907933263</v>
      </c>
      <c r="FI39" s="58">
        <f t="shared" si="23"/>
        <v>610.11302241266594</v>
      </c>
      <c r="FJ39" s="58">
        <f ca="1">AVERAGE(OFFSET($FI$3,0,0,'Données projet'!$E$16+1,1))-AVERAGE(OFFSET($H$3,0,0,'Données projet'!$E$16+1,1))</f>
        <v>294.31042006404056</v>
      </c>
      <c r="FK39" s="58">
        <f t="shared" si="48"/>
        <v>260.93767498478502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7.9487179487179507</v>
      </c>
      <c r="FZ39" s="13">
        <f>IF('Données projet'!$A$244&gt;35,FZ38+FY39-GH38,IF(A39&lt;'Données projet'!$A$244,$FW$205^A39,IF(A39='Données projet'!$A$244,'Données projet'!$B$244,FZ38+FY39-GH38)))</f>
        <v>196.41025641025647</v>
      </c>
      <c r="GA39" s="18">
        <f>FZ39*VLOOKUP('Données projet'!$B$17,Paramètres!$A$1:$I$89,3,0)*VLOOKUP('Données projet'!$B$17,Paramètres!$A$1:$I$89,5,0)</f>
        <v>131.75200000000004</v>
      </c>
      <c r="GB39" s="14">
        <f t="shared" si="49"/>
        <v>34.400879137880764</v>
      </c>
      <c r="GC39" s="22">
        <f t="shared" si="25"/>
        <v>289.38293116514234</v>
      </c>
      <c r="GD39" s="58">
        <f t="shared" si="26"/>
        <v>582.71626449847565</v>
      </c>
      <c r="GE39" s="58">
        <f ca="1">AVERAGE(OFFSET($GD$3,0,0,'Données projet'!$E$17+1,1))-AVERAGE(OFFSET($H$3,0,0,'Données projet'!$E$17+1,1))</f>
        <v>362.1372269575329</v>
      </c>
      <c r="GF39" s="58">
        <f t="shared" si="50"/>
        <v>308.1559670593121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58" t="e">
        <f t="shared" si="29"/>
        <v>#N/A</v>
      </c>
      <c r="GZ39" s="58" t="e">
        <f ca="1">AVERAGE(OFFSET($GY$3,0,0,'Données projet'!$E$18+1,1))-AVERAGE(OFFSET($H$3,0,0,'Données projet'!$E$18+1,1))</f>
        <v>#N/A</v>
      </c>
      <c r="HA39" s="58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0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3">
        <f t="shared" si="1"/>
        <v>256.66666666666669</v>
      </c>
      <c r="I40" s="6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113.36520000000003</v>
      </c>
      <c r="P40" s="14">
        <f t="shared" si="33"/>
        <v>30.122456058687614</v>
      </c>
      <c r="Q40" s="22">
        <f t="shared" si="53"/>
        <v>249.9076676355476</v>
      </c>
      <c r="R40" s="58">
        <f t="shared" si="0"/>
        <v>543.24100096888094</v>
      </c>
      <c r="S40" s="58">
        <f ca="1">AVERAGE(OFFSET($R$3,0,0,'Données projet'!$E$9+1,1))-AVERAGE(OFFSET($H$3,0,0,'Données projet'!$E$9+1,1))</f>
        <v>483.15009705023641</v>
      </c>
      <c r="T40" s="58">
        <f t="shared" si="34"/>
        <v>254.25036207346591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58">
        <f t="shared" si="5"/>
        <v>516.95289444408968</v>
      </c>
      <c r="AN40" s="58">
        <f ca="1">AVERAGE(OFFSET($AM$3,0,0,'Données projet'!$E$10+1,1))-AVERAGE(OFFSET($H$3,0,0,'Données projet'!$E$10+1,1))</f>
        <v>435.7095890216213</v>
      </c>
      <c r="AO40" s="58">
        <f t="shared" si="36"/>
        <v>231.36959598460686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6.9230769230769251</v>
      </c>
      <c r="BD40" s="13">
        <f>IF('Données projet'!$A$88&gt;35,BD39+BC40-BL39,IF(A40&lt;'Données projet'!$A$88,$BA$205^A40,IF(A40='Données projet'!$A$88,'Données projet'!$B$88,BD39+BC40-BL39)))</f>
        <v>115.76923076923072</v>
      </c>
      <c r="BE40" s="14">
        <f>BD40*VLOOKUP('Données projet'!$B$11,Paramètres!$A$1:$I$89,3,0)*VLOOKUP('Données projet'!$B$11,Paramètres!$A$1:$I$89,5,0)</f>
        <v>101.13599999999997</v>
      </c>
      <c r="BF40" s="14">
        <f t="shared" si="37"/>
        <v>27.232455703447666</v>
      </c>
      <c r="BG40" s="22">
        <f t="shared" si="7"/>
        <v>223.5750603501713</v>
      </c>
      <c r="BH40" s="58">
        <f t="shared" si="8"/>
        <v>516.90839368350464</v>
      </c>
      <c r="BI40" s="58">
        <f ca="1">AVERAGE(OFFSET($BH$3,0,0,'Données projet'!$E$11+1,1))-AVERAGE(OFFSET($H$3,0,0,'Données projet'!$E$11+1,1))</f>
        <v>218.76424742311815</v>
      </c>
      <c r="BJ40" s="58">
        <f t="shared" si="38"/>
        <v>264.34598683038593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2.0392959934651858</v>
      </c>
      <c r="BQ40" s="23">
        <f>EXP(-LN(2)/25)*BQ39+(1-EXP(-LN(2)/25))/(LN(2)/25)*Calculateur!BL40*Calculateur!BN40*VLOOKUP('Données projet'!$B$11,Paramètres!$A$1:$I$89,3,0)*0.475*44/12</f>
        <v>3.5946280622842437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5.6339240557494294</v>
      </c>
      <c r="BT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5.5</v>
      </c>
      <c r="BY40" s="13">
        <f>IF('Données projet'!$A$114&gt;35,BY39+BX40-CG39,IF(A40&lt;'Données projet'!$A$114,$BV$205^A40,IF(A40='Données projet'!$A$114,'Données projet'!$B$114,BY39+BX40-CG39)))</f>
        <v>77</v>
      </c>
      <c r="BZ40" s="14">
        <f>BY40*VLOOKUP('Données projet'!$B$12,Paramètres!$A$1:$I$89,3,0)*VLOOKUP('Données projet'!$B$12,Paramètres!$A$1:$I$89,5,0)</f>
        <v>74.474400000000003</v>
      </c>
      <c r="CA40" s="14">
        <f t="shared" si="39"/>
        <v>20.780570274034375</v>
      </c>
      <c r="CB40" s="22">
        <f t="shared" si="10"/>
        <v>165.90240656060988</v>
      </c>
      <c r="CC40" s="58">
        <f t="shared" si="11"/>
        <v>459.23573989394322</v>
      </c>
      <c r="CD40" s="58">
        <f ca="1">AVERAGE(OFFSET($CC$3,0,0,'Données projet'!$E$12+1,1))-AVERAGE(OFFSET($H$3,0,0,'Données projet'!$E$12+1,1))</f>
        <v>343.86347628565426</v>
      </c>
      <c r="CE40" s="58">
        <f t="shared" si="40"/>
        <v>129.28196646107097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58" t="e">
        <f t="shared" si="14"/>
        <v>#N/A</v>
      </c>
      <c r="CY40" s="58" t="e">
        <f ca="1">AVERAGE(OFFSET($CX$3,0,0,'Données projet'!$E$13+1,1))-AVERAGE(OFFSET($H$3,0,0,'Données projet'!$E$13+1,1))</f>
        <v>#N/A</v>
      </c>
      <c r="CZ40" s="58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5.7692307692307709</v>
      </c>
      <c r="DO40" s="13">
        <f>IF('Données projet'!$A$166&gt;35,DO39+DN40-DW39,IF(A40&lt;'Données projet'!$A$166,$DL$205^A40,IF(A40='Données projet'!$A$166,'Données projet'!$B$166,DO39+DN40-DW39)))</f>
        <v>120.26806526806536</v>
      </c>
      <c r="DP40" s="18">
        <f>DO40*VLOOKUP('Données projet'!$B$14,Paramètres!$A$1:$I$89,3,0)*VLOOKUP('Données projet'!$B$14,Paramètres!$A$1:$I$89,5,0)</f>
        <v>114.447090909091</v>
      </c>
      <c r="DQ40" s="14">
        <f t="shared" si="43"/>
        <v>30.376324880098295</v>
      </c>
      <c r="DR40" s="22">
        <f t="shared" si="16"/>
        <v>252.23411583283806</v>
      </c>
      <c r="DS40" s="58">
        <f t="shared" si="17"/>
        <v>545.5674491661714</v>
      </c>
      <c r="DT40" s="58">
        <f ca="1">AVERAGE(OFFSET($DS$3,0,0,'Données projet'!$E$14+1,1))-AVERAGE(OFFSET($H$3,0,0,'Données projet'!$E$14+1,1))</f>
        <v>332.49889399440514</v>
      </c>
      <c r="DU40" s="58">
        <f t="shared" si="44"/>
        <v>256.06044006790529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7.8205128205128176</v>
      </c>
      <c r="EJ40" s="13">
        <f>IF('Données projet'!$A$192&gt;35,EJ39+EI40-ER39,IF(A40&lt;'Données projet'!$A$192,$EG$205^A40,IF(A40='Données projet'!$A$192,'Données projet'!$B$192,EJ39+EI40-ER39)))</f>
        <v>184.23076923076928</v>
      </c>
      <c r="EK40" s="18">
        <f>EJ40*VLOOKUP('Données projet'!$B$15,Paramètres!$A$1:$I$89,3,0)*VLOOKUP('Données projet'!$B$15,Paramètres!$A$1:$I$89,5,0)</f>
        <v>192.55800000000008</v>
      </c>
      <c r="EL40" s="14">
        <f t="shared" si="45"/>
        <v>48.105049406468041</v>
      </c>
      <c r="EM40" s="22">
        <f t="shared" si="19"/>
        <v>419.15481104959866</v>
      </c>
      <c r="EN40" s="58">
        <f t="shared" si="20"/>
        <v>712.48814438293198</v>
      </c>
      <c r="EO40" s="58">
        <f ca="1">AVERAGE(OFFSET($EN$3,0,0,'Données projet'!$E$15+1,1))-AVERAGE(OFFSET($H$3,0,0,'Données projet'!$E$15+1,1))</f>
        <v>596.00698505207174</v>
      </c>
      <c r="EP40" s="58">
        <f t="shared" si="46"/>
        <v>378.16197659288338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16.606153846153848</v>
      </c>
      <c r="FE40" s="13">
        <f>IF('Données projet'!$A$218&gt;35,FE39+FD40-FM39,IF(A40&lt;'Données projet'!$A$218,$FB$205^A40,IF(A40='Données projet'!$A$218,'Données projet'!$B$218,FE39+FD40-FM39)))</f>
        <v>325.46615384615387</v>
      </c>
      <c r="FF40" s="18">
        <f>FE40*VLOOKUP('Données projet'!$B$16,Paramètres!$A$1:$I$89,3,0)*VLOOKUP('Données projet'!$B$16,Paramètres!$A$1:$I$89,5,0)</f>
        <v>152.31816000000001</v>
      </c>
      <c r="FG40" s="14">
        <f t="shared" si="47"/>
        <v>39.104924664919821</v>
      </c>
      <c r="FH40" s="22">
        <f t="shared" si="22"/>
        <v>333.39520579140202</v>
      </c>
      <c r="FI40" s="58">
        <f t="shared" si="23"/>
        <v>626.72853912473533</v>
      </c>
      <c r="FJ40" s="58">
        <f ca="1">AVERAGE(OFFSET($FI$3,0,0,'Données projet'!$E$16+1,1))-AVERAGE(OFFSET($H$3,0,0,'Données projet'!$E$16+1,1))</f>
        <v>294.31042006404056</v>
      </c>
      <c r="FK40" s="58">
        <f t="shared" si="48"/>
        <v>260.93767498478502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7.9487179487179507</v>
      </c>
      <c r="FZ40" s="13">
        <f>IF('Données projet'!$A$244&gt;35,FZ39+FY40-GH39,IF(A40&lt;'Données projet'!$A$244,$FW$205^A40,IF(A40='Données projet'!$A$244,'Données projet'!$B$244,FZ39+FY40-GH39)))</f>
        <v>204.35897435897442</v>
      </c>
      <c r="GA40" s="18">
        <f>FZ40*VLOOKUP('Données projet'!$B$17,Paramètres!$A$1:$I$89,3,0)*VLOOKUP('Données projet'!$B$17,Paramètres!$A$1:$I$89,5,0)</f>
        <v>137.08400000000003</v>
      </c>
      <c r="GB40" s="14">
        <f t="shared" si="49"/>
        <v>35.628174713483716</v>
      </c>
      <c r="GC40" s="22">
        <f t="shared" si="25"/>
        <v>300.80703762598421</v>
      </c>
      <c r="GD40" s="58">
        <f t="shared" si="26"/>
        <v>594.14037095931758</v>
      </c>
      <c r="GE40" s="58">
        <f ca="1">AVERAGE(OFFSET($GD$3,0,0,'Données projet'!$E$17+1,1))-AVERAGE(OFFSET($H$3,0,0,'Données projet'!$E$17+1,1))</f>
        <v>362.1372269575329</v>
      </c>
      <c r="GF40" s="58">
        <f t="shared" si="50"/>
        <v>308.1559670593121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58" t="e">
        <f t="shared" si="29"/>
        <v>#N/A</v>
      </c>
      <c r="GZ40" s="58" t="e">
        <f ca="1">AVERAGE(OFFSET($GY$3,0,0,'Données projet'!$E$18+1,1))-AVERAGE(OFFSET($H$3,0,0,'Données projet'!$E$18+1,1))</f>
        <v>#N/A</v>
      </c>
      <c r="HA40" s="58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0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3">
        <f t="shared" si="1"/>
        <v>256.66666666666669</v>
      </c>
      <c r="I41" s="6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58">
        <f t="shared" si="0"/>
        <v>561.54396129342854</v>
      </c>
      <c r="S41" s="58">
        <f ca="1">AVERAGE(OFFSET($R$3,0,0,'Données projet'!$E$9+1,1))-AVERAGE(OFFSET($H$3,0,0,'Données projet'!$E$9+1,1))</f>
        <v>483.15009705023641</v>
      </c>
      <c r="T41" s="58">
        <f t="shared" si="34"/>
        <v>254.25036207346591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58">
        <f t="shared" si="5"/>
        <v>533.32608479725729</v>
      </c>
      <c r="AN41" s="58">
        <f ca="1">AVERAGE(OFFSET($AM$3,0,0,'Données projet'!$E$10+1,1))-AVERAGE(OFFSET($H$3,0,0,'Données projet'!$E$10+1,1))</f>
        <v>435.7095890216213</v>
      </c>
      <c r="AO41" s="58">
        <f t="shared" si="36"/>
        <v>231.36959598460686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6.9230769230769251</v>
      </c>
      <c r="BD41" s="13">
        <f>IF('Données projet'!$A$88&gt;35,BD40+BC41-BL40,IF(A41&lt;'Données projet'!$A$88,$BA$205^A41,IF(A41='Données projet'!$A$88,'Données projet'!$B$88,BD40+BC41-BL40)))</f>
        <v>122.69230769230764</v>
      </c>
      <c r="BE41" s="14">
        <f>BD41*VLOOKUP('Données projet'!$B$11,Paramètres!$A$1:$I$89,3,0)*VLOOKUP('Données projet'!$B$11,Paramètres!$A$1:$I$89,5,0)</f>
        <v>107.18399999999997</v>
      </c>
      <c r="BF41" s="14">
        <f t="shared" si="37"/>
        <v>28.666514942146158</v>
      </c>
      <c r="BG41" s="22">
        <f t="shared" si="7"/>
        <v>236.60631352423786</v>
      </c>
      <c r="BH41" s="58">
        <f t="shared" si="8"/>
        <v>529.93964685757123</v>
      </c>
      <c r="BI41" s="58">
        <f ca="1">AVERAGE(OFFSET($BH$3,0,0,'Données projet'!$E$11+1,1))-AVERAGE(OFFSET($H$3,0,0,'Données projet'!$E$11+1,1))</f>
        <v>218.76424742311815</v>
      </c>
      <c r="BJ41" s="58">
        <f t="shared" si="38"/>
        <v>264.34598683038593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1.9993066428810697</v>
      </c>
      <c r="BQ41" s="23">
        <f>EXP(-LN(2)/25)*BQ40+(1-EXP(-LN(2)/25))/(LN(2)/25)*Calculateur!BL41*Calculateur!BN41*VLOOKUP('Données projet'!$B$11,Paramètres!$A$1:$I$89,3,0)*0.475*44/12</f>
        <v>3.496332768887807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5.4956394117688765</v>
      </c>
      <c r="BT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5.5</v>
      </c>
      <c r="BY41" s="13">
        <f>IF('Données projet'!$A$114&gt;35,BY40+BX41-CG40,IF(A41&lt;'Données projet'!$A$114,$BV$205^A41,IF(A41='Données projet'!$A$114,'Données projet'!$B$114,BY40+BX41-CG40)))</f>
        <v>82.5</v>
      </c>
      <c r="BZ41" s="14">
        <f>BY41*VLOOKUP('Données projet'!$B$12,Paramètres!$A$1:$I$89,3,0)*VLOOKUP('Données projet'!$B$12,Paramètres!$A$1:$I$89,5,0)</f>
        <v>79.793999999999997</v>
      </c>
      <c r="CA41" s="14">
        <f t="shared" si="39"/>
        <v>22.086808502074891</v>
      </c>
      <c r="CB41" s="22">
        <f t="shared" si="10"/>
        <v>177.44240814111376</v>
      </c>
      <c r="CC41" s="58">
        <f t="shared" si="11"/>
        <v>470.77574147444705</v>
      </c>
      <c r="CD41" s="58">
        <f ca="1">AVERAGE(OFFSET($CC$3,0,0,'Données projet'!$E$12+1,1))-AVERAGE(OFFSET($H$3,0,0,'Données projet'!$E$12+1,1))</f>
        <v>343.86347628565426</v>
      </c>
      <c r="CE41" s="58">
        <f t="shared" si="40"/>
        <v>129.28196646107097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58" t="e">
        <f t="shared" si="14"/>
        <v>#N/A</v>
      </c>
      <c r="CY41" s="58" t="e">
        <f ca="1">AVERAGE(OFFSET($CX$3,0,0,'Données projet'!$E$13+1,1))-AVERAGE(OFFSET($H$3,0,0,'Données projet'!$E$13+1,1))</f>
        <v>#N/A</v>
      </c>
      <c r="CZ41" s="58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5.7692307692307709</v>
      </c>
      <c r="DO41" s="13">
        <f>IF('Données projet'!$A$166&gt;35,DO40+DN41-DW40,IF(A41&lt;'Données projet'!$A$166,$DL$205^A41,IF(A41='Données projet'!$A$166,'Données projet'!$B$166,DO40+DN41-DW40)))</f>
        <v>126.03729603729613</v>
      </c>
      <c r="DP41" s="18">
        <f>DO41*VLOOKUP('Données projet'!$B$14,Paramètres!$A$1:$I$89,3,0)*VLOOKUP('Données projet'!$B$14,Paramètres!$A$1:$I$89,5,0)</f>
        <v>119.93709090909098</v>
      </c>
      <c r="DQ41" s="14">
        <f t="shared" si="43"/>
        <v>31.660326333994028</v>
      </c>
      <c r="DR41" s="22">
        <f t="shared" si="16"/>
        <v>264.03216836503969</v>
      </c>
      <c r="DS41" s="58">
        <f t="shared" si="17"/>
        <v>557.36550169837301</v>
      </c>
      <c r="DT41" s="58">
        <f ca="1">AVERAGE(OFFSET($DS$3,0,0,'Données projet'!$E$14+1,1))-AVERAGE(OFFSET($H$3,0,0,'Données projet'!$E$14+1,1))</f>
        <v>332.49889399440514</v>
      </c>
      <c r="DU41" s="58">
        <f t="shared" si="44"/>
        <v>256.06044006790529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7.8205128205128176</v>
      </c>
      <c r="EJ41" s="13">
        <f>IF('Données projet'!$A$192&gt;35,EJ40+EI41-ER40,IF(A41&lt;'Données projet'!$A$192,$EG$205^A41,IF(A41='Données projet'!$A$192,'Données projet'!$B$192,EJ40+EI41-ER40)))</f>
        <v>192.0512820512821</v>
      </c>
      <c r="EK41" s="18">
        <f>EJ41*VLOOKUP('Données projet'!$B$15,Paramètres!$A$1:$I$89,3,0)*VLOOKUP('Données projet'!$B$15,Paramètres!$A$1:$I$89,5,0)</f>
        <v>200.73200000000008</v>
      </c>
      <c r="EL41" s="14">
        <f t="shared" si="45"/>
        <v>49.905004948981436</v>
      </c>
      <c r="EM41" s="22">
        <f t="shared" si="19"/>
        <v>436.52611695280945</v>
      </c>
      <c r="EN41" s="58">
        <f t="shared" si="20"/>
        <v>729.85945028614276</v>
      </c>
      <c r="EO41" s="58">
        <f ca="1">AVERAGE(OFFSET($EN$3,0,0,'Données projet'!$E$15+1,1))-AVERAGE(OFFSET($H$3,0,0,'Données projet'!$E$15+1,1))</f>
        <v>596.00698505207174</v>
      </c>
      <c r="EP41" s="58">
        <f t="shared" si="46"/>
        <v>378.16197659288338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16.606153846153848</v>
      </c>
      <c r="FE41" s="13">
        <f>IF('Données projet'!$A$218&gt;35,FE40+FD41-FM40,IF(A41&lt;'Données projet'!$A$218,$FB$205^A41,IF(A41='Données projet'!$A$218,'Données projet'!$B$218,FE40+FD41-FM40)))</f>
        <v>342.07230769230773</v>
      </c>
      <c r="FF41" s="18">
        <f>FE41*VLOOKUP('Données projet'!$B$16,Paramètres!$A$1:$I$89,3,0)*VLOOKUP('Données projet'!$B$16,Paramètres!$A$1:$I$89,5,0)</f>
        <v>160.08984000000001</v>
      </c>
      <c r="FG41" s="14">
        <f t="shared" si="47"/>
        <v>40.862778407405244</v>
      </c>
      <c r="FH41" s="22">
        <f t="shared" si="22"/>
        <v>349.99247705956412</v>
      </c>
      <c r="FI41" s="58">
        <f t="shared" si="23"/>
        <v>643.32581039289744</v>
      </c>
      <c r="FJ41" s="58">
        <f ca="1">AVERAGE(OFFSET($FI$3,0,0,'Données projet'!$E$16+1,1))-AVERAGE(OFFSET($H$3,0,0,'Données projet'!$E$16+1,1))</f>
        <v>294.31042006404056</v>
      </c>
      <c r="FK41" s="58">
        <f t="shared" si="48"/>
        <v>260.93767498478502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7.9487179487179507</v>
      </c>
      <c r="FZ41" s="13">
        <f>IF('Données projet'!$A$244&gt;35,FZ40+FY41-GH40,IF(A41&lt;'Données projet'!$A$244,$FW$205^A41,IF(A41='Données projet'!$A$244,'Données projet'!$B$244,FZ40+FY41-GH40)))</f>
        <v>212.30769230769238</v>
      </c>
      <c r="GA41" s="18">
        <f>FZ41*VLOOKUP('Données projet'!$B$17,Paramètres!$A$1:$I$89,3,0)*VLOOKUP('Données projet'!$B$17,Paramètres!$A$1:$I$89,5,0)</f>
        <v>142.41600000000005</v>
      </c>
      <c r="GB41" s="14">
        <f t="shared" si="49"/>
        <v>36.849924818088418</v>
      </c>
      <c r="GC41" s="22">
        <f t="shared" si="25"/>
        <v>312.22148572483741</v>
      </c>
      <c r="GD41" s="58">
        <f t="shared" si="26"/>
        <v>605.55481905817078</v>
      </c>
      <c r="GE41" s="58">
        <f ca="1">AVERAGE(OFFSET($GD$3,0,0,'Données projet'!$E$17+1,1))-AVERAGE(OFFSET($H$3,0,0,'Données projet'!$E$17+1,1))</f>
        <v>362.1372269575329</v>
      </c>
      <c r="GF41" s="58">
        <f t="shared" si="50"/>
        <v>308.1559670593121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58" t="e">
        <f t="shared" si="29"/>
        <v>#N/A</v>
      </c>
      <c r="GZ41" s="58" t="e">
        <f ca="1">AVERAGE(OFFSET($GY$3,0,0,'Données projet'!$E$18+1,1))-AVERAGE(OFFSET($H$3,0,0,'Données projet'!$E$18+1,1))</f>
        <v>#N/A</v>
      </c>
      <c r="HA41" s="58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0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3">
        <f t="shared" si="1"/>
        <v>256.66666666666669</v>
      </c>
      <c r="I42" s="6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58">
        <f t="shared" si="0"/>
        <v>579.8188005094587</v>
      </c>
      <c r="S42" s="58">
        <f ca="1">AVERAGE(OFFSET($R$3,0,0,'Données projet'!$E$9+1,1))-AVERAGE(OFFSET($H$3,0,0,'Données projet'!$E$9+1,1))</f>
        <v>483.15009705023641</v>
      </c>
      <c r="T42" s="58">
        <f t="shared" si="34"/>
        <v>254.25036207346591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58">
        <f t="shared" si="5"/>
        <v>549.67384744512105</v>
      </c>
      <c r="AN42" s="58">
        <f ca="1">AVERAGE(OFFSET($AM$3,0,0,'Données projet'!$E$10+1,1))-AVERAGE(OFFSET($H$3,0,0,'Données projet'!$E$10+1,1))</f>
        <v>435.7095890216213</v>
      </c>
      <c r="AO42" s="58">
        <f t="shared" si="36"/>
        <v>231.36959598460686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6.9230769230769251</v>
      </c>
      <c r="BD42" s="13">
        <f>IF('Données projet'!$A$88&gt;35,BD41+BC42-BL41,IF(A42&lt;'Données projet'!$A$88,$BA$205^A42,IF(A42='Données projet'!$A$88,'Données projet'!$B$88,BD41+BC42-BL41)))</f>
        <v>129.61538461538456</v>
      </c>
      <c r="BE42" s="14">
        <f>BD42*VLOOKUP('Données projet'!$B$11,Paramètres!$A$1:$I$89,3,0)*VLOOKUP('Données projet'!$B$11,Paramètres!$A$1:$I$89,5,0)</f>
        <v>113.23199999999997</v>
      </c>
      <c r="BF42" s="14">
        <f t="shared" si="37"/>
        <v>30.091180846612485</v>
      </c>
      <c r="BG42" s="22">
        <f t="shared" si="7"/>
        <v>249.62120664118333</v>
      </c>
      <c r="BH42" s="58">
        <f t="shared" si="8"/>
        <v>542.95453997451659</v>
      </c>
      <c r="BI42" s="58">
        <f ca="1">AVERAGE(OFFSET($BH$3,0,0,'Données projet'!$E$11+1,1))-AVERAGE(OFFSET($H$3,0,0,'Données projet'!$E$11+1,1))</f>
        <v>218.76424742311815</v>
      </c>
      <c r="BJ42" s="58">
        <f t="shared" si="38"/>
        <v>264.34598683038593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1.9601014590708128</v>
      </c>
      <c r="BQ42" s="23">
        <f>EXP(-LN(2)/25)*BQ41+(1-EXP(-LN(2)/25))/(LN(2)/25)*Calculateur!BL42*Calculateur!BN42*VLOOKUP('Données projet'!$B$11,Paramètres!$A$1:$I$89,3,0)*0.475*44/12</f>
        <v>3.4007253654584204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5.3608268245292336</v>
      </c>
      <c r="BT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5.5</v>
      </c>
      <c r="BY42" s="13">
        <f>IF('Données projet'!$A$114&gt;35,BY41+BX42-CG41,IF(A42&lt;'Données projet'!$A$114,$BV$205^A42,IF(A42='Données projet'!$A$114,'Données projet'!$B$114,BY41+BX42-CG41)))</f>
        <v>88</v>
      </c>
      <c r="BZ42" s="14">
        <f>BY42*VLOOKUP('Données projet'!$B$12,Paramètres!$A$1:$I$89,3,0)*VLOOKUP('Données projet'!$B$12,Paramètres!$A$1:$I$89,5,0)</f>
        <v>85.113600000000005</v>
      </c>
      <c r="CA42" s="14">
        <f t="shared" si="39"/>
        <v>23.382941650486877</v>
      </c>
      <c r="CB42" s="22">
        <f t="shared" si="10"/>
        <v>188.96481004126463</v>
      </c>
      <c r="CC42" s="58">
        <f t="shared" si="11"/>
        <v>482.29814337459794</v>
      </c>
      <c r="CD42" s="58">
        <f ca="1">AVERAGE(OFFSET($CC$3,0,0,'Données projet'!$E$12+1,1))-AVERAGE(OFFSET($H$3,0,0,'Données projet'!$E$12+1,1))</f>
        <v>343.86347628565426</v>
      </c>
      <c r="CE42" s="58">
        <f t="shared" si="40"/>
        <v>129.28196646107097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58" t="e">
        <f t="shared" si="14"/>
        <v>#N/A</v>
      </c>
      <c r="CY42" s="58" t="e">
        <f ca="1">AVERAGE(OFFSET($CX$3,0,0,'Données projet'!$E$13+1,1))-AVERAGE(OFFSET($H$3,0,0,'Données projet'!$E$13+1,1))</f>
        <v>#N/A</v>
      </c>
      <c r="CZ42" s="58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5.7692307692307709</v>
      </c>
      <c r="DO42" s="13">
        <f>IF('Données projet'!$A$166&gt;35,DO41+DN42-DW41,IF(A42&lt;'Données projet'!$A$166,$DL$205^A42,IF(A42='Données projet'!$A$166,'Données projet'!$B$166,DO41+DN42-DW41)))</f>
        <v>131.8065268065269</v>
      </c>
      <c r="DP42" s="18">
        <f>DO42*VLOOKUP('Données projet'!$B$14,Paramètres!$A$1:$I$89,3,0)*VLOOKUP('Données projet'!$B$14,Paramètres!$A$1:$I$89,5,0)</f>
        <v>125.42709090909099</v>
      </c>
      <c r="DQ42" s="14">
        <f t="shared" si="43"/>
        <v>32.937502184763346</v>
      </c>
      <c r="DR42" s="22">
        <f t="shared" si="16"/>
        <v>275.81833297179628</v>
      </c>
      <c r="DS42" s="58">
        <f t="shared" si="17"/>
        <v>569.15166630512954</v>
      </c>
      <c r="DT42" s="58">
        <f ca="1">AVERAGE(OFFSET($DS$3,0,0,'Données projet'!$E$14+1,1))-AVERAGE(OFFSET($H$3,0,0,'Données projet'!$E$14+1,1))</f>
        <v>332.49889399440514</v>
      </c>
      <c r="DU42" s="58">
        <f t="shared" si="44"/>
        <v>256.06044006790529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7.8205128205128176</v>
      </c>
      <c r="EJ42" s="13">
        <f>IF('Données projet'!$A$192&gt;35,EJ41+EI42-ER41,IF(A42&lt;'Données projet'!$A$192,$EG$205^A42,IF(A42='Données projet'!$A$192,'Données projet'!$B$192,EJ41+EI42-ER41)))</f>
        <v>199.87179487179492</v>
      </c>
      <c r="EK42" s="18">
        <f>EJ42*VLOOKUP('Données projet'!$B$15,Paramètres!$A$1:$I$89,3,0)*VLOOKUP('Données projet'!$B$15,Paramètres!$A$1:$I$89,5,0)</f>
        <v>208.90600000000006</v>
      </c>
      <c r="EL42" s="14">
        <f t="shared" si="45"/>
        <v>51.696446549149798</v>
      </c>
      <c r="EM42" s="22">
        <f t="shared" si="19"/>
        <v>453.882594406436</v>
      </c>
      <c r="EN42" s="58">
        <f t="shared" si="20"/>
        <v>747.21592773976931</v>
      </c>
      <c r="EO42" s="58">
        <f ca="1">AVERAGE(OFFSET($EN$3,0,0,'Données projet'!$E$15+1,1))-AVERAGE(OFFSET($H$3,0,0,'Données projet'!$E$15+1,1))</f>
        <v>596.00698505207174</v>
      </c>
      <c r="EP42" s="58">
        <f t="shared" si="46"/>
        <v>378.16197659288338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16.606153846153848</v>
      </c>
      <c r="FE42" s="13">
        <f>IF('Données projet'!$A$218&gt;35,FE41+FD42-FM41,IF(A42&lt;'Données projet'!$A$218,$FB$205^A42,IF(A42='Données projet'!$A$218,'Données projet'!$B$218,FE41+FD42-FM41)))</f>
        <v>358.67846153846159</v>
      </c>
      <c r="FF42" s="18">
        <f>FE42*VLOOKUP('Données projet'!$B$16,Paramètres!$A$1:$I$89,3,0)*VLOOKUP('Données projet'!$B$16,Paramètres!$A$1:$I$89,5,0)</f>
        <v>167.86152000000004</v>
      </c>
      <c r="FG42" s="14">
        <f t="shared" si="47"/>
        <v>42.610722905535013</v>
      </c>
      <c r="FH42" s="22">
        <f t="shared" si="22"/>
        <v>366.57248972714018</v>
      </c>
      <c r="FI42" s="58">
        <f t="shared" si="23"/>
        <v>659.90582306047349</v>
      </c>
      <c r="FJ42" s="58">
        <f ca="1">AVERAGE(OFFSET($FI$3,0,0,'Données projet'!$E$16+1,1))-AVERAGE(OFFSET($H$3,0,0,'Données projet'!$E$16+1,1))</f>
        <v>294.31042006404056</v>
      </c>
      <c r="FK42" s="58">
        <f t="shared" si="48"/>
        <v>260.93767498478502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7.9487179487179507</v>
      </c>
      <c r="FZ42" s="13">
        <f>IF('Données projet'!$A$244&gt;35,FZ41+FY42-GH41,IF(A42&lt;'Données projet'!$A$244,$FW$205^A42,IF(A42='Données projet'!$A$244,'Données projet'!$B$244,FZ41+FY42-GH41)))</f>
        <v>220.25641025641033</v>
      </c>
      <c r="GA42" s="18">
        <f>FZ42*VLOOKUP('Données projet'!$B$17,Paramètres!$A$1:$I$89,3,0)*VLOOKUP('Données projet'!$B$17,Paramètres!$A$1:$I$89,5,0)</f>
        <v>147.74800000000008</v>
      </c>
      <c r="GB42" s="14">
        <f t="shared" si="49"/>
        <v>38.066360844681896</v>
      </c>
      <c r="GC42" s="22">
        <f t="shared" si="25"/>
        <v>323.62667847115443</v>
      </c>
      <c r="GD42" s="58">
        <f t="shared" si="26"/>
        <v>616.96001180448775</v>
      </c>
      <c r="GE42" s="58">
        <f ca="1">AVERAGE(OFFSET($GD$3,0,0,'Données projet'!$E$17+1,1))-AVERAGE(OFFSET($H$3,0,0,'Données projet'!$E$17+1,1))</f>
        <v>362.1372269575329</v>
      </c>
      <c r="GF42" s="58">
        <f t="shared" si="50"/>
        <v>308.1559670593121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58" t="e">
        <f t="shared" si="29"/>
        <v>#N/A</v>
      </c>
      <c r="GZ42" s="58" t="e">
        <f ca="1">AVERAGE(OFFSET($GY$3,0,0,'Données projet'!$E$18+1,1))-AVERAGE(OFFSET($H$3,0,0,'Données projet'!$E$18+1,1))</f>
        <v>#N/A</v>
      </c>
      <c r="HA42" s="58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0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3">
        <f t="shared" si="1"/>
        <v>256.66666666666669</v>
      </c>
      <c r="I43" s="6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138.91800000000003</v>
      </c>
      <c r="P43" s="14">
        <f t="shared" si="33"/>
        <v>36.049022673886341</v>
      </c>
      <c r="Q43" s="22">
        <f t="shared" si="53"/>
        <v>304.73423115701877</v>
      </c>
      <c r="R43" s="58">
        <f t="shared" si="0"/>
        <v>598.06756449035208</v>
      </c>
      <c r="S43" s="58">
        <f ca="1">AVERAGE(OFFSET($R$3,0,0,'Données projet'!$E$9+1,1))-AVERAGE(OFFSET($H$3,0,0,'Données projet'!$E$9+1,1))</f>
        <v>483.15009705023641</v>
      </c>
      <c r="T43" s="58">
        <f t="shared" si="34"/>
        <v>254.25036207346591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58">
        <f t="shared" si="5"/>
        <v>565.99803230996918</v>
      </c>
      <c r="AN43" s="58">
        <f ca="1">AVERAGE(OFFSET($AM$3,0,0,'Données projet'!$E$10+1,1))-AVERAGE(OFFSET($H$3,0,0,'Données projet'!$E$10+1,1))</f>
        <v>435.7095890216213</v>
      </c>
      <c r="AO43" s="58">
        <f t="shared" si="36"/>
        <v>231.36959598460686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136.53846153846155</v>
      </c>
      <c r="BB43" s="13">
        <f>VLOOKUP(A43,'Données projet'!$A$87:$I$107,9,0)</f>
        <v>6.9230769230769251</v>
      </c>
      <c r="BC43" s="13">
        <f t="array" ref="BC43">INDEX(BB:BB,MIN(IF(ISNUMBER(BB43:BB239),ROW(BB43:BB239),"")))</f>
        <v>6.9230769230769251</v>
      </c>
      <c r="BD43" s="13">
        <f>IF('Données projet'!$A$88&gt;35,BD42+BC43-BL42,IF(A43&lt;'Données projet'!$A$88,$BA$205^A43,IF(A43='Données projet'!$A$88,'Données projet'!$B$88,BD42+BC43-BL42)))</f>
        <v>136.53846153846149</v>
      </c>
      <c r="BE43" s="14">
        <f>BD43*VLOOKUP('Données projet'!$B$11,Paramètres!$A$1:$I$89,3,0)*VLOOKUP('Données projet'!$B$11,Paramètres!$A$1:$I$89,5,0)</f>
        <v>119.27999999999997</v>
      </c>
      <c r="BF43" s="14">
        <f t="shared" si="37"/>
        <v>31.50701234599638</v>
      </c>
      <c r="BG43" s="22">
        <f t="shared" si="7"/>
        <v>262.62071316927694</v>
      </c>
      <c r="BH43" s="58">
        <f t="shared" si="8"/>
        <v>555.95404650261025</v>
      </c>
      <c r="BI43" s="58">
        <f ca="1">AVERAGE(OFFSET($BH$3,0,0,'Données projet'!$E$11+1,1))-AVERAGE(OFFSET($H$3,0,0,'Données projet'!$E$11+1,1))</f>
        <v>218.76424742311815</v>
      </c>
      <c r="BJ43" s="58">
        <f t="shared" si="38"/>
        <v>264.34598683038593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25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1.921665065002274</v>
      </c>
      <c r="BQ43" s="23">
        <f>EXP(-LN(2)/25)*BQ42+(1-EXP(-LN(2)/25))/(LN(2)/25)*Calculateur!BL43*Calculateur!BN43*VLOOKUP('Données projet'!$B$11,Paramètres!$A$1:$I$89,3,0)*0.475*44/12</f>
        <v>3.3077323515035855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5.2293974165058597</v>
      </c>
      <c r="BT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5.5</v>
      </c>
      <c r="BY43" s="13">
        <f>IF('Données projet'!$A$114&gt;35,BY42+BX43-CG42,IF(A43&lt;'Données projet'!$A$114,$BV$205^A43,IF(A43='Données projet'!$A$114,'Données projet'!$B$114,BY42+BX43-CG42)))</f>
        <v>93.5</v>
      </c>
      <c r="BZ43" s="14">
        <f>BY43*VLOOKUP('Données projet'!$B$12,Paramètres!$A$1:$I$89,3,0)*VLOOKUP('Données projet'!$B$12,Paramètres!$A$1:$I$89,5,0)</f>
        <v>90.433199999999999</v>
      </c>
      <c r="CA43" s="14">
        <f t="shared" si="39"/>
        <v>24.669673186883919</v>
      </c>
      <c r="CB43" s="22">
        <f t="shared" si="10"/>
        <v>200.47083746715614</v>
      </c>
      <c r="CC43" s="58">
        <f t="shared" si="11"/>
        <v>493.80417080048949</v>
      </c>
      <c r="CD43" s="58">
        <f ca="1">AVERAGE(OFFSET($CC$3,0,0,'Données projet'!$E$12+1,1))-AVERAGE(OFFSET($H$3,0,0,'Données projet'!$E$12+1,1))</f>
        <v>343.86347628565426</v>
      </c>
      <c r="CE43" s="58">
        <f t="shared" si="40"/>
        <v>129.28196646107097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58" t="e">
        <f t="shared" si="14"/>
        <v>#N/A</v>
      </c>
      <c r="CY43" s="58" t="e">
        <f ca="1">AVERAGE(OFFSET($CX$3,0,0,'Données projet'!$E$13+1,1))-AVERAGE(OFFSET($H$3,0,0,'Données projet'!$E$13+1,1))</f>
        <v>#N/A</v>
      </c>
      <c r="CZ43" s="58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137.57575757575759</v>
      </c>
      <c r="DM43" s="13">
        <f>VLOOKUP(A43,'Données projet'!$A$165:$I$185,9,0)</f>
        <v>5.7692307692307709</v>
      </c>
      <c r="DN43" s="13">
        <f t="array" ref="DN43">INDEX(DM:DM,MIN(IF(ISNUMBER(DM43:DM239),ROW(DM43:DM239),"")))</f>
        <v>5.7692307692307709</v>
      </c>
      <c r="DO43" s="13">
        <f>IF('Données projet'!$A$166&gt;35,DO42+DN43-DW42,IF(A43&lt;'Données projet'!$A$166,$DL$205^A43,IF(A43='Données projet'!$A$166,'Données projet'!$B$166,DO42+DN43-DW42)))</f>
        <v>137.57575757575768</v>
      </c>
      <c r="DP43" s="18">
        <f>DO43*VLOOKUP('Données projet'!$B$14,Paramètres!$A$1:$I$89,3,0)*VLOOKUP('Données projet'!$B$14,Paramètres!$A$1:$I$89,5,0)</f>
        <v>130.917090909091</v>
      </c>
      <c r="DQ43" s="14">
        <f t="shared" si="43"/>
        <v>34.208185336556554</v>
      </c>
      <c r="DR43" s="22">
        <f t="shared" si="16"/>
        <v>287.59318946116952</v>
      </c>
      <c r="DS43" s="58">
        <f t="shared" si="17"/>
        <v>580.92652279450283</v>
      </c>
      <c r="DT43" s="58">
        <f ca="1">AVERAGE(OFFSET($DS$3,0,0,'Données projet'!$E$14+1,1))-AVERAGE(OFFSET($H$3,0,0,'Données projet'!$E$14+1,1))</f>
        <v>332.49889399440514</v>
      </c>
      <c r="DU43" s="58">
        <f t="shared" si="44"/>
        <v>256.06044006790529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26.060606060606062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207.69230769230768</v>
      </c>
      <c r="EH43" s="13">
        <f>VLOOKUP(A43,'Données projet'!$A$191:$I$211,9,0)</f>
        <v>7.8205128205128176</v>
      </c>
      <c r="EI43" s="13">
        <f t="array" ref="EI43">INDEX(EH:EH,MIN(IF(ISNUMBER(EH43:EH239),ROW(EH43:EH239),"")))</f>
        <v>7.8205128205128176</v>
      </c>
      <c r="EJ43" s="13">
        <f>IF('Données projet'!$A$192&gt;35,EJ42+EI43-ER42,IF(A43&lt;'Données projet'!$A$192,$EG$205^A43,IF(A43='Données projet'!$A$192,'Données projet'!$B$192,EJ42+EI43-ER42)))</f>
        <v>207.69230769230774</v>
      </c>
      <c r="EK43" s="18">
        <f>EJ43*VLOOKUP('Données projet'!$B$15,Paramètres!$A$1:$I$89,3,0)*VLOOKUP('Données projet'!$B$15,Paramètres!$A$1:$I$89,5,0)</f>
        <v>217.08000000000007</v>
      </c>
      <c r="EL43" s="14">
        <f t="shared" si="45"/>
        <v>53.479745461216247</v>
      </c>
      <c r="EM43" s="22">
        <f t="shared" si="19"/>
        <v>471.22489001161836</v>
      </c>
      <c r="EN43" s="58">
        <f t="shared" si="20"/>
        <v>764.55822334495167</v>
      </c>
      <c r="EO43" s="58">
        <f ca="1">AVERAGE(OFFSET($EN$3,0,0,'Données projet'!$E$15+1,1))-AVERAGE(OFFSET($H$3,0,0,'Données projet'!$E$15+1,1))</f>
        <v>596.00698505207174</v>
      </c>
      <c r="EP43" s="58">
        <f t="shared" si="46"/>
        <v>378.16197659288338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27.564102564102562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375.28461538461539</v>
      </c>
      <c r="FC43" s="13">
        <f>VLOOKUP(A43,'Données projet'!$A$217:$I$237,9,0)</f>
        <v>16.606153846153848</v>
      </c>
      <c r="FD43" s="13">
        <f t="array" ref="FD43">INDEX(FC:FC,MIN(IF(ISNUMBER(FC43:FC239),ROW(FC43:FC239),"")))</f>
        <v>16.606153846153848</v>
      </c>
      <c r="FE43" s="13">
        <f>IF('Données projet'!$A$218&gt;35,FE42+FD43-FM42,IF(A43&lt;'Données projet'!$A$218,$FB$205^A43,IF(A43='Données projet'!$A$218,'Données projet'!$B$218,FE42+FD43-FM42)))</f>
        <v>375.28461538461545</v>
      </c>
      <c r="FF43" s="18">
        <f>FE43*VLOOKUP('Données projet'!$B$16,Paramètres!$A$1:$I$89,3,0)*VLOOKUP('Données projet'!$B$16,Paramètres!$A$1:$I$89,5,0)</f>
        <v>175.63320000000004</v>
      </c>
      <c r="FG43" s="14">
        <f t="shared" si="47"/>
        <v>44.349269336796517</v>
      </c>
      <c r="FH43" s="22">
        <f t="shared" si="22"/>
        <v>383.13613409492064</v>
      </c>
      <c r="FI43" s="58">
        <f t="shared" si="23"/>
        <v>676.46946742825389</v>
      </c>
      <c r="FJ43" s="58">
        <f ca="1">AVERAGE(OFFSET($FI$3,0,0,'Données projet'!$E$16+1,1))-AVERAGE(OFFSET($H$3,0,0,'Données projet'!$E$16+1,1))</f>
        <v>294.31042006404056</v>
      </c>
      <c r="FK43" s="58">
        <f t="shared" si="48"/>
        <v>260.93767498478502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228.2051282051282</v>
      </c>
      <c r="FX43" s="13">
        <f>VLOOKUP(A43,'Données projet'!$A$243:$I$263,9,0)</f>
        <v>7.9487179487179507</v>
      </c>
      <c r="FY43" s="13">
        <f t="array" ref="FY43">INDEX(FX:FX,MIN(IF(ISNUMBER(FX43:FX239),ROW(FX43:FX239),"")))</f>
        <v>7.9487179487179507</v>
      </c>
      <c r="FZ43" s="13">
        <f>IF('Données projet'!$A$244&gt;35,FZ42+FY43-GH42,IF(A43&lt;'Données projet'!$A$244,$FW$205^A43,IF(A43='Données projet'!$A$244,'Données projet'!$B$244,FZ42+FY43-GH42)))</f>
        <v>228.20512820512829</v>
      </c>
      <c r="GA43" s="18">
        <f>FZ43*VLOOKUP('Données projet'!$B$17,Paramètres!$A$1:$I$89,3,0)*VLOOKUP('Données projet'!$B$17,Paramètres!$A$1:$I$89,5,0)</f>
        <v>153.08000000000007</v>
      </c>
      <c r="GB43" s="14">
        <f t="shared" si="49"/>
        <v>39.277696538385037</v>
      </c>
      <c r="GC43" s="22">
        <f t="shared" si="25"/>
        <v>335.02298813768738</v>
      </c>
      <c r="GD43" s="58">
        <f t="shared" si="26"/>
        <v>628.35632147102069</v>
      </c>
      <c r="GE43" s="58">
        <f ca="1">AVERAGE(OFFSET($GD$3,0,0,'Données projet'!$E$17+1,1))-AVERAGE(OFFSET($H$3,0,0,'Données projet'!$E$17+1,1))</f>
        <v>362.1372269575329</v>
      </c>
      <c r="GF43" s="58">
        <f t="shared" si="50"/>
        <v>308.1559670593121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39.743589743589745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58" t="e">
        <f t="shared" si="29"/>
        <v>#N/A</v>
      </c>
      <c r="GZ43" s="58" t="e">
        <f ca="1">AVERAGE(OFFSET($GY$3,0,0,'Données projet'!$E$18+1,1))-AVERAGE(OFFSET($H$3,0,0,'Données projet'!$E$18+1,1))</f>
        <v>#N/A</v>
      </c>
      <c r="HA43" s="58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0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3">
        <f t="shared" si="1"/>
        <v>256.66666666666669</v>
      </c>
      <c r="I44" s="6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58">
        <f t="shared" si="0"/>
        <v>616.29203405169392</v>
      </c>
      <c r="S44" s="58">
        <f ca="1">AVERAGE(OFFSET($R$3,0,0,'Données projet'!$E$9+1,1))-AVERAGE(OFFSET($H$3,0,0,'Données projet'!$E$9+1,1))</f>
        <v>483.15009705023641</v>
      </c>
      <c r="T44" s="58">
        <f t="shared" si="34"/>
        <v>254.25036207346591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145.40000000000003</v>
      </c>
      <c r="AJ44" s="14">
        <f>AI44*VLOOKUP('Données projet'!$B$10,Paramètres!$A$1:$I$89,3,0)*VLOOKUP('Données projet'!$B$10,Paramètres!$A$1:$I$89,5,0)</f>
        <v>131.55792000000002</v>
      </c>
      <c r="AK44" s="14">
        <f t="shared" si="35"/>
        <v>34.3560989338864</v>
      </c>
      <c r="AL44" s="22">
        <f t="shared" si="4"/>
        <v>288.96691630985219</v>
      </c>
      <c r="AM44" s="58">
        <f t="shared" si="5"/>
        <v>582.30024964318545</v>
      </c>
      <c r="AN44" s="58">
        <f ca="1">AVERAGE(OFFSET($AM$3,0,0,'Données projet'!$E$10+1,1))-AVERAGE(OFFSET($H$3,0,0,'Données projet'!$E$10+1,1))</f>
        <v>435.7095890216213</v>
      </c>
      <c r="AO44" s="58">
        <f t="shared" si="36"/>
        <v>231.36959598460686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6.2820512820512819</v>
      </c>
      <c r="BD44" s="13">
        <f>IF('Données projet'!$A$88&gt;35,BD43+BC44-BL43,IF(A44&lt;'Données projet'!$A$88,$BA$205^A44,IF(A44='Données projet'!$A$88,'Données projet'!$B$88,BD43+BC44-BL43)))</f>
        <v>117.82051282051276</v>
      </c>
      <c r="BE44" s="14">
        <f>BD44*VLOOKUP('Données projet'!$B$11,Paramètres!$A$1:$I$89,3,0)*VLOOKUP('Données projet'!$B$11,Paramètres!$A$1:$I$89,5,0)</f>
        <v>102.92799999999995</v>
      </c>
      <c r="BF44" s="14">
        <f t="shared" si="37"/>
        <v>27.658377225574537</v>
      </c>
      <c r="BG44" s="22">
        <f t="shared" si="7"/>
        <v>227.43794033454222</v>
      </c>
      <c r="BH44" s="58">
        <f t="shared" si="8"/>
        <v>520.77127366787556</v>
      </c>
      <c r="BI44" s="58">
        <f ca="1">AVERAGE(OFFSET($BH$3,0,0,'Données projet'!$E$11+1,1))-AVERAGE(OFFSET($H$3,0,0,'Données projet'!$E$11+1,1))</f>
        <v>218.76424742311815</v>
      </c>
      <c r="BJ44" s="58">
        <f t="shared" si="38"/>
        <v>264.34598683038593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1.8839823851775337</v>
      </c>
      <c r="BQ44" s="23">
        <f>EXP(-LN(2)/25)*BQ43+(1-EXP(-LN(2)/25))/(LN(2)/25)*Calculateur!BL44*Calculateur!BN44*VLOOKUP('Données projet'!$B$11,Paramètres!$A$1:$I$89,3,0)*0.475*44/12</f>
        <v>3.2172822364056355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5.1012646215831694</v>
      </c>
      <c r="BT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5.5</v>
      </c>
      <c r="BY44" s="13">
        <f>IF('Données projet'!$A$114&gt;35,BY43+BX44-CG43,IF(A44&lt;'Données projet'!$A$114,$BV$205^A44,IF(A44='Données projet'!$A$114,'Données projet'!$B$114,BY43+BX44-CG43)))</f>
        <v>99</v>
      </c>
      <c r="BZ44" s="14">
        <f>BY44*VLOOKUP('Données projet'!$B$12,Paramètres!$A$1:$I$89,3,0)*VLOOKUP('Données projet'!$B$12,Paramètres!$A$1:$I$89,5,0)</f>
        <v>95.752800000000008</v>
      </c>
      <c r="CA44" s="14">
        <f t="shared" si="39"/>
        <v>25.94761914276048</v>
      </c>
      <c r="CB44" s="22">
        <f t="shared" si="10"/>
        <v>211.96156334030786</v>
      </c>
      <c r="CC44" s="58">
        <f t="shared" si="11"/>
        <v>505.29489667364118</v>
      </c>
      <c r="CD44" s="58">
        <f ca="1">AVERAGE(OFFSET($CC$3,0,0,'Données projet'!$E$12+1,1))-AVERAGE(OFFSET($H$3,0,0,'Données projet'!$E$12+1,1))</f>
        <v>343.86347628565426</v>
      </c>
      <c r="CE44" s="58">
        <f t="shared" si="40"/>
        <v>129.28196646107097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58" t="e">
        <f t="shared" si="14"/>
        <v>#N/A</v>
      </c>
      <c r="CY44" s="58" t="e">
        <f ca="1">AVERAGE(OFFSET($CX$3,0,0,'Données projet'!$E$13+1,1))-AVERAGE(OFFSET($H$3,0,0,'Données projet'!$E$13+1,1))</f>
        <v>#N/A</v>
      </c>
      <c r="CZ44" s="58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5.1515151515151505</v>
      </c>
      <c r="DO44" s="13">
        <f>IF('Données projet'!$A$166&gt;35,DO43+DN44-DW43,IF(A44&lt;'Données projet'!$A$166,$DL$205^A44,IF(A44='Données projet'!$A$166,'Données projet'!$B$166,DO43+DN44-DW43)))</f>
        <v>116.66666666666677</v>
      </c>
      <c r="DP44" s="18">
        <f>DO44*VLOOKUP('Données projet'!$B$14,Paramètres!$A$1:$I$89,3,0)*VLOOKUP('Données projet'!$B$14,Paramètres!$A$1:$I$89,5,0)</f>
        <v>111.0200000000001</v>
      </c>
      <c r="DQ44" s="14">
        <f t="shared" si="43"/>
        <v>29.571175279490586</v>
      </c>
      <c r="DR44" s="22">
        <f t="shared" si="16"/>
        <v>244.86296361177958</v>
      </c>
      <c r="DS44" s="58">
        <f t="shared" si="17"/>
        <v>538.19629694511286</v>
      </c>
      <c r="DT44" s="58">
        <f ca="1">AVERAGE(OFFSET($DS$3,0,0,'Données projet'!$E$14+1,1))-AVERAGE(OFFSET($H$3,0,0,'Données projet'!$E$14+1,1))</f>
        <v>332.49889399440514</v>
      </c>
      <c r="DU44" s="58">
        <f t="shared" si="44"/>
        <v>256.06044006790529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7.5641025641025639</v>
      </c>
      <c r="EJ44" s="13">
        <f>IF('Données projet'!$A$192&gt;35,EJ43+EI44-ER43,IF(A44&lt;'Données projet'!$A$192,$EG$205^A44,IF(A44='Données projet'!$A$192,'Données projet'!$B$192,EJ43+EI44-ER43)))</f>
        <v>187.69230769230774</v>
      </c>
      <c r="EK44" s="18">
        <f>EJ44*VLOOKUP('Données projet'!$B$15,Paramètres!$A$1:$I$89,3,0)*VLOOKUP('Données projet'!$B$15,Paramètres!$A$1:$I$89,5,0)</f>
        <v>196.17600000000007</v>
      </c>
      <c r="EL44" s="14">
        <f t="shared" si="45"/>
        <v>48.902826361146509</v>
      </c>
      <c r="EM44" s="22">
        <f t="shared" si="19"/>
        <v>426.84562257899694</v>
      </c>
      <c r="EN44" s="58">
        <f t="shared" si="20"/>
        <v>720.17895591233025</v>
      </c>
      <c r="EO44" s="58">
        <f ca="1">AVERAGE(OFFSET($EN$3,0,0,'Données projet'!$E$15+1,1))-AVERAGE(OFFSET($H$3,0,0,'Données projet'!$E$15+1,1))</f>
        <v>596.00698505207174</v>
      </c>
      <c r="EP44" s="58">
        <f t="shared" si="46"/>
        <v>378.16197659288338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17.542307692307702</v>
      </c>
      <c r="FE44" s="13">
        <f>IF('Données projet'!$A$218&gt;35,FE43+FD44-FM43,IF(A44&lt;'Données projet'!$A$218,$FB$205^A44,IF(A44='Données projet'!$A$218,'Données projet'!$B$218,FE43+FD44-FM43)))</f>
        <v>392.82692307692315</v>
      </c>
      <c r="FF44" s="18">
        <f>FE44*VLOOKUP('Données projet'!$B$16,Paramètres!$A$1:$I$89,3,0)*VLOOKUP('Données projet'!$B$16,Paramètres!$A$1:$I$89,5,0)</f>
        <v>183.84300000000005</v>
      </c>
      <c r="FG44" s="14">
        <f t="shared" si="47"/>
        <v>46.176128816909667</v>
      </c>
      <c r="FH44" s="22">
        <f t="shared" si="22"/>
        <v>400.6166493561177</v>
      </c>
      <c r="FI44" s="58">
        <f t="shared" si="23"/>
        <v>693.94998268945096</v>
      </c>
      <c r="FJ44" s="58">
        <f ca="1">AVERAGE(OFFSET($FI$3,0,0,'Données projet'!$E$16+1,1))-AVERAGE(OFFSET($H$3,0,0,'Données projet'!$E$16+1,1))</f>
        <v>294.31042006404056</v>
      </c>
      <c r="FK44" s="58">
        <f t="shared" si="48"/>
        <v>260.93767498478502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7.5641025641025639</v>
      </c>
      <c r="FZ44" s="13">
        <f>IF('Données projet'!$A$244&gt;35,FZ43+FY44-GH43,IF(A44&lt;'Données projet'!$A$244,$FW$205^A44,IF(A44='Données projet'!$A$244,'Données projet'!$B$244,FZ43+FY44-GH43)))</f>
        <v>196.02564102564111</v>
      </c>
      <c r="GA44" s="18">
        <f>FZ44*VLOOKUP('Données projet'!$B$17,Paramètres!$A$1:$I$89,3,0)*VLOOKUP('Données projet'!$B$17,Paramètres!$A$1:$I$89,5,0)</f>
        <v>131.49400000000006</v>
      </c>
      <c r="GB44" s="14">
        <f t="shared" si="49"/>
        <v>34.341348948072792</v>
      </c>
      <c r="GC44" s="22">
        <f t="shared" si="25"/>
        <v>288.82989941789356</v>
      </c>
      <c r="GD44" s="58">
        <f t="shared" si="26"/>
        <v>582.16323275122681</v>
      </c>
      <c r="GE44" s="58">
        <f ca="1">AVERAGE(OFFSET($GD$3,0,0,'Données projet'!$E$17+1,1))-AVERAGE(OFFSET($H$3,0,0,'Données projet'!$E$17+1,1))</f>
        <v>362.1372269575329</v>
      </c>
      <c r="GF44" s="58">
        <f t="shared" si="50"/>
        <v>308.1559670593121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58" t="e">
        <f t="shared" si="29"/>
        <v>#N/A</v>
      </c>
      <c r="GZ44" s="58" t="e">
        <f ca="1">AVERAGE(OFFSET($GY$3,0,0,'Données projet'!$E$18+1,1))-AVERAGE(OFFSET($H$3,0,0,'Données projet'!$E$18+1,1))</f>
        <v>#N/A</v>
      </c>
      <c r="HA44" s="58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0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3">
        <f t="shared" si="1"/>
        <v>256.66666666666669</v>
      </c>
      <c r="I45" s="6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58">
        <f t="shared" si="0"/>
        <v>634.4937726251826</v>
      </c>
      <c r="S45" s="58">
        <f ca="1">AVERAGE(OFFSET($R$3,0,0,'Données projet'!$E$9+1,1))-AVERAGE(OFFSET($H$3,0,0,'Données projet'!$E$9+1,1))</f>
        <v>483.15009705023641</v>
      </c>
      <c r="T45" s="58">
        <f t="shared" si="34"/>
        <v>254.25036207346591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153.80000000000004</v>
      </c>
      <c r="AJ45" s="14">
        <f>AI45*VLOOKUP('Données projet'!$B$10,Paramètres!$A$1:$I$89,3,0)*VLOOKUP('Données projet'!$B$10,Paramètres!$A$1:$I$89,5,0)</f>
        <v>139.15824000000003</v>
      </c>
      <c r="AK45" s="14">
        <f t="shared" si="35"/>
        <v>36.104102468715482</v>
      </c>
      <c r="AL45" s="22">
        <f t="shared" si="4"/>
        <v>305.24857979967953</v>
      </c>
      <c r="AM45" s="58">
        <f t="shared" si="5"/>
        <v>598.5819131330129</v>
      </c>
      <c r="AN45" s="58">
        <f ca="1">AVERAGE(OFFSET($AM$3,0,0,'Données projet'!$E$10+1,1))-AVERAGE(OFFSET($H$3,0,0,'Données projet'!$E$10+1,1))</f>
        <v>435.7095890216213</v>
      </c>
      <c r="AO45" s="58">
        <f t="shared" si="36"/>
        <v>231.36959598460686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6.2820512820512819</v>
      </c>
      <c r="BD45" s="13">
        <f>IF('Données projet'!$A$88&gt;35,BD44+BC45-BL44,IF(A45&lt;'Données projet'!$A$88,$BA$205^A45,IF(A45='Données projet'!$A$88,'Données projet'!$B$88,BD44+BC45-BL44)))</f>
        <v>124.10256410256405</v>
      </c>
      <c r="BE45" s="14">
        <f>BD45*VLOOKUP('Données projet'!$B$11,Paramètres!$A$1:$I$89,3,0)*VLOOKUP('Données projet'!$B$11,Paramètres!$A$1:$I$89,5,0)</f>
        <v>108.41599999999997</v>
      </c>
      <c r="BF45" s="14">
        <f t="shared" si="37"/>
        <v>28.957467355097801</v>
      </c>
      <c r="BG45" s="22">
        <f t="shared" si="7"/>
        <v>239.25878897679527</v>
      </c>
      <c r="BH45" s="58">
        <f t="shared" si="8"/>
        <v>532.59212231012862</v>
      </c>
      <c r="BI45" s="58">
        <f ca="1">AVERAGE(OFFSET($BH$3,0,0,'Données projet'!$E$11+1,1))-AVERAGE(OFFSET($H$3,0,0,'Données projet'!$E$11+1,1))</f>
        <v>218.76424742311815</v>
      </c>
      <c r="BJ45" s="58">
        <f t="shared" si="38"/>
        <v>264.34598683038593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1.8470386397199914</v>
      </c>
      <c r="BQ45" s="23">
        <f>EXP(-LN(2)/25)*BQ44+(1-EXP(-LN(2)/25))/(LN(2)/25)*Calculateur!BL45*Calculateur!BN45*VLOOKUP('Données projet'!$B$11,Paramètres!$A$1:$I$89,3,0)*0.475*44/12</f>
        <v>3.1293054844616037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4.9763441241815949</v>
      </c>
      <c r="BT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5.5</v>
      </c>
      <c r="BY45" s="13">
        <f>IF('Données projet'!$A$114&gt;35,BY44+BX45-CG44,IF(A45&lt;'Données projet'!$A$114,$BV$205^A45,IF(A45='Données projet'!$A$114,'Données projet'!$B$114,BY44+BX45-CG44)))</f>
        <v>104.5</v>
      </c>
      <c r="BZ45" s="14">
        <f>BY45*VLOOKUP('Données projet'!$B$12,Paramètres!$A$1:$I$89,3,0)*VLOOKUP('Données projet'!$B$12,Paramètres!$A$1:$I$89,5,0)</f>
        <v>101.07240000000002</v>
      </c>
      <c r="CA45" s="14">
        <f t="shared" si="39"/>
        <v>27.217323235799537</v>
      </c>
      <c r="CB45" s="22">
        <f t="shared" si="10"/>
        <v>223.43793463568423</v>
      </c>
      <c r="CC45" s="58">
        <f t="shared" si="11"/>
        <v>516.77126796901757</v>
      </c>
      <c r="CD45" s="58">
        <f ca="1">AVERAGE(OFFSET($CC$3,0,0,'Données projet'!$E$12+1,1))-AVERAGE(OFFSET($H$3,0,0,'Données projet'!$E$12+1,1))</f>
        <v>343.86347628565426</v>
      </c>
      <c r="CE45" s="58">
        <f t="shared" si="40"/>
        <v>129.28196646107097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58" t="e">
        <f t="shared" si="14"/>
        <v>#N/A</v>
      </c>
      <c r="CY45" s="58" t="e">
        <f ca="1">AVERAGE(OFFSET($CX$3,0,0,'Données projet'!$E$13+1,1))-AVERAGE(OFFSET($H$3,0,0,'Données projet'!$E$13+1,1))</f>
        <v>#N/A</v>
      </c>
      <c r="CZ45" s="58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5.1515151515151505</v>
      </c>
      <c r="DO45" s="13">
        <f>IF('Données projet'!$A$166&gt;35,DO44+DN45-DW44,IF(A45&lt;'Données projet'!$A$166,$DL$205^A45,IF(A45='Données projet'!$A$166,'Données projet'!$B$166,DO44+DN45-DW44)))</f>
        <v>121.81818181818193</v>
      </c>
      <c r="DP45" s="18">
        <f>DO45*VLOOKUP('Données projet'!$B$14,Paramètres!$A$1:$I$89,3,0)*VLOOKUP('Données projet'!$B$14,Paramètres!$A$1:$I$89,5,0)</f>
        <v>115.92218181818191</v>
      </c>
      <c r="DQ45" s="14">
        <f t="shared" si="43"/>
        <v>30.722009946115307</v>
      </c>
      <c r="DR45" s="22">
        <f t="shared" si="16"/>
        <v>255.4053006561509</v>
      </c>
      <c r="DS45" s="58">
        <f t="shared" si="17"/>
        <v>548.73863398948424</v>
      </c>
      <c r="DT45" s="58">
        <f ca="1">AVERAGE(OFFSET($DS$3,0,0,'Données projet'!$E$14+1,1))-AVERAGE(OFFSET($H$3,0,0,'Données projet'!$E$14+1,1))</f>
        <v>332.49889399440514</v>
      </c>
      <c r="DU45" s="58">
        <f t="shared" si="44"/>
        <v>256.06044006790529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7.5641025641025639</v>
      </c>
      <c r="EJ45" s="13">
        <f>IF('Données projet'!$A$192&gt;35,EJ44+EI45-ER44,IF(A45&lt;'Données projet'!$A$192,$EG$205^A45,IF(A45='Données projet'!$A$192,'Données projet'!$B$192,EJ44+EI45-ER44)))</f>
        <v>195.25641025641031</v>
      </c>
      <c r="EK45" s="18">
        <f>EJ45*VLOOKUP('Données projet'!$B$15,Paramètres!$A$1:$I$89,3,0)*VLOOKUP('Données projet'!$B$15,Paramètres!$A$1:$I$89,5,0)</f>
        <v>204.08200000000005</v>
      </c>
      <c r="EL45" s="14">
        <f t="shared" si="45"/>
        <v>50.640210151891317</v>
      </c>
      <c r="EM45" s="22">
        <f t="shared" si="19"/>
        <v>443.64118268121075</v>
      </c>
      <c r="EN45" s="58">
        <f t="shared" si="20"/>
        <v>736.97451601454407</v>
      </c>
      <c r="EO45" s="58">
        <f ca="1">AVERAGE(OFFSET($EN$3,0,0,'Données projet'!$E$15+1,1))-AVERAGE(OFFSET($H$3,0,0,'Données projet'!$E$15+1,1))</f>
        <v>596.00698505207174</v>
      </c>
      <c r="EP45" s="58">
        <f t="shared" si="46"/>
        <v>378.16197659288338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>
        <f>VLOOKUP(A45,'Données projet'!$A$217:$I$237,2,0)</f>
        <v>410.3692307692308</v>
      </c>
      <c r="FC45" s="13">
        <f>VLOOKUP(A45,'Données projet'!$A$217:$I$237,9,0)</f>
        <v>17.542307692307702</v>
      </c>
      <c r="FD45" s="13">
        <f t="array" ref="FD45">INDEX(FC:FC,MIN(IF(ISNUMBER(FC45:FC241),ROW(FC45:FC241),"")))</f>
        <v>17.542307692307702</v>
      </c>
      <c r="FE45" s="13">
        <f>IF('Données projet'!$A$218&gt;35,FE44+FD45-FM44,IF(A45&lt;'Données projet'!$A$218,$FB$205^A45,IF(A45='Données projet'!$A$218,'Données projet'!$B$218,FE44+FD45-FM44)))</f>
        <v>410.36923076923085</v>
      </c>
      <c r="FF45" s="18">
        <f>FE45*VLOOKUP('Données projet'!$B$16,Paramètres!$A$1:$I$89,3,0)*VLOOKUP('Données projet'!$B$16,Paramètres!$A$1:$I$89,5,0)</f>
        <v>192.05280000000005</v>
      </c>
      <c r="FG45" s="14">
        <f t="shared" si="47"/>
        <v>47.993513546032311</v>
      </c>
      <c r="FH45" s="22">
        <f t="shared" si="22"/>
        <v>418.0806627593397</v>
      </c>
      <c r="FI45" s="58">
        <f t="shared" si="23"/>
        <v>711.41399609267296</v>
      </c>
      <c r="FJ45" s="58">
        <f ca="1">AVERAGE(OFFSET($FI$3,0,0,'Données projet'!$E$16+1,1))-AVERAGE(OFFSET($H$3,0,0,'Données projet'!$E$16+1,1))</f>
        <v>294.31042006404056</v>
      </c>
      <c r="FK45" s="58">
        <f t="shared" si="48"/>
        <v>260.93767498478502</v>
      </c>
      <c r="FL45" s="16">
        <f>IF(ISNA(VLOOKUP(A45,'Données projet'!$A$217:$I$237,3,0)),0,VLOOKUP(A45,'Données projet'!$A$217:$I$237,3,0))</f>
        <v>1</v>
      </c>
      <c r="FM45" s="16">
        <f>IF(ISNA(VLOOKUP(A45,'Données projet'!$A$217:$I$237,4,0)),0,VLOOKUP(A45,'Données projet'!$A$217:$I$237,4,0))</f>
        <v>179.84615384615384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7.5641025641025639</v>
      </c>
      <c r="FZ45" s="13">
        <f>IF('Données projet'!$A$244&gt;35,FZ44+FY45-GH44,IF(A45&lt;'Données projet'!$A$244,$FW$205^A45,IF(A45='Données projet'!$A$244,'Données projet'!$B$244,FZ44+FY45-GH44)))</f>
        <v>203.58974358974368</v>
      </c>
      <c r="GA45" s="18">
        <f>FZ45*VLOOKUP('Données projet'!$B$17,Paramètres!$A$1:$I$89,3,0)*VLOOKUP('Données projet'!$B$17,Paramètres!$A$1:$I$89,5,0)</f>
        <v>136.56800000000007</v>
      </c>
      <c r="GB45" s="14">
        <f t="shared" si="49"/>
        <v>35.509650391805792</v>
      </c>
      <c r="GC45" s="22">
        <f t="shared" si="25"/>
        <v>299.70190776572849</v>
      </c>
      <c r="GD45" s="58">
        <f t="shared" si="26"/>
        <v>593.03524109906175</v>
      </c>
      <c r="GE45" s="58">
        <f ca="1">AVERAGE(OFFSET($GD$3,0,0,'Données projet'!$E$17+1,1))-AVERAGE(OFFSET($H$3,0,0,'Données projet'!$E$17+1,1))</f>
        <v>362.1372269575329</v>
      </c>
      <c r="GF45" s="58">
        <f t="shared" si="50"/>
        <v>308.1559670593121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58" t="e">
        <f t="shared" si="29"/>
        <v>#N/A</v>
      </c>
      <c r="GZ45" s="58" t="e">
        <f ca="1">AVERAGE(OFFSET($GY$3,0,0,'Données projet'!$E$18+1,1))-AVERAGE(OFFSET($H$3,0,0,'Données projet'!$E$18+1,1))</f>
        <v>#N/A</v>
      </c>
      <c r="HA45" s="58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0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3">
        <f t="shared" si="1"/>
        <v>256.66666666666669</v>
      </c>
      <c r="I46" s="6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164.47080000000005</v>
      </c>
      <c r="P46" s="14">
        <f t="shared" si="33"/>
        <v>41.849293714451377</v>
      </c>
      <c r="Q46" s="22">
        <f t="shared" si="53"/>
        <v>359.34082988600289</v>
      </c>
      <c r="R46" s="58">
        <f t="shared" si="0"/>
        <v>652.67416321933615</v>
      </c>
      <c r="S46" s="58">
        <f ca="1">AVERAGE(OFFSET($R$3,0,0,'Données projet'!$E$9+1,1))-AVERAGE(OFFSET($H$3,0,0,'Données projet'!$E$9+1,1))</f>
        <v>483.15009705023641</v>
      </c>
      <c r="T46" s="58">
        <f t="shared" si="34"/>
        <v>254.25036207346591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162.20000000000005</v>
      </c>
      <c r="AJ46" s="14">
        <f>AI46*VLOOKUP('Données projet'!$B$10,Paramètres!$A$1:$I$89,3,0)*VLOOKUP('Données projet'!$B$10,Paramètres!$A$1:$I$89,5,0)</f>
        <v>146.75856000000005</v>
      </c>
      <c r="AK46" s="14">
        <f t="shared" si="35"/>
        <v>37.841022770456242</v>
      </c>
      <c r="AL46" s="22">
        <f t="shared" si="4"/>
        <v>321.51093999187805</v>
      </c>
      <c r="AM46" s="58">
        <f t="shared" si="5"/>
        <v>614.84427332521136</v>
      </c>
      <c r="AN46" s="58">
        <f ca="1">AVERAGE(OFFSET($AM$3,0,0,'Données projet'!$E$10+1,1))-AVERAGE(OFFSET($H$3,0,0,'Données projet'!$E$10+1,1))</f>
        <v>435.7095890216213</v>
      </c>
      <c r="AO46" s="58">
        <f t="shared" si="36"/>
        <v>231.36959598460686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6.2820512820512819</v>
      </c>
      <c r="BD46" s="13">
        <f>IF('Données projet'!$A$88&gt;35,BD45+BC46-BL45,IF(A46&lt;'Données projet'!$A$88,$BA$205^A46,IF(A46='Données projet'!$A$88,'Données projet'!$B$88,BD45+BC46-BL45)))</f>
        <v>130.38461538461533</v>
      </c>
      <c r="BE46" s="14">
        <f>BD46*VLOOKUP('Données projet'!$B$11,Paramètres!$A$1:$I$89,3,0)*VLOOKUP('Données projet'!$B$11,Paramètres!$A$1:$I$89,5,0)</f>
        <v>113.90399999999997</v>
      </c>
      <c r="BF46" s="14">
        <f t="shared" si="37"/>
        <v>30.248922116095741</v>
      </c>
      <c r="BG46" s="22">
        <f t="shared" si="7"/>
        <v>251.0663393522</v>
      </c>
      <c r="BH46" s="58">
        <f t="shared" si="8"/>
        <v>544.39967268553335</v>
      </c>
      <c r="BI46" s="58">
        <f ca="1">AVERAGE(OFFSET($BH$3,0,0,'Données projet'!$E$11+1,1))-AVERAGE(OFFSET($H$3,0,0,'Données projet'!$E$11+1,1))</f>
        <v>218.76424742311815</v>
      </c>
      <c r="BJ46" s="58">
        <f t="shared" si="38"/>
        <v>264.34598683038593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1.8108193385774118</v>
      </c>
      <c r="BQ46" s="23">
        <f>EXP(-LN(2)/25)*BQ45+(1-EXP(-LN(2)/25))/(LN(2)/25)*Calculateur!BL46*Calculateur!BN46*VLOOKUP('Données projet'!$B$11,Paramètres!$A$1:$I$89,3,0)*0.475*44/12</f>
        <v>3.043734461425978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4.8545538000033899</v>
      </c>
      <c r="BT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5.5</v>
      </c>
      <c r="BY46" s="13">
        <f>IF('Données projet'!$A$114&gt;35,BY45+BX46-CG45,IF(A46&lt;'Données projet'!$A$114,$BV$205^A46,IF(A46='Données projet'!$A$114,'Données projet'!$B$114,BY45+BX46-CG45)))</f>
        <v>110</v>
      </c>
      <c r="BZ46" s="14">
        <f>BY46*VLOOKUP('Données projet'!$B$12,Paramètres!$A$1:$I$89,3,0)*VLOOKUP('Données projet'!$B$12,Paramètres!$A$1:$I$89,5,0)</f>
        <v>106.39200000000001</v>
      </c>
      <c r="CA46" s="14">
        <f t="shared" si="39"/>
        <v>28.479268717714096</v>
      </c>
      <c r="CB46" s="22">
        <f t="shared" si="10"/>
        <v>234.90079301668541</v>
      </c>
      <c r="CC46" s="58">
        <f t="shared" si="11"/>
        <v>528.23412635001876</v>
      </c>
      <c r="CD46" s="58">
        <f ca="1">AVERAGE(OFFSET($CC$3,0,0,'Données projet'!$E$12+1,1))-AVERAGE(OFFSET($H$3,0,0,'Données projet'!$E$12+1,1))</f>
        <v>343.86347628565426</v>
      </c>
      <c r="CE46" s="58">
        <f t="shared" si="40"/>
        <v>129.28196646107097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58" t="e">
        <f t="shared" si="14"/>
        <v>#N/A</v>
      </c>
      <c r="CY46" s="58" t="e">
        <f ca="1">AVERAGE(OFFSET($CX$3,0,0,'Données projet'!$E$13+1,1))-AVERAGE(OFFSET($H$3,0,0,'Données projet'!$E$13+1,1))</f>
        <v>#N/A</v>
      </c>
      <c r="CZ46" s="58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5.1515151515151505</v>
      </c>
      <c r="DO46" s="13">
        <f>IF('Données projet'!$A$166&gt;35,DO45+DN46-DW45,IF(A46&lt;'Données projet'!$A$166,$DL$205^A46,IF(A46='Données projet'!$A$166,'Données projet'!$B$166,DO45+DN46-DW45)))</f>
        <v>126.96969696969708</v>
      </c>
      <c r="DP46" s="18">
        <f>DO46*VLOOKUP('Données projet'!$B$14,Paramètres!$A$1:$I$89,3,0)*VLOOKUP('Données projet'!$B$14,Paramètres!$A$1:$I$89,5,0)</f>
        <v>120.82436363636376</v>
      </c>
      <c r="DQ46" s="14">
        <f t="shared" si="43"/>
        <v>31.867191898121227</v>
      </c>
      <c r="DR46" s="22">
        <f t="shared" si="16"/>
        <v>265.93779255589465</v>
      </c>
      <c r="DS46" s="58">
        <f t="shared" si="17"/>
        <v>559.27112588922796</v>
      </c>
      <c r="DT46" s="58">
        <f ca="1">AVERAGE(OFFSET($DS$3,0,0,'Données projet'!$E$14+1,1))-AVERAGE(OFFSET($H$3,0,0,'Données projet'!$E$14+1,1))</f>
        <v>332.49889399440514</v>
      </c>
      <c r="DU46" s="58">
        <f t="shared" si="44"/>
        <v>256.06044006790529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7.5641025641025639</v>
      </c>
      <c r="EJ46" s="13">
        <f>IF('Données projet'!$A$192&gt;35,EJ45+EI46-ER45,IF(A46&lt;'Données projet'!$A$192,$EG$205^A46,IF(A46='Données projet'!$A$192,'Données projet'!$B$192,EJ45+EI46-ER45)))</f>
        <v>202.82051282051287</v>
      </c>
      <c r="EK46" s="18">
        <f>EJ46*VLOOKUP('Données projet'!$B$15,Paramètres!$A$1:$I$89,3,0)*VLOOKUP('Données projet'!$B$15,Paramètres!$A$1:$I$89,5,0)</f>
        <v>211.98800000000008</v>
      </c>
      <c r="EL46" s="14">
        <f t="shared" si="45"/>
        <v>52.369775202198831</v>
      </c>
      <c r="EM46" s="22">
        <f t="shared" si="19"/>
        <v>460.42312514382979</v>
      </c>
      <c r="EN46" s="58">
        <f t="shared" si="20"/>
        <v>753.75645847716305</v>
      </c>
      <c r="EO46" s="58">
        <f ca="1">AVERAGE(OFFSET($EN$3,0,0,'Données projet'!$E$15+1,1))-AVERAGE(OFFSET($H$3,0,0,'Données projet'!$E$15+1,1))</f>
        <v>596.00698505207174</v>
      </c>
      <c r="EP46" s="58">
        <f t="shared" si="46"/>
        <v>378.16197659288338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15.618681318681309</v>
      </c>
      <c r="FE46" s="13">
        <f>IF('Données projet'!$A$218&gt;35,FE45+FD46-FM45,IF(A46&lt;'Données projet'!$A$218,$FB$205^A46,IF(A46='Données projet'!$A$218,'Données projet'!$B$218,FE45+FD46-FM45)))</f>
        <v>246.14175824175831</v>
      </c>
      <c r="FF46" s="18">
        <f>FE46*VLOOKUP('Données projet'!$B$16,Paramètres!$A$1:$I$89,3,0)*VLOOKUP('Données projet'!$B$16,Paramètres!$A$1:$I$89,5,0)</f>
        <v>115.19434285714289</v>
      </c>
      <c r="FG46" s="14">
        <f t="shared" si="47"/>
        <v>30.5515065129288</v>
      </c>
      <c r="FH46" s="22">
        <f t="shared" si="22"/>
        <v>253.84068765287486</v>
      </c>
      <c r="FI46" s="58">
        <f t="shared" si="23"/>
        <v>547.17402098620823</v>
      </c>
      <c r="FJ46" s="58">
        <f ca="1">AVERAGE(OFFSET($FI$3,0,0,'Données projet'!$E$16+1,1))-AVERAGE(OFFSET($H$3,0,0,'Données projet'!$E$16+1,1))</f>
        <v>294.31042006404056</v>
      </c>
      <c r="FK46" s="58">
        <f t="shared" si="48"/>
        <v>260.93767498478502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7.5641025641025639</v>
      </c>
      <c r="FZ46" s="13">
        <f>IF('Données projet'!$A$244&gt;35,FZ45+FY46-GH45,IF(A46&lt;'Données projet'!$A$244,$FW$205^A46,IF(A46='Données projet'!$A$244,'Données projet'!$B$244,FZ45+FY46-GH45)))</f>
        <v>211.15384615384625</v>
      </c>
      <c r="GA46" s="18">
        <f>FZ46*VLOOKUP('Données projet'!$B$17,Paramètres!$A$1:$I$89,3,0)*VLOOKUP('Données projet'!$B$17,Paramètres!$A$1:$I$89,5,0)</f>
        <v>141.64200000000005</v>
      </c>
      <c r="GB46" s="14">
        <f t="shared" si="49"/>
        <v>36.672908983761502</v>
      </c>
      <c r="GC46" s="22">
        <f t="shared" si="25"/>
        <v>310.56513314671798</v>
      </c>
      <c r="GD46" s="58">
        <f t="shared" si="26"/>
        <v>603.8984664800513</v>
      </c>
      <c r="GE46" s="58">
        <f ca="1">AVERAGE(OFFSET($GD$3,0,0,'Données projet'!$E$17+1,1))-AVERAGE(OFFSET($H$3,0,0,'Données projet'!$E$17+1,1))</f>
        <v>362.1372269575329</v>
      </c>
      <c r="GF46" s="58">
        <f t="shared" si="50"/>
        <v>308.1559670593121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58" t="e">
        <f t="shared" si="29"/>
        <v>#N/A</v>
      </c>
      <c r="GZ46" s="58" t="e">
        <f ca="1">AVERAGE(OFFSET($GY$3,0,0,'Données projet'!$E$18+1,1))-AVERAGE(OFFSET($H$3,0,0,'Données projet'!$E$18+1,1))</f>
        <v>#N/A</v>
      </c>
      <c r="HA46" s="58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0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3">
        <f t="shared" si="1"/>
        <v>256.66666666666669</v>
      </c>
      <c r="I47" s="6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172.98840000000007</v>
      </c>
      <c r="P47" s="14">
        <f t="shared" si="33"/>
        <v>43.758645457754092</v>
      </c>
      <c r="Q47" s="22">
        <f t="shared" si="53"/>
        <v>377.50110417225511</v>
      </c>
      <c r="R47" s="58">
        <f t="shared" si="0"/>
        <v>670.83443750558843</v>
      </c>
      <c r="S47" s="58">
        <f ca="1">AVERAGE(OFFSET($R$3,0,0,'Données projet'!$E$9+1,1))-AVERAGE(OFFSET($H$3,0,0,'Données projet'!$E$9+1,1))</f>
        <v>483.15009705023641</v>
      </c>
      <c r="T47" s="58">
        <f t="shared" si="34"/>
        <v>254.25036207346591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170.60000000000005</v>
      </c>
      <c r="AJ47" s="14">
        <f>AI47*VLOOKUP('Données projet'!$B$10,Paramètres!$A$1:$I$89,3,0)*VLOOKUP('Données projet'!$B$10,Paramètres!$A$1:$I$89,5,0)</f>
        <v>154.35888000000003</v>
      </c>
      <c r="AK47" s="14">
        <f t="shared" si="35"/>
        <v>39.567499286120309</v>
      </c>
      <c r="AL47" s="22">
        <f t="shared" si="4"/>
        <v>337.75511058999291</v>
      </c>
      <c r="AM47" s="58">
        <f t="shared" si="5"/>
        <v>631.08844392332617</v>
      </c>
      <c r="AN47" s="58">
        <f ca="1">AVERAGE(OFFSET($AM$3,0,0,'Données projet'!$E$10+1,1))-AVERAGE(OFFSET($H$3,0,0,'Données projet'!$E$10+1,1))</f>
        <v>435.7095890216213</v>
      </c>
      <c r="AO47" s="58">
        <f t="shared" si="36"/>
        <v>231.36959598460686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6.2820512820512819</v>
      </c>
      <c r="BD47" s="13">
        <f>IF('Données projet'!$A$88&gt;35,BD46+BC47-BL46,IF(A47&lt;'Données projet'!$A$88,$BA$205^A47,IF(A47='Données projet'!$A$88,'Données projet'!$B$88,BD46+BC47-BL46)))</f>
        <v>136.6666666666666</v>
      </c>
      <c r="BE47" s="14">
        <f>BD47*VLOOKUP('Données projet'!$B$11,Paramètres!$A$1:$I$89,3,0)*VLOOKUP('Données projet'!$B$11,Paramètres!$A$1:$I$89,5,0)</f>
        <v>119.39199999999995</v>
      </c>
      <c r="BF47" s="14">
        <f t="shared" si="37"/>
        <v>31.533151383804046</v>
      </c>
      <c r="BG47" s="22">
        <f t="shared" si="7"/>
        <v>262.86130532679198</v>
      </c>
      <c r="BH47" s="58">
        <f t="shared" si="8"/>
        <v>556.19463866012529</v>
      </c>
      <c r="BI47" s="58">
        <f ca="1">AVERAGE(OFFSET($BH$3,0,0,'Données projet'!$E$11+1,1))-AVERAGE(OFFSET($H$3,0,0,'Données projet'!$E$11+1,1))</f>
        <v>218.76424742311815</v>
      </c>
      <c r="BJ47" s="58">
        <f t="shared" si="38"/>
        <v>264.34598683038593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1.7753102758386459</v>
      </c>
      <c r="BQ47" s="23">
        <f>EXP(-LN(2)/25)*BQ46+(1-EXP(-LN(2)/25))/(LN(2)/25)*Calculateur!BL47*Calculateur!BN47*VLOOKUP('Données projet'!$B$11,Paramètres!$A$1:$I$89,3,0)*0.475*44/12</f>
        <v>2.9605033825152458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4.7358136583538917</v>
      </c>
      <c r="BT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5.5</v>
      </c>
      <c r="BY47" s="13">
        <f>IF('Données projet'!$A$114&gt;35,BY46+BX47-CG46,IF(A47&lt;'Données projet'!$A$114,$BV$205^A47,IF(A47='Données projet'!$A$114,'Données projet'!$B$114,BY46+BX47-CG46)))</f>
        <v>115.5</v>
      </c>
      <c r="BZ47" s="14">
        <f>BY47*VLOOKUP('Données projet'!$B$12,Paramètres!$A$1:$I$89,3,0)*VLOOKUP('Données projet'!$B$12,Paramètres!$A$1:$I$89,5,0)</f>
        <v>111.7116</v>
      </c>
      <c r="CA47" s="14">
        <f t="shared" si="39"/>
        <v>29.733887785181285</v>
      </c>
      <c r="CB47" s="22">
        <f t="shared" si="10"/>
        <v>246.3508912258574</v>
      </c>
      <c r="CC47" s="58">
        <f t="shared" si="11"/>
        <v>539.68422455919074</v>
      </c>
      <c r="CD47" s="58">
        <f ca="1">AVERAGE(OFFSET($CC$3,0,0,'Données projet'!$E$12+1,1))-AVERAGE(OFFSET($H$3,0,0,'Données projet'!$E$12+1,1))</f>
        <v>343.86347628565426</v>
      </c>
      <c r="CE47" s="58">
        <f t="shared" si="40"/>
        <v>129.28196646107097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58" t="e">
        <f t="shared" si="14"/>
        <v>#N/A</v>
      </c>
      <c r="CY47" s="58" t="e">
        <f ca="1">AVERAGE(OFFSET($CX$3,0,0,'Données projet'!$E$13+1,1))-AVERAGE(OFFSET($H$3,0,0,'Données projet'!$E$13+1,1))</f>
        <v>#N/A</v>
      </c>
      <c r="CZ47" s="58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5.1515151515151505</v>
      </c>
      <c r="DO47" s="13">
        <f>IF('Données projet'!$A$166&gt;35,DO46+DN47-DW46,IF(A47&lt;'Données projet'!$A$166,$DL$205^A47,IF(A47='Données projet'!$A$166,'Données projet'!$B$166,DO46+DN47-DW46)))</f>
        <v>132.12121212121224</v>
      </c>
      <c r="DP47" s="18">
        <f>DO47*VLOOKUP('Données projet'!$B$14,Paramètres!$A$1:$I$89,3,0)*VLOOKUP('Données projet'!$B$14,Paramètres!$A$1:$I$89,5,0)</f>
        <v>125.72654545454557</v>
      </c>
      <c r="DQ47" s="14">
        <f t="shared" si="43"/>
        <v>33.006976717133142</v>
      </c>
      <c r="DR47" s="22">
        <f t="shared" si="16"/>
        <v>276.4608844490071</v>
      </c>
      <c r="DS47" s="58">
        <f t="shared" si="17"/>
        <v>569.79421778234041</v>
      </c>
      <c r="DT47" s="58">
        <f ca="1">AVERAGE(OFFSET($DS$3,0,0,'Données projet'!$E$14+1,1))-AVERAGE(OFFSET($H$3,0,0,'Données projet'!$E$14+1,1))</f>
        <v>332.49889399440514</v>
      </c>
      <c r="DU47" s="58">
        <f t="shared" si="44"/>
        <v>256.06044006790529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7.5641025641025639</v>
      </c>
      <c r="EJ47" s="13">
        <f>IF('Données projet'!$A$192&gt;35,EJ46+EI47-ER46,IF(A47&lt;'Données projet'!$A$192,$EG$205^A47,IF(A47='Données projet'!$A$192,'Données projet'!$B$192,EJ46+EI47-ER46)))</f>
        <v>210.38461538461544</v>
      </c>
      <c r="EK47" s="18">
        <f>EJ47*VLOOKUP('Données projet'!$B$15,Paramètres!$A$1:$I$89,3,0)*VLOOKUP('Données projet'!$B$15,Paramètres!$A$1:$I$89,5,0)</f>
        <v>219.89400000000009</v>
      </c>
      <c r="EL47" s="14">
        <f t="shared" si="45"/>
        <v>54.091846498161985</v>
      </c>
      <c r="EM47" s="22">
        <f t="shared" si="19"/>
        <v>477.19201598429891</v>
      </c>
      <c r="EN47" s="58">
        <f t="shared" si="20"/>
        <v>770.52534931763216</v>
      </c>
      <c r="EO47" s="58">
        <f ca="1">AVERAGE(OFFSET($EN$3,0,0,'Données projet'!$E$15+1,1))-AVERAGE(OFFSET($H$3,0,0,'Données projet'!$E$15+1,1))</f>
        <v>596.00698505207174</v>
      </c>
      <c r="EP47" s="58">
        <f t="shared" si="46"/>
        <v>378.16197659288338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15.618681318681309</v>
      </c>
      <c r="FE47" s="13">
        <f>IF('Données projet'!$A$218&gt;35,FE46+FD47-FM46,IF(A47&lt;'Données projet'!$A$218,$FB$205^A47,IF(A47='Données projet'!$A$218,'Données projet'!$B$218,FE46+FD47-FM46)))</f>
        <v>261.76043956043964</v>
      </c>
      <c r="FF47" s="18">
        <f>FE47*VLOOKUP('Données projet'!$B$16,Paramètres!$A$1:$I$89,3,0)*VLOOKUP('Données projet'!$B$16,Paramètres!$A$1:$I$89,5,0)</f>
        <v>122.50388571428574</v>
      </c>
      <c r="FG47" s="14">
        <f t="shared" si="47"/>
        <v>32.258285776503719</v>
      </c>
      <c r="FH47" s="22">
        <f t="shared" si="22"/>
        <v>269.54411534645834</v>
      </c>
      <c r="FI47" s="58">
        <f t="shared" si="23"/>
        <v>562.87744867979166</v>
      </c>
      <c r="FJ47" s="58">
        <f ca="1">AVERAGE(OFFSET($FI$3,0,0,'Données projet'!$E$16+1,1))-AVERAGE(OFFSET($H$3,0,0,'Données projet'!$E$16+1,1))</f>
        <v>294.31042006404056</v>
      </c>
      <c r="FK47" s="58">
        <f t="shared" si="48"/>
        <v>260.93767498478502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7.5641025641025639</v>
      </c>
      <c r="FZ47" s="13">
        <f>IF('Données projet'!$A$244&gt;35,FZ46+FY47-GH46,IF(A47&lt;'Données projet'!$A$244,$FW$205^A47,IF(A47='Données projet'!$A$244,'Données projet'!$B$244,FZ46+FY47-GH46)))</f>
        <v>218.71794871794881</v>
      </c>
      <c r="GA47" s="18">
        <f>FZ47*VLOOKUP('Données projet'!$B$17,Paramètres!$A$1:$I$89,3,0)*VLOOKUP('Données projet'!$B$17,Paramètres!$A$1:$I$89,5,0)</f>
        <v>146.71600000000007</v>
      </c>
      <c r="GB47" s="14">
        <f t="shared" si="49"/>
        <v>37.831326067731702</v>
      </c>
      <c r="GC47" s="22">
        <f t="shared" si="25"/>
        <v>321.41992623463284</v>
      </c>
      <c r="GD47" s="58">
        <f t="shared" si="26"/>
        <v>614.7532595679661</v>
      </c>
      <c r="GE47" s="58">
        <f ca="1">AVERAGE(OFFSET($GD$3,0,0,'Données projet'!$E$17+1,1))-AVERAGE(OFFSET($H$3,0,0,'Données projet'!$E$17+1,1))</f>
        <v>362.1372269575329</v>
      </c>
      <c r="GF47" s="58">
        <f t="shared" si="50"/>
        <v>308.1559670593121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58" t="e">
        <f t="shared" si="29"/>
        <v>#N/A</v>
      </c>
      <c r="GZ47" s="58" t="e">
        <f ca="1">AVERAGE(OFFSET($GY$3,0,0,'Données projet'!$E$18+1,1))-AVERAGE(OFFSET($H$3,0,0,'Données projet'!$E$18+1,1))</f>
        <v>#N/A</v>
      </c>
      <c r="HA47" s="58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0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3">
        <f t="shared" si="1"/>
        <v>256.66666666666669</v>
      </c>
      <c r="I48" s="6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181.50600000000006</v>
      </c>
      <c r="P48" s="14">
        <f t="shared" si="33"/>
        <v>45.657080773122978</v>
      </c>
      <c r="Q48" s="22">
        <f t="shared" si="53"/>
        <v>395.64236567985591</v>
      </c>
      <c r="R48" s="58">
        <f t="shared" si="0"/>
        <v>688.97569901318923</v>
      </c>
      <c r="S48" s="58">
        <f ca="1">AVERAGE(OFFSET($R$3,0,0,'Données projet'!$E$9+1,1))-AVERAGE(OFFSET($H$3,0,0,'Données projet'!$E$9+1,1))</f>
        <v>483.15009705023641</v>
      </c>
      <c r="T48" s="58">
        <f t="shared" si="34"/>
        <v>254.25036207346591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179.00000000000006</v>
      </c>
      <c r="AJ48" s="14">
        <f>AI48*VLOOKUP('Données projet'!$B$10,Paramètres!$A$1:$I$89,3,0)*VLOOKUP('Données projet'!$B$10,Paramètres!$A$1:$I$89,5,0)</f>
        <v>161.95920000000004</v>
      </c>
      <c r="AK48" s="14">
        <f t="shared" si="35"/>
        <v>41.284104935125725</v>
      </c>
      <c r="AL48" s="22">
        <f t="shared" si="4"/>
        <v>353.9820894286774</v>
      </c>
      <c r="AM48" s="58">
        <f t="shared" si="5"/>
        <v>647.31542276201071</v>
      </c>
      <c r="AN48" s="58">
        <f ca="1">AVERAGE(OFFSET($AM$3,0,0,'Données projet'!$E$10+1,1))-AVERAGE(OFFSET($H$3,0,0,'Données projet'!$E$10+1,1))</f>
        <v>435.7095890216213</v>
      </c>
      <c r="AO48" s="58">
        <f t="shared" si="36"/>
        <v>231.36959598460686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142.94871794871796</v>
      </c>
      <c r="BB48" s="13">
        <f>VLOOKUP(A48,'Données projet'!$A$87:$I$107,9,0)</f>
        <v>6.2820512820512819</v>
      </c>
      <c r="BC48" s="13">
        <f t="array" ref="BC48">INDEX(BB:BB,MIN(IF(ISNUMBER(BB48:BB244),ROW(BB48:BB244),"")))</f>
        <v>6.2820512820512819</v>
      </c>
      <c r="BD48" s="13">
        <f>IF('Données projet'!$A$88&gt;35,BD47+BC48-BL47,IF(A48&lt;'Données projet'!$A$88,$BA$205^A48,IF(A48='Données projet'!$A$88,'Données projet'!$B$88,BD47+BC48-BL47)))</f>
        <v>142.94871794871787</v>
      </c>
      <c r="BE48" s="14">
        <f>BD48*VLOOKUP('Données projet'!$B$11,Paramètres!$A$1:$I$89,3,0)*VLOOKUP('Données projet'!$B$11,Paramètres!$A$1:$I$89,5,0)</f>
        <v>124.87999999999995</v>
      </c>
      <c r="BF48" s="14">
        <f t="shared" si="37"/>
        <v>32.81052522286641</v>
      </c>
      <c r="BG48" s="22">
        <f t="shared" si="7"/>
        <v>274.64433142982557</v>
      </c>
      <c r="BH48" s="58">
        <f t="shared" si="8"/>
        <v>567.97766476315883</v>
      </c>
      <c r="BI48" s="58">
        <f ca="1">AVERAGE(OFFSET($BH$3,0,0,'Données projet'!$E$11+1,1))-AVERAGE(OFFSET($H$3,0,0,'Données projet'!$E$11+1,1))</f>
        <v>218.76424742311815</v>
      </c>
      <c r="BJ48" s="58">
        <f t="shared" si="38"/>
        <v>264.34598683038593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23.076923076923077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1.7404975241617975</v>
      </c>
      <c r="BQ48" s="23">
        <f>EXP(-LN(2)/25)*BQ47+(1-EXP(-LN(2)/25))/(LN(2)/25)*Calculateur!BL48*Calculateur!BN48*VLOOKUP('Données projet'!$B$11,Paramètres!$A$1:$I$89,3,0)*0.475*44/12</f>
        <v>2.8795482618342598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4.6200457859960569</v>
      </c>
      <c r="BT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121</v>
      </c>
      <c r="BW48" s="13">
        <f>VLOOKUP(A48,'Données projet'!$A$113:$I$133,9,0)</f>
        <v>5.5</v>
      </c>
      <c r="BX48" s="13">
        <f t="array" ref="BX48">INDEX(BW:BW,MIN(IF(ISNUMBER(BW48:BW244),ROW(BW48:BW244),"")))</f>
        <v>5.5</v>
      </c>
      <c r="BY48" s="13">
        <f>IF('Données projet'!$A$114&gt;35,BY47+BX48-CG47,IF(A48&lt;'Données projet'!$A$114,$BV$205^A48,IF(A48='Données projet'!$A$114,'Données projet'!$B$114,BY47+BX48-CG47)))</f>
        <v>121</v>
      </c>
      <c r="BZ48" s="14">
        <f>BY48*VLOOKUP('Données projet'!$B$12,Paramètres!$A$1:$I$89,3,0)*VLOOKUP('Données projet'!$B$12,Paramètres!$A$1:$I$89,5,0)</f>
        <v>117.0312</v>
      </c>
      <c r="CA48" s="14">
        <f t="shared" si="39"/>
        <v>30.981569147428527</v>
      </c>
      <c r="CB48" s="22">
        <f t="shared" si="10"/>
        <v>257.78890626510469</v>
      </c>
      <c r="CC48" s="58">
        <f t="shared" si="11"/>
        <v>551.122239598438</v>
      </c>
      <c r="CD48" s="58">
        <f ca="1">AVERAGE(OFFSET($CC$3,0,0,'Données projet'!$E$12+1,1))-AVERAGE(OFFSET($H$3,0,0,'Données projet'!$E$12+1,1))</f>
        <v>343.86347628565426</v>
      </c>
      <c r="CE48" s="58">
        <f t="shared" si="40"/>
        <v>129.28196646107097</v>
      </c>
      <c r="CF48" s="16">
        <f>IF(ISNA(VLOOKUP(A48,'Données projet'!$A$113:$I$133,3,0)),0,VLOOKUP(A48,'Données projet'!$A$113:$I$133,3,0))</f>
        <v>2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58" t="e">
        <f t="shared" si="14"/>
        <v>#N/A</v>
      </c>
      <c r="CY48" s="58" t="e">
        <f ca="1">AVERAGE(OFFSET($CX$3,0,0,'Données projet'!$E$13+1,1))-AVERAGE(OFFSET($H$3,0,0,'Données projet'!$E$13+1,1))</f>
        <v>#N/A</v>
      </c>
      <c r="CZ48" s="58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5.1515151515151505</v>
      </c>
      <c r="DO48" s="13">
        <f>IF('Données projet'!$A$166&gt;35,DO47+DN48-DW47,IF(A48&lt;'Données projet'!$A$166,$DL$205^A48,IF(A48='Données projet'!$A$166,'Données projet'!$B$166,DO47+DN48-DW47)))</f>
        <v>137.27272727272739</v>
      </c>
      <c r="DP48" s="18">
        <f>DO48*VLOOKUP('Données projet'!$B$14,Paramètres!$A$1:$I$89,3,0)*VLOOKUP('Données projet'!$B$14,Paramètres!$A$1:$I$89,5,0)</f>
        <v>130.62872727272739</v>
      </c>
      <c r="DQ48" s="14">
        <f t="shared" si="43"/>
        <v>34.141598925598046</v>
      </c>
      <c r="DR48" s="22">
        <f t="shared" si="16"/>
        <v>286.97498479541679</v>
      </c>
      <c r="DS48" s="58">
        <f t="shared" si="17"/>
        <v>580.3083181287501</v>
      </c>
      <c r="DT48" s="58">
        <f ca="1">AVERAGE(OFFSET($DS$3,0,0,'Données projet'!$E$14+1,1))-AVERAGE(OFFSET($H$3,0,0,'Données projet'!$E$14+1,1))</f>
        <v>332.49889399440514</v>
      </c>
      <c r="DU48" s="58">
        <f t="shared" si="44"/>
        <v>256.06044006790529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217.94871794871793</v>
      </c>
      <c r="EH48" s="13">
        <f>VLOOKUP(A48,'Données projet'!$A$191:$I$211,9,0)</f>
        <v>7.5641025641025639</v>
      </c>
      <c r="EI48" s="13">
        <f t="array" ref="EI48">INDEX(EH:EH,MIN(IF(ISNUMBER(EH48:EH244),ROW(EH48:EH244),"")))</f>
        <v>7.5641025641025639</v>
      </c>
      <c r="EJ48" s="13">
        <f>IF('Données projet'!$A$192&gt;35,EJ47+EI48-ER47,IF(A48&lt;'Données projet'!$A$192,$EG$205^A48,IF(A48='Données projet'!$A$192,'Données projet'!$B$192,EJ47+EI48-ER47)))</f>
        <v>217.94871794871801</v>
      </c>
      <c r="EK48" s="18">
        <f>EJ48*VLOOKUP('Données projet'!$B$15,Paramètres!$A$1:$I$89,3,0)*VLOOKUP('Données projet'!$B$15,Paramètres!$A$1:$I$89,5,0)</f>
        <v>227.8000000000001</v>
      </c>
      <c r="EL48" s="14">
        <f t="shared" si="45"/>
        <v>55.806724332359025</v>
      </c>
      <c r="EM48" s="22">
        <f t="shared" si="19"/>
        <v>493.94837821219221</v>
      </c>
      <c r="EN48" s="58">
        <f t="shared" si="20"/>
        <v>787.28171154552547</v>
      </c>
      <c r="EO48" s="58">
        <f ca="1">AVERAGE(OFFSET($EN$3,0,0,'Données projet'!$E$15+1,1))-AVERAGE(OFFSET($H$3,0,0,'Données projet'!$E$15+1,1))</f>
        <v>596.00698505207174</v>
      </c>
      <c r="EP48" s="58">
        <f t="shared" si="46"/>
        <v>378.16197659288338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15.618681318681309</v>
      </c>
      <c r="FE48" s="13">
        <f>IF('Données projet'!$A$218&gt;35,FE47+FD48-FM47,IF(A48&lt;'Données projet'!$A$218,$FB$205^A48,IF(A48='Données projet'!$A$218,'Données projet'!$B$218,FE47+FD48-FM47)))</f>
        <v>277.37912087912093</v>
      </c>
      <c r="FF48" s="18">
        <f>FE48*VLOOKUP('Données projet'!$B$16,Paramètres!$A$1:$I$89,3,0)*VLOOKUP('Données projet'!$B$16,Paramètres!$A$1:$I$89,5,0)</f>
        <v>129.8134285714286</v>
      </c>
      <c r="FG48" s="14">
        <f t="shared" si="47"/>
        <v>33.953244550224291</v>
      </c>
      <c r="FH48" s="22">
        <f t="shared" si="22"/>
        <v>285.2269556868788</v>
      </c>
      <c r="FI48" s="58">
        <f t="shared" si="23"/>
        <v>578.56028902021217</v>
      </c>
      <c r="FJ48" s="58">
        <f ca="1">AVERAGE(OFFSET($FI$3,0,0,'Données projet'!$E$16+1,1))-AVERAGE(OFFSET($H$3,0,0,'Données projet'!$E$16+1,1))</f>
        <v>294.31042006404056</v>
      </c>
      <c r="FK48" s="58">
        <f t="shared" si="48"/>
        <v>260.93767498478502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226.28205128205127</v>
      </c>
      <c r="FX48" s="13">
        <f>VLOOKUP(A48,'Données projet'!$A$243:$I$263,9,0)</f>
        <v>7.5641025641025639</v>
      </c>
      <c r="FY48" s="13">
        <f t="array" ref="FY48">INDEX(FX:FX,MIN(IF(ISNUMBER(FX48:FX244),ROW(FX48:FX244),"")))</f>
        <v>7.5641025641025639</v>
      </c>
      <c r="FZ48" s="13">
        <f>IF('Données projet'!$A$244&gt;35,FZ47+FY48-GH47,IF(A48&lt;'Données projet'!$A$244,$FW$205^A48,IF(A48='Données projet'!$A$244,'Données projet'!$B$244,FZ47+FY48-GH47)))</f>
        <v>226.28205128205138</v>
      </c>
      <c r="GA48" s="18">
        <f>FZ48*VLOOKUP('Données projet'!$B$17,Paramètres!$A$1:$I$89,3,0)*VLOOKUP('Données projet'!$B$17,Paramètres!$A$1:$I$89,5,0)</f>
        <v>151.79000000000005</v>
      </c>
      <c r="GB48" s="14">
        <f t="shared" si="49"/>
        <v>38.985088271202081</v>
      </c>
      <c r="GC48" s="22">
        <f t="shared" si="25"/>
        <v>332.26661207234366</v>
      </c>
      <c r="GD48" s="58">
        <f t="shared" si="26"/>
        <v>625.59994540567698</v>
      </c>
      <c r="GE48" s="58">
        <f ca="1">AVERAGE(OFFSET($GD$3,0,0,'Données projet'!$E$17+1,1))-AVERAGE(OFFSET($H$3,0,0,'Données projet'!$E$17+1,1))</f>
        <v>362.1372269575329</v>
      </c>
      <c r="GF48" s="58">
        <f t="shared" si="50"/>
        <v>308.1559670593121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58" t="e">
        <f t="shared" si="29"/>
        <v>#N/A</v>
      </c>
      <c r="GZ48" s="58" t="e">
        <f ca="1">AVERAGE(OFFSET($GY$3,0,0,'Données projet'!$E$18+1,1))-AVERAGE(OFFSET($H$3,0,0,'Données projet'!$E$18+1,1))</f>
        <v>#N/A</v>
      </c>
      <c r="HA48" s="58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0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3">
        <f t="shared" si="1"/>
        <v>256.66666666666669</v>
      </c>
      <c r="I49" s="6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147.23280000000005</v>
      </c>
      <c r="P49" s="14">
        <f t="shared" si="33"/>
        <v>37.949049623906205</v>
      </c>
      <c r="Q49" s="22">
        <f t="shared" si="53"/>
        <v>322.52505476163668</v>
      </c>
      <c r="R49" s="58">
        <f t="shared" si="0"/>
        <v>615.85838809497</v>
      </c>
      <c r="S49" s="58">
        <f ca="1">AVERAGE(OFFSET($R$3,0,0,'Données projet'!$E$9+1,1))-AVERAGE(OFFSET($H$3,0,0,'Données projet'!$E$9+1,1))</f>
        <v>483.15009705023641</v>
      </c>
      <c r="T49" s="58">
        <f t="shared" si="34"/>
        <v>254.25036207346591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58">
        <f t="shared" si="5"/>
        <v>581.91234573782231</v>
      </c>
      <c r="AN49" s="58">
        <f ca="1">AVERAGE(OFFSET($AM$3,0,0,'Données projet'!$E$10+1,1))-AVERAGE(OFFSET($H$3,0,0,'Données projet'!$E$10+1,1))</f>
        <v>435.7095890216213</v>
      </c>
      <c r="AO49" s="58">
        <f t="shared" si="36"/>
        <v>231.36959598460686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5.6410256410256379</v>
      </c>
      <c r="BD49" s="13">
        <f>IF('Données projet'!$A$88&gt;35,BD48+BC49-BL48,IF(A49&lt;'Données projet'!$A$88,$BA$205^A49,IF(A49='Données projet'!$A$88,'Données projet'!$B$88,BD48+BC49-BL48)))</f>
        <v>125.51282051282043</v>
      </c>
      <c r="BE49" s="14">
        <f>BD49*VLOOKUP('Données projet'!$B$11,Paramètres!$A$1:$I$89,3,0)*VLOOKUP('Données projet'!$B$11,Paramètres!$A$1:$I$89,5,0)</f>
        <v>109.64799999999994</v>
      </c>
      <c r="BF49" s="14">
        <f t="shared" si="37"/>
        <v>29.248035163018155</v>
      </c>
      <c r="BG49" s="22">
        <f t="shared" si="7"/>
        <v>241.91059457558984</v>
      </c>
      <c r="BH49" s="58">
        <f t="shared" si="8"/>
        <v>535.24392790892318</v>
      </c>
      <c r="BI49" s="58">
        <f ca="1">AVERAGE(OFFSET($BH$3,0,0,'Données projet'!$E$11+1,1))-AVERAGE(OFFSET($H$3,0,0,'Données projet'!$E$11+1,1))</f>
        <v>218.76424742311815</v>
      </c>
      <c r="BJ49" s="58">
        <f t="shared" si="38"/>
        <v>264.34598683038593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1.7063674293116502</v>
      </c>
      <c r="BQ49" s="23">
        <f>EXP(-LN(2)/25)*BQ48+(1-EXP(-LN(2)/25))/(LN(2)/25)*Calculateur!BL49*Calculateur!BN49*VLOOKUP('Données projet'!$B$11,Paramètres!$A$1:$I$89,3,0)*0.475*44/12</f>
        <v>2.8008068631855401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4.50717429249719</v>
      </c>
      <c r="BT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98.6</v>
      </c>
      <c r="BZ49" s="14">
        <f>BY49*VLOOKUP('Données projet'!$B$12,Paramètres!$A$1:$I$89,3,0)*VLOOKUP('Données projet'!$B$12,Paramètres!$A$1:$I$89,5,0)</f>
        <v>95.365920000000003</v>
      </c>
      <c r="CA49" s="14">
        <f t="shared" si="39"/>
        <v>25.854961705219438</v>
      </c>
      <c r="CB49" s="22">
        <f t="shared" si="10"/>
        <v>211.12636896992385</v>
      </c>
      <c r="CC49" s="58">
        <f t="shared" si="11"/>
        <v>504.45970230325713</v>
      </c>
      <c r="CD49" s="58">
        <f ca="1">AVERAGE(OFFSET($CC$3,0,0,'Données projet'!$E$12+1,1))-AVERAGE(OFFSET($H$3,0,0,'Données projet'!$E$12+1,1))</f>
        <v>343.86347628565426</v>
      </c>
      <c r="CE49" s="58">
        <f t="shared" si="40"/>
        <v>129.28196646107097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58" t="e">
        <f t="shared" si="14"/>
        <v>#N/A</v>
      </c>
      <c r="CY49" s="58" t="e">
        <f ca="1">AVERAGE(OFFSET($CX$3,0,0,'Données projet'!$E$13+1,1))-AVERAGE(OFFSET($H$3,0,0,'Données projet'!$E$13+1,1))</f>
        <v>#N/A</v>
      </c>
      <c r="CZ49" s="58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5.1515151515151505</v>
      </c>
      <c r="DO49" s="13">
        <f>IF('Données projet'!$A$166&gt;35,DO48+DN49-DW48,IF(A49&lt;'Données projet'!$A$166,$DL$205^A49,IF(A49='Données projet'!$A$166,'Données projet'!$B$166,DO48+DN49-DW48)))</f>
        <v>142.42424242424255</v>
      </c>
      <c r="DP49" s="18">
        <f>DO49*VLOOKUP('Données projet'!$B$14,Paramètres!$A$1:$I$89,3,0)*VLOOKUP('Données projet'!$B$14,Paramètres!$A$1:$I$89,5,0)</f>
        <v>135.53090909090923</v>
      </c>
      <c r="DQ49" s="14">
        <f t="shared" si="43"/>
        <v>35.271274446682057</v>
      </c>
      <c r="DR49" s="22">
        <f t="shared" si="16"/>
        <v>297.48046966130482</v>
      </c>
      <c r="DS49" s="58">
        <f t="shared" si="17"/>
        <v>590.81380299463808</v>
      </c>
      <c r="DT49" s="58">
        <f ca="1">AVERAGE(OFFSET($DS$3,0,0,'Données projet'!$E$14+1,1))-AVERAGE(OFFSET($H$3,0,0,'Données projet'!$E$14+1,1))</f>
        <v>332.49889399440514</v>
      </c>
      <c r="DU49" s="58">
        <f t="shared" si="44"/>
        <v>256.06044006790529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7.3076923076923093</v>
      </c>
      <c r="EJ49" s="13">
        <f>IF('Données projet'!$A$192&gt;35,EJ48+EI49-ER48,IF(A49&lt;'Données projet'!$A$192,$EG$205^A49,IF(A49='Données projet'!$A$192,'Données projet'!$B$192,EJ48+EI49-ER48)))</f>
        <v>225.25641025641033</v>
      </c>
      <c r="EK49" s="18">
        <f>EJ49*VLOOKUP('Données projet'!$B$15,Paramètres!$A$1:$I$89,3,0)*VLOOKUP('Données projet'!$B$15,Paramètres!$A$1:$I$89,5,0)</f>
        <v>235.4380000000001</v>
      </c>
      <c r="EL49" s="14">
        <f t="shared" si="45"/>
        <v>57.456900340643699</v>
      </c>
      <c r="EM49" s="22">
        <f t="shared" si="19"/>
        <v>510.12528475995458</v>
      </c>
      <c r="EN49" s="58">
        <f t="shared" si="20"/>
        <v>803.4586180932879</v>
      </c>
      <c r="EO49" s="58">
        <f ca="1">AVERAGE(OFFSET($EN$3,0,0,'Données projet'!$E$15+1,1))-AVERAGE(OFFSET($H$3,0,0,'Données projet'!$E$15+1,1))</f>
        <v>596.00698505207174</v>
      </c>
      <c r="EP49" s="58">
        <f t="shared" si="46"/>
        <v>378.16197659288338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15.618681318681309</v>
      </c>
      <c r="FE49" s="13">
        <f>IF('Données projet'!$A$218&gt;35,FE48+FD49-FM48,IF(A49&lt;'Données projet'!$A$218,$FB$205^A49,IF(A49='Données projet'!$A$218,'Données projet'!$B$218,FE48+FD49-FM48)))</f>
        <v>292.99780219780223</v>
      </c>
      <c r="FF49" s="18">
        <f>FE49*VLOOKUP('Données projet'!$B$16,Paramètres!$A$1:$I$89,3,0)*VLOOKUP('Données projet'!$B$16,Paramètres!$A$1:$I$89,5,0)</f>
        <v>137.12297142857145</v>
      </c>
      <c r="FG49" s="14">
        <f t="shared" si="47"/>
        <v>35.63712427284996</v>
      </c>
      <c r="FH49" s="22">
        <f t="shared" si="22"/>
        <v>300.89050001330889</v>
      </c>
      <c r="FI49" s="58">
        <f t="shared" si="23"/>
        <v>594.22383334664221</v>
      </c>
      <c r="FJ49" s="58">
        <f ca="1">AVERAGE(OFFSET($FI$3,0,0,'Données projet'!$E$16+1,1))-AVERAGE(OFFSET($H$3,0,0,'Données projet'!$E$16+1,1))</f>
        <v>294.31042006404056</v>
      </c>
      <c r="FK49" s="58">
        <f t="shared" si="48"/>
        <v>260.93767498478502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7.0512820512820555</v>
      </c>
      <c r="FZ49" s="13">
        <f>IF('Données projet'!$A$244&gt;35,FZ48+FY49-GH48,IF(A49&lt;'Données projet'!$A$244,$FW$205^A49,IF(A49='Données projet'!$A$244,'Données projet'!$B$244,FZ48+FY49-GH48)))</f>
        <v>233.33333333333343</v>
      </c>
      <c r="GA49" s="18">
        <f>FZ49*VLOOKUP('Données projet'!$B$17,Paramètres!$A$1:$I$89,3,0)*VLOOKUP('Données projet'!$B$17,Paramètres!$A$1:$I$89,5,0)</f>
        <v>156.52000000000007</v>
      </c>
      <c r="GB49" s="14">
        <f t="shared" si="49"/>
        <v>40.056589961286974</v>
      </c>
      <c r="GC49" s="22">
        <f t="shared" si="25"/>
        <v>342.37089418257489</v>
      </c>
      <c r="GD49" s="58">
        <f t="shared" si="26"/>
        <v>635.7042275159082</v>
      </c>
      <c r="GE49" s="58">
        <f ca="1">AVERAGE(OFFSET($GD$3,0,0,'Données projet'!$E$17+1,1))-AVERAGE(OFFSET($H$3,0,0,'Données projet'!$E$17+1,1))</f>
        <v>362.1372269575329</v>
      </c>
      <c r="GF49" s="58">
        <f t="shared" si="50"/>
        <v>308.1559670593121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58" t="e">
        <f t="shared" si="29"/>
        <v>#N/A</v>
      </c>
      <c r="GZ49" s="58" t="e">
        <f ca="1">AVERAGE(OFFSET($GY$3,0,0,'Données projet'!$E$18+1,1))-AVERAGE(OFFSET($H$3,0,0,'Données projet'!$E$18+1,1))</f>
        <v>#N/A</v>
      </c>
      <c r="HA49" s="58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0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3">
        <f t="shared" si="1"/>
        <v>256.66666666666669</v>
      </c>
      <c r="I50" s="6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155.54760000000005</v>
      </c>
      <c r="P50" s="14">
        <f t="shared" si="33"/>
        <v>39.836620617816237</v>
      </c>
      <c r="Q50" s="22">
        <f t="shared" si="53"/>
        <v>340.29418424269664</v>
      </c>
      <c r="R50" s="58">
        <f t="shared" si="0"/>
        <v>633.62751757602996</v>
      </c>
      <c r="S50" s="58">
        <f ca="1">AVERAGE(OFFSET($R$3,0,0,'Données projet'!$E$9+1,1))-AVERAGE(OFFSET($H$3,0,0,'Données projet'!$E$9+1,1))</f>
        <v>483.15009705023641</v>
      </c>
      <c r="T50" s="58">
        <f t="shared" si="34"/>
        <v>254.25036207346591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58">
        <f t="shared" si="5"/>
        <v>597.80704287706749</v>
      </c>
      <c r="AN50" s="58">
        <f ca="1">AVERAGE(OFFSET($AM$3,0,0,'Données projet'!$E$10+1,1))-AVERAGE(OFFSET($H$3,0,0,'Données projet'!$E$10+1,1))</f>
        <v>435.7095890216213</v>
      </c>
      <c r="AO50" s="58">
        <f t="shared" si="36"/>
        <v>231.36959598460686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5.6410256410256379</v>
      </c>
      <c r="BD50" s="13">
        <f>IF('Données projet'!$A$88&gt;35,BD49+BC50-BL49,IF(A50&lt;'Données projet'!$A$88,$BA$205^A50,IF(A50='Données projet'!$A$88,'Données projet'!$B$88,BD49+BC50-BL49)))</f>
        <v>131.15384615384608</v>
      </c>
      <c r="BE50" s="14">
        <f>BD50*VLOOKUP('Données projet'!$B$11,Paramètres!$A$1:$I$89,3,0)*VLOOKUP('Données projet'!$B$11,Paramètres!$A$1:$I$89,5,0)</f>
        <v>114.57599999999994</v>
      </c>
      <c r="BF50" s="14">
        <f t="shared" si="37"/>
        <v>30.406555097122752</v>
      </c>
      <c r="BG50" s="22">
        <f t="shared" si="7"/>
        <v>252.511283460822</v>
      </c>
      <c r="BH50" s="58">
        <f t="shared" si="8"/>
        <v>545.84461679415529</v>
      </c>
      <c r="BI50" s="58">
        <f ca="1">AVERAGE(OFFSET($BH$3,0,0,'Données projet'!$E$11+1,1))-AVERAGE(OFFSET($H$3,0,0,'Données projet'!$E$11+1,1))</f>
        <v>218.76424742311815</v>
      </c>
      <c r="BJ50" s="58">
        <f t="shared" si="38"/>
        <v>264.34598683038593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1.672906604804212</v>
      </c>
      <c r="BQ50" s="23">
        <f>EXP(-LN(2)/25)*BQ49+(1-EXP(-LN(2)/25))/(LN(2)/25)*Calculateur!BL50*Calculateur!BN50*VLOOKUP('Données projet'!$B$11,Paramètres!$A$1:$I$89,3,0)*0.475*44/12</f>
        <v>2.7242186522237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4.3971252570279118</v>
      </c>
      <c r="BT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104.19999999999999</v>
      </c>
      <c r="BZ50" s="14">
        <f>BY50*VLOOKUP('Données projet'!$B$12,Paramètres!$A$1:$I$89,3,0)*VLOOKUP('Données projet'!$B$12,Paramètres!$A$1:$I$89,5,0)</f>
        <v>100.78224</v>
      </c>
      <c r="CA50" s="14">
        <f t="shared" si="39"/>
        <v>27.148270845500655</v>
      </c>
      <c r="CB50" s="22">
        <f t="shared" si="10"/>
        <v>222.81230638924697</v>
      </c>
      <c r="CC50" s="58">
        <f t="shared" si="11"/>
        <v>516.14563972258031</v>
      </c>
      <c r="CD50" s="58">
        <f ca="1">AVERAGE(OFFSET($CC$3,0,0,'Données projet'!$E$12+1,1))-AVERAGE(OFFSET($H$3,0,0,'Données projet'!$E$12+1,1))</f>
        <v>343.86347628565426</v>
      </c>
      <c r="CE50" s="58">
        <f t="shared" si="40"/>
        <v>129.28196646107097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58" t="e">
        <f t="shared" si="14"/>
        <v>#N/A</v>
      </c>
      <c r="CY50" s="58" t="e">
        <f ca="1">AVERAGE(OFFSET($CX$3,0,0,'Données projet'!$E$13+1,1))-AVERAGE(OFFSET($H$3,0,0,'Données projet'!$E$13+1,1))</f>
        <v>#N/A</v>
      </c>
      <c r="CZ50" s="58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5.1515151515151505</v>
      </c>
      <c r="DO50" s="13">
        <f>IF('Données projet'!$A$166&gt;35,DO49+DN50-DW49,IF(A50&lt;'Données projet'!$A$166,$DL$205^A50,IF(A50='Données projet'!$A$166,'Données projet'!$B$166,DO49+DN50-DW49)))</f>
        <v>147.57575757575771</v>
      </c>
      <c r="DP50" s="18">
        <f>DO50*VLOOKUP('Données projet'!$B$14,Paramètres!$A$1:$I$89,3,0)*VLOOKUP('Données projet'!$B$14,Paramètres!$A$1:$I$89,5,0)</f>
        <v>140.43309090909105</v>
      </c>
      <c r="DQ50" s="14">
        <f t="shared" si="43"/>
        <v>36.396202698265469</v>
      </c>
      <c r="DR50" s="22">
        <f t="shared" si="16"/>
        <v>307.97768636614597</v>
      </c>
      <c r="DS50" s="58">
        <f t="shared" si="17"/>
        <v>601.31101969947929</v>
      </c>
      <c r="DT50" s="58">
        <f ca="1">AVERAGE(OFFSET($DS$3,0,0,'Données projet'!$E$14+1,1))-AVERAGE(OFFSET($H$3,0,0,'Données projet'!$E$14+1,1))</f>
        <v>332.49889399440514</v>
      </c>
      <c r="DU50" s="58">
        <f t="shared" si="44"/>
        <v>256.06044006790529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7.3076923076923093</v>
      </c>
      <c r="EJ50" s="13">
        <f>IF('Données projet'!$A$192&gt;35,EJ49+EI50-ER49,IF(A50&lt;'Données projet'!$A$192,$EG$205^A50,IF(A50='Données projet'!$A$192,'Données projet'!$B$192,EJ49+EI50-ER49)))</f>
        <v>232.56410256410265</v>
      </c>
      <c r="EK50" s="18">
        <f>EJ50*VLOOKUP('Données projet'!$B$15,Paramètres!$A$1:$I$89,3,0)*VLOOKUP('Données projet'!$B$15,Paramètres!$A$1:$I$89,5,0)</f>
        <v>243.07600000000011</v>
      </c>
      <c r="EL50" s="14">
        <f t="shared" si="45"/>
        <v>59.100855536637525</v>
      </c>
      <c r="EM50" s="22">
        <f t="shared" si="19"/>
        <v>526.29135672631048</v>
      </c>
      <c r="EN50" s="58">
        <f t="shared" si="20"/>
        <v>819.62469005964385</v>
      </c>
      <c r="EO50" s="58">
        <f ca="1">AVERAGE(OFFSET($EN$3,0,0,'Données projet'!$E$15+1,1))-AVERAGE(OFFSET($H$3,0,0,'Données projet'!$E$15+1,1))</f>
        <v>596.00698505207174</v>
      </c>
      <c r="EP50" s="58">
        <f t="shared" si="46"/>
        <v>378.16197659288338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15.618681318681309</v>
      </c>
      <c r="FE50" s="13">
        <f>IF('Données projet'!$A$218&gt;35,FE49+FD50-FM49,IF(A50&lt;'Données projet'!$A$218,$FB$205^A50,IF(A50='Données projet'!$A$218,'Données projet'!$B$218,FE49+FD50-FM49)))</f>
        <v>308.61648351648353</v>
      </c>
      <c r="FF50" s="18">
        <f>FE50*VLOOKUP('Données projet'!$B$16,Paramètres!$A$1:$I$89,3,0)*VLOOKUP('Données projet'!$B$16,Paramètres!$A$1:$I$89,5,0)</f>
        <v>144.43251428571429</v>
      </c>
      <c r="FG50" s="14">
        <f t="shared" si="47"/>
        <v>37.310582871696397</v>
      </c>
      <c r="FH50" s="22">
        <f t="shared" si="22"/>
        <v>316.53589421582359</v>
      </c>
      <c r="FI50" s="58">
        <f t="shared" si="23"/>
        <v>609.8692275491569</v>
      </c>
      <c r="FJ50" s="58">
        <f ca="1">AVERAGE(OFFSET($FI$3,0,0,'Données projet'!$E$16+1,1))-AVERAGE(OFFSET($H$3,0,0,'Données projet'!$E$16+1,1))</f>
        <v>294.31042006404056</v>
      </c>
      <c r="FK50" s="58">
        <f t="shared" si="48"/>
        <v>260.93767498478502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7.0512820512820555</v>
      </c>
      <c r="FZ50" s="13">
        <f>IF('Données projet'!$A$244&gt;35,FZ49+FY50-GH49,IF(A50&lt;'Données projet'!$A$244,$FW$205^A50,IF(A50='Données projet'!$A$244,'Données projet'!$B$244,FZ49+FY50-GH49)))</f>
        <v>240.38461538461547</v>
      </c>
      <c r="GA50" s="18">
        <f>FZ50*VLOOKUP('Données projet'!$B$17,Paramètres!$A$1:$I$89,3,0)*VLOOKUP('Données projet'!$B$17,Paramètres!$A$1:$I$89,5,0)</f>
        <v>161.25000000000006</v>
      </c>
      <c r="GB50" s="14">
        <f t="shared" si="49"/>
        <v>41.124328571986439</v>
      </c>
      <c r="GC50" s="22">
        <f t="shared" si="25"/>
        <v>352.46862226287652</v>
      </c>
      <c r="GD50" s="58">
        <f t="shared" si="26"/>
        <v>645.80195559620984</v>
      </c>
      <c r="GE50" s="58">
        <f ca="1">AVERAGE(OFFSET($GD$3,0,0,'Données projet'!$E$17+1,1))-AVERAGE(OFFSET($H$3,0,0,'Données projet'!$E$17+1,1))</f>
        <v>362.1372269575329</v>
      </c>
      <c r="GF50" s="58">
        <f t="shared" si="50"/>
        <v>308.1559670593121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58" t="e">
        <f t="shared" si="29"/>
        <v>#N/A</v>
      </c>
      <c r="GZ50" s="58" t="e">
        <f ca="1">AVERAGE(OFFSET($GY$3,0,0,'Données projet'!$E$18+1,1))-AVERAGE(OFFSET($H$3,0,0,'Données projet'!$E$18+1,1))</f>
        <v>#N/A</v>
      </c>
      <c r="HA50" s="58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0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3">
        <f t="shared" si="1"/>
        <v>256.66666666666669</v>
      </c>
      <c r="I51" s="6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163.86240000000004</v>
      </c>
      <c r="P51" s="14">
        <f t="shared" si="33"/>
        <v>41.712477409029084</v>
      </c>
      <c r="Q51" s="22">
        <f t="shared" si="53"/>
        <v>358.0429114873923</v>
      </c>
      <c r="R51" s="58">
        <f t="shared" si="0"/>
        <v>651.37624482072556</v>
      </c>
      <c r="S51" s="58">
        <f ca="1">AVERAGE(OFFSET($R$3,0,0,'Données projet'!$E$9+1,1))-AVERAGE(OFFSET($H$3,0,0,'Données projet'!$E$9+1,1))</f>
        <v>483.15009705023641</v>
      </c>
      <c r="T51" s="58">
        <f t="shared" si="34"/>
        <v>254.25036207346591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58">
        <f t="shared" si="5"/>
        <v>613.68329187962263</v>
      </c>
      <c r="AN51" s="58">
        <f ca="1">AVERAGE(OFFSET($AM$3,0,0,'Données projet'!$E$10+1,1))-AVERAGE(OFFSET($H$3,0,0,'Données projet'!$E$10+1,1))</f>
        <v>435.7095890216213</v>
      </c>
      <c r="AO51" s="58">
        <f t="shared" si="36"/>
        <v>231.36959598460686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5.6410256410256379</v>
      </c>
      <c r="BD51" s="13">
        <f>IF('Données projet'!$A$88&gt;35,BD50+BC51-BL50,IF(A51&lt;'Données projet'!$A$88,$BA$205^A51,IF(A51='Données projet'!$A$88,'Données projet'!$B$88,BD50+BC51-BL50)))</f>
        <v>136.79487179487171</v>
      </c>
      <c r="BE51" s="14">
        <f>BD51*VLOOKUP('Données projet'!$B$11,Paramètres!$A$1:$I$89,3,0)*VLOOKUP('Données projet'!$B$11,Paramètres!$A$1:$I$89,5,0)</f>
        <v>119.50399999999995</v>
      </c>
      <c r="BF51" s="14">
        <f t="shared" si="37"/>
        <v>31.55928756756072</v>
      </c>
      <c r="BG51" s="22">
        <f t="shared" si="7"/>
        <v>263.10189251350153</v>
      </c>
      <c r="BH51" s="58">
        <f t="shared" si="8"/>
        <v>556.43522584683478</v>
      </c>
      <c r="BI51" s="58">
        <f ca="1">AVERAGE(OFFSET($BH$3,0,0,'Données projet'!$E$11+1,1))-AVERAGE(OFFSET($H$3,0,0,'Données projet'!$E$11+1,1))</f>
        <v>218.76424742311815</v>
      </c>
      <c r="BJ51" s="58">
        <f t="shared" si="38"/>
        <v>264.34598683038593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1.6401019266562771</v>
      </c>
      <c r="BQ51" s="23">
        <f>EXP(-LN(2)/25)*BQ50+(1-EXP(-LN(2)/25))/(LN(2)/25)*Calculateur!BL51*Calculateur!BN51*VLOOKUP('Données projet'!$B$11,Paramètres!$A$1:$I$89,3,0)*0.475*44/12</f>
        <v>2.6497247499182102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4.2898266765744868</v>
      </c>
      <c r="BT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109.79999999999998</v>
      </c>
      <c r="BZ51" s="14">
        <f>BY51*VLOOKUP('Données projet'!$B$12,Paramètres!$A$1:$I$89,3,0)*VLOOKUP('Données projet'!$B$12,Paramètres!$A$1:$I$89,5,0)</f>
        <v>106.19855999999999</v>
      </c>
      <c r="CA51" s="14">
        <f t="shared" si="39"/>
        <v>28.433510633203252</v>
      </c>
      <c r="CB51" s="22">
        <f t="shared" si="10"/>
        <v>234.48418968616227</v>
      </c>
      <c r="CC51" s="58">
        <f t="shared" si="11"/>
        <v>527.81752301949564</v>
      </c>
      <c r="CD51" s="58">
        <f ca="1">AVERAGE(OFFSET($CC$3,0,0,'Données projet'!$E$12+1,1))-AVERAGE(OFFSET($H$3,0,0,'Données projet'!$E$12+1,1))</f>
        <v>343.86347628565426</v>
      </c>
      <c r="CE51" s="58">
        <f t="shared" si="40"/>
        <v>129.28196646107097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58" t="e">
        <f t="shared" si="14"/>
        <v>#N/A</v>
      </c>
      <c r="CY51" s="58" t="e">
        <f ca="1">AVERAGE(OFFSET($CX$3,0,0,'Données projet'!$E$13+1,1))-AVERAGE(OFFSET($H$3,0,0,'Données projet'!$E$13+1,1))</f>
        <v>#N/A</v>
      </c>
      <c r="CZ51" s="58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5.1515151515151505</v>
      </c>
      <c r="DO51" s="13">
        <f>IF('Données projet'!$A$166&gt;35,DO50+DN51-DW50,IF(A51&lt;'Données projet'!$A$166,$DL$205^A51,IF(A51='Données projet'!$A$166,'Données projet'!$B$166,DO50+DN51-DW50)))</f>
        <v>152.72727272727286</v>
      </c>
      <c r="DP51" s="18">
        <f>DO51*VLOOKUP('Données projet'!$B$14,Paramètres!$A$1:$I$89,3,0)*VLOOKUP('Données projet'!$B$14,Paramètres!$A$1:$I$89,5,0)</f>
        <v>145.33527272727287</v>
      </c>
      <c r="DQ51" s="14">
        <f t="shared" si="43"/>
        <v>37.516568386336886</v>
      </c>
      <c r="DR51" s="22">
        <f t="shared" si="16"/>
        <v>318.46695660620361</v>
      </c>
      <c r="DS51" s="58">
        <f t="shared" si="17"/>
        <v>611.80028993953692</v>
      </c>
      <c r="DT51" s="58">
        <f ca="1">AVERAGE(OFFSET($DS$3,0,0,'Données projet'!$E$14+1,1))-AVERAGE(OFFSET($H$3,0,0,'Données projet'!$E$14+1,1))</f>
        <v>332.49889399440514</v>
      </c>
      <c r="DU51" s="58">
        <f t="shared" si="44"/>
        <v>256.06044006790529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7.3076923076923093</v>
      </c>
      <c r="EJ51" s="13">
        <f>IF('Données projet'!$A$192&gt;35,EJ50+EI51-ER50,IF(A51&lt;'Données projet'!$A$192,$EG$205^A51,IF(A51='Données projet'!$A$192,'Données projet'!$B$192,EJ50+EI51-ER50)))</f>
        <v>239.87179487179498</v>
      </c>
      <c r="EK51" s="18">
        <f>EJ51*VLOOKUP('Données projet'!$B$15,Paramètres!$A$1:$I$89,3,0)*VLOOKUP('Données projet'!$B$15,Paramètres!$A$1:$I$89,5,0)</f>
        <v>250.71400000000011</v>
      </c>
      <c r="EL51" s="14">
        <f t="shared" si="45"/>
        <v>60.738807819504103</v>
      </c>
      <c r="EM51" s="22">
        <f t="shared" si="19"/>
        <v>542.44697361896976</v>
      </c>
      <c r="EN51" s="58">
        <f t="shared" si="20"/>
        <v>835.78030695230314</v>
      </c>
      <c r="EO51" s="58">
        <f ca="1">AVERAGE(OFFSET($EN$3,0,0,'Données projet'!$E$15+1,1))-AVERAGE(OFFSET($H$3,0,0,'Données projet'!$E$15+1,1))</f>
        <v>596.00698505207174</v>
      </c>
      <c r="EP51" s="58">
        <f t="shared" si="46"/>
        <v>378.16197659288338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15.618681318681309</v>
      </c>
      <c r="FE51" s="13">
        <f>IF('Données projet'!$A$218&gt;35,FE50+FD51-FM50,IF(A51&lt;'Données projet'!$A$218,$FB$205^A51,IF(A51='Données projet'!$A$218,'Données projet'!$B$218,FE50+FD51-FM50)))</f>
        <v>324.23516483516482</v>
      </c>
      <c r="FF51" s="18">
        <f>FE51*VLOOKUP('Données projet'!$B$16,Paramètres!$A$1:$I$89,3,0)*VLOOKUP('Données projet'!$B$16,Paramètres!$A$1:$I$89,5,0)</f>
        <v>151.74205714285713</v>
      </c>
      <c r="FG51" s="14">
        <f t="shared" si="47"/>
        <v>38.974207918733512</v>
      </c>
      <c r="FH51" s="22">
        <f t="shared" si="22"/>
        <v>332.16416164893707</v>
      </c>
      <c r="FI51" s="58">
        <f t="shared" si="23"/>
        <v>625.49749498227038</v>
      </c>
      <c r="FJ51" s="58">
        <f ca="1">AVERAGE(OFFSET($FI$3,0,0,'Données projet'!$E$16+1,1))-AVERAGE(OFFSET($H$3,0,0,'Données projet'!$E$16+1,1))</f>
        <v>294.31042006404056</v>
      </c>
      <c r="FK51" s="58">
        <f t="shared" si="48"/>
        <v>260.93767498478502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7.0512820512820555</v>
      </c>
      <c r="FZ51" s="13">
        <f>IF('Données projet'!$A$244&gt;35,FZ50+FY51-GH50,IF(A51&lt;'Données projet'!$A$244,$FW$205^A51,IF(A51='Données projet'!$A$244,'Données projet'!$B$244,FZ50+FY51-GH50)))</f>
        <v>247.43589743589752</v>
      </c>
      <c r="GA51" s="18">
        <f>FZ51*VLOOKUP('Données projet'!$B$17,Paramètres!$A$1:$I$89,3,0)*VLOOKUP('Données projet'!$B$17,Paramètres!$A$1:$I$89,5,0)</f>
        <v>165.98000000000005</v>
      </c>
      <c r="GB51" s="14">
        <f t="shared" si="49"/>
        <v>42.188427161252903</v>
      </c>
      <c r="GC51" s="22">
        <f t="shared" si="25"/>
        <v>362.56001063918217</v>
      </c>
      <c r="GD51" s="58">
        <f t="shared" si="26"/>
        <v>655.89334397251548</v>
      </c>
      <c r="GE51" s="58">
        <f ca="1">AVERAGE(OFFSET($GD$3,0,0,'Données projet'!$E$17+1,1))-AVERAGE(OFFSET($H$3,0,0,'Données projet'!$E$17+1,1))</f>
        <v>362.1372269575329</v>
      </c>
      <c r="GF51" s="58">
        <f t="shared" si="50"/>
        <v>308.1559670593121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58" t="e">
        <f t="shared" si="29"/>
        <v>#N/A</v>
      </c>
      <c r="GZ51" s="58" t="e">
        <f ca="1">AVERAGE(OFFSET($GY$3,0,0,'Données projet'!$E$18+1,1))-AVERAGE(OFFSET($H$3,0,0,'Données projet'!$E$18+1,1))</f>
        <v>#N/A</v>
      </c>
      <c r="HA51" s="58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0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3">
        <f t="shared" si="1"/>
        <v>256.66666666666669</v>
      </c>
      <c r="I52" s="6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58">
        <f t="shared" si="0"/>
        <v>669.10572320317215</v>
      </c>
      <c r="S52" s="58">
        <f ca="1">AVERAGE(OFFSET($R$3,0,0,'Données projet'!$E$9+1,1))-AVERAGE(OFFSET($H$3,0,0,'Données projet'!$E$9+1,1))</f>
        <v>483.15009705023641</v>
      </c>
      <c r="T52" s="58">
        <f t="shared" si="34"/>
        <v>254.25036207346591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58">
        <f t="shared" si="5"/>
        <v>629.54213565092948</v>
      </c>
      <c r="AN52" s="58">
        <f ca="1">AVERAGE(OFFSET($AM$3,0,0,'Données projet'!$E$10+1,1))-AVERAGE(OFFSET($H$3,0,0,'Données projet'!$E$10+1,1))</f>
        <v>435.7095890216213</v>
      </c>
      <c r="AO52" s="58">
        <f t="shared" si="36"/>
        <v>231.36959598460686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5.6410256410256379</v>
      </c>
      <c r="BD52" s="13">
        <f>IF('Données projet'!$A$88&gt;35,BD51+BC52-BL51,IF(A52&lt;'Données projet'!$A$88,$BA$205^A52,IF(A52='Données projet'!$A$88,'Données projet'!$B$88,BD51+BC52-BL51)))</f>
        <v>142.43589743589735</v>
      </c>
      <c r="BE52" s="14">
        <f>BD52*VLOOKUP('Données projet'!$B$11,Paramètres!$A$1:$I$89,3,0)*VLOOKUP('Données projet'!$B$11,Paramètres!$A$1:$I$89,5,0)</f>
        <v>124.43199999999993</v>
      </c>
      <c r="BF52" s="14">
        <f t="shared" si="37"/>
        <v>32.706498527722509</v>
      </c>
      <c r="BG52" s="22">
        <f t="shared" si="7"/>
        <v>273.68288493578319</v>
      </c>
      <c r="BH52" s="58">
        <f t="shared" si="8"/>
        <v>567.01621826911651</v>
      </c>
      <c r="BI52" s="58">
        <f ca="1">AVERAGE(OFFSET($BH$3,0,0,'Données projet'!$E$11+1,1))-AVERAGE(OFFSET($H$3,0,0,'Données projet'!$E$11+1,1))</f>
        <v>218.76424742311815</v>
      </c>
      <c r="BJ52" s="58">
        <f t="shared" si="38"/>
        <v>264.34598683038593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1.6079405282379451</v>
      </c>
      <c r="BQ52" s="23">
        <f>EXP(-LN(2)/25)*BQ51+(1-EXP(-LN(2)/25))/(LN(2)/25)*Calculateur!BL52*Calculateur!BN52*VLOOKUP('Données projet'!$B$11,Paramètres!$A$1:$I$89,3,0)*0.475*44/12</f>
        <v>2.5772678872887282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4.1852084155266738</v>
      </c>
      <c r="BT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115.39999999999998</v>
      </c>
      <c r="BZ52" s="14">
        <f>BY52*VLOOKUP('Données projet'!$B$12,Paramètres!$A$1:$I$89,3,0)*VLOOKUP('Données projet'!$B$12,Paramètres!$A$1:$I$89,5,0)</f>
        <v>111.61487999999999</v>
      </c>
      <c r="CA52" s="14">
        <f t="shared" si="39"/>
        <v>29.711139570849653</v>
      </c>
      <c r="CB52" s="22">
        <f t="shared" si="10"/>
        <v>246.14281741922977</v>
      </c>
      <c r="CC52" s="58">
        <f t="shared" si="11"/>
        <v>539.47615075256306</v>
      </c>
      <c r="CD52" s="58">
        <f ca="1">AVERAGE(OFFSET($CC$3,0,0,'Données projet'!$E$12+1,1))-AVERAGE(OFFSET($H$3,0,0,'Données projet'!$E$12+1,1))</f>
        <v>343.86347628565426</v>
      </c>
      <c r="CE52" s="58">
        <f t="shared" si="40"/>
        <v>129.28196646107097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58" t="e">
        <f t="shared" si="14"/>
        <v>#N/A</v>
      </c>
      <c r="CY52" s="58" t="e">
        <f ca="1">AVERAGE(OFFSET($CX$3,0,0,'Données projet'!$E$13+1,1))-AVERAGE(OFFSET($H$3,0,0,'Données projet'!$E$13+1,1))</f>
        <v>#N/A</v>
      </c>
      <c r="CZ52" s="58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5.1515151515151505</v>
      </c>
      <c r="DO52" s="13">
        <f>IF('Données projet'!$A$166&gt;35,DO51+DN52-DW51,IF(A52&lt;'Données projet'!$A$166,$DL$205^A52,IF(A52='Données projet'!$A$166,'Données projet'!$B$166,DO51+DN52-DW51)))</f>
        <v>157.87878787878802</v>
      </c>
      <c r="DP52" s="18">
        <f>DO52*VLOOKUP('Données projet'!$B$14,Paramètres!$A$1:$I$89,3,0)*VLOOKUP('Données projet'!$B$14,Paramètres!$A$1:$I$89,5,0)</f>
        <v>150.23745454545468</v>
      </c>
      <c r="DQ52" s="14">
        <f t="shared" si="43"/>
        <v>38.632543049624701</v>
      </c>
      <c r="DR52" s="22">
        <f t="shared" si="16"/>
        <v>328.94857914476324</v>
      </c>
      <c r="DS52" s="58">
        <f t="shared" si="17"/>
        <v>622.2819124780965</v>
      </c>
      <c r="DT52" s="58">
        <f ca="1">AVERAGE(OFFSET($DS$3,0,0,'Données projet'!$E$14+1,1))-AVERAGE(OFFSET($H$3,0,0,'Données projet'!$E$14+1,1))</f>
        <v>332.49889399440514</v>
      </c>
      <c r="DU52" s="58">
        <f t="shared" si="44"/>
        <v>256.06044006790529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7.3076923076923093</v>
      </c>
      <c r="EJ52" s="13">
        <f>IF('Données projet'!$A$192&gt;35,EJ51+EI52-ER51,IF(A52&lt;'Données projet'!$A$192,$EG$205^A52,IF(A52='Données projet'!$A$192,'Données projet'!$B$192,EJ51+EI52-ER51)))</f>
        <v>247.1794871794873</v>
      </c>
      <c r="EK52" s="18">
        <f>EJ52*VLOOKUP('Données projet'!$B$15,Paramètres!$A$1:$I$89,3,0)*VLOOKUP('Données projet'!$B$15,Paramètres!$A$1:$I$89,5,0)</f>
        <v>258.35200000000015</v>
      </c>
      <c r="EL52" s="14">
        <f t="shared" si="45"/>
        <v>62.370961057417801</v>
      </c>
      <c r="EM52" s="22">
        <f t="shared" si="19"/>
        <v>558.59249050833625</v>
      </c>
      <c r="EN52" s="58">
        <f t="shared" si="20"/>
        <v>851.92582384166963</v>
      </c>
      <c r="EO52" s="58">
        <f ca="1">AVERAGE(OFFSET($EN$3,0,0,'Données projet'!$E$15+1,1))-AVERAGE(OFFSET($H$3,0,0,'Données projet'!$E$15+1,1))</f>
        <v>596.00698505207174</v>
      </c>
      <c r="EP52" s="58">
        <f t="shared" si="46"/>
        <v>378.16197659288338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>
        <f>VLOOKUP(A52,'Données projet'!$A$217:$I$237,2,0)</f>
        <v>339.85384615384612</v>
      </c>
      <c r="FC52" s="13">
        <f>VLOOKUP(A52,'Données projet'!$A$217:$I$237,9,0)</f>
        <v>15.618681318681309</v>
      </c>
      <c r="FD52" s="13">
        <f t="array" ref="FD52">INDEX(FC:FC,MIN(IF(ISNUMBER(FC52:FC248),ROW(FC52:FC248),"")))</f>
        <v>15.618681318681309</v>
      </c>
      <c r="FE52" s="13">
        <f>IF('Données projet'!$A$218&gt;35,FE51+FD52-FM51,IF(A52&lt;'Données projet'!$A$218,$FB$205^A52,IF(A52='Données projet'!$A$218,'Données projet'!$B$218,FE51+FD52-FM51)))</f>
        <v>339.85384615384612</v>
      </c>
      <c r="FF52" s="18">
        <f>FE52*VLOOKUP('Données projet'!$B$16,Paramètres!$A$1:$I$89,3,0)*VLOOKUP('Données projet'!$B$16,Paramètres!$A$1:$I$89,5,0)</f>
        <v>159.05159999999998</v>
      </c>
      <c r="FG52" s="14">
        <f t="shared" si="47"/>
        <v>40.628527179850586</v>
      </c>
      <c r="FH52" s="22">
        <f t="shared" si="22"/>
        <v>347.77622150490635</v>
      </c>
      <c r="FI52" s="58">
        <f t="shared" si="23"/>
        <v>641.10955483823966</v>
      </c>
      <c r="FJ52" s="58">
        <f ca="1">AVERAGE(OFFSET($FI$3,0,0,'Données projet'!$E$16+1,1))-AVERAGE(OFFSET($H$3,0,0,'Données projet'!$E$16+1,1))</f>
        <v>294.31042006404056</v>
      </c>
      <c r="FK52" s="58">
        <f t="shared" si="48"/>
        <v>260.93767498478502</v>
      </c>
      <c r="FL52" s="16">
        <f>IF(ISNA(VLOOKUP(A52,'Données projet'!$A$217:$I$237,3,0)),0,VLOOKUP(A52,'Données projet'!$A$217:$I$237,3,0))</f>
        <v>2</v>
      </c>
      <c r="FM52" s="16">
        <f>IF(ISNA(VLOOKUP(A52,'Données projet'!$A$217:$I$237,4,0)),0,VLOOKUP(A52,'Données projet'!$A$217:$I$237,4,0))</f>
        <v>94.476923076923072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7.0512820512820555</v>
      </c>
      <c r="FZ52" s="13">
        <f>IF('Données projet'!$A$244&gt;35,FZ51+FY52-GH51,IF(A52&lt;'Données projet'!$A$244,$FW$205^A52,IF(A52='Données projet'!$A$244,'Données projet'!$B$244,FZ51+FY52-GH51)))</f>
        <v>254.48717948717956</v>
      </c>
      <c r="GA52" s="18">
        <f>FZ52*VLOOKUP('Données projet'!$B$17,Paramètres!$A$1:$I$89,3,0)*VLOOKUP('Données projet'!$B$17,Paramètres!$A$1:$I$89,5,0)</f>
        <v>170.71000000000006</v>
      </c>
      <c r="GB52" s="14">
        <f t="shared" si="49"/>
        <v>43.249001374438308</v>
      </c>
      <c r="GC52" s="22">
        <f t="shared" si="25"/>
        <v>372.64526072714688</v>
      </c>
      <c r="GD52" s="58">
        <f t="shared" si="26"/>
        <v>665.97859406048019</v>
      </c>
      <c r="GE52" s="58">
        <f ca="1">AVERAGE(OFFSET($GD$3,0,0,'Données projet'!$E$17+1,1))-AVERAGE(OFFSET($H$3,0,0,'Données projet'!$E$17+1,1))</f>
        <v>362.1372269575329</v>
      </c>
      <c r="GF52" s="58">
        <f t="shared" si="50"/>
        <v>308.1559670593121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58" t="e">
        <f t="shared" si="29"/>
        <v>#N/A</v>
      </c>
      <c r="GZ52" s="58" t="e">
        <f ca="1">AVERAGE(OFFSET($GY$3,0,0,'Données projet'!$E$18+1,1))-AVERAGE(OFFSET($H$3,0,0,'Données projet'!$E$18+1,1))</f>
        <v>#N/A</v>
      </c>
      <c r="HA52" s="58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0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3">
        <f t="shared" si="1"/>
        <v>256.66666666666669</v>
      </c>
      <c r="I53" s="6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180.49200000000002</v>
      </c>
      <c r="P53" s="14">
        <f t="shared" si="33"/>
        <v>45.431629706642653</v>
      </c>
      <c r="Q53" s="22">
        <f t="shared" si="53"/>
        <v>393.4836550724026</v>
      </c>
      <c r="R53" s="58">
        <f t="shared" si="0"/>
        <v>686.81698840573586</v>
      </c>
      <c r="S53" s="58">
        <f ca="1">AVERAGE(OFFSET($R$3,0,0,'Données projet'!$E$9+1,1))-AVERAGE(OFFSET($H$3,0,0,'Données projet'!$E$9+1,1))</f>
        <v>483.15009705023641</v>
      </c>
      <c r="T53" s="58">
        <f t="shared" si="34"/>
        <v>254.25036207346591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58">
        <f t="shared" si="5"/>
        <v>645.38451067704386</v>
      </c>
      <c r="AN53" s="58">
        <f ca="1">AVERAGE(OFFSET($AM$3,0,0,'Données projet'!$E$10+1,1))-AVERAGE(OFFSET($H$3,0,0,'Données projet'!$E$10+1,1))</f>
        <v>435.7095890216213</v>
      </c>
      <c r="AO53" s="58">
        <f t="shared" si="36"/>
        <v>231.36959598460686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148.07692307692307</v>
      </c>
      <c r="BB53" s="13">
        <f>VLOOKUP(A53,'Données projet'!$A$87:$I$107,9,0)</f>
        <v>5.6410256410256379</v>
      </c>
      <c r="BC53" s="13">
        <f t="array" ref="BC53">INDEX(BB:BB,MIN(IF(ISNUMBER(BB53:BB249),ROW(BB53:BB249),"")))</f>
        <v>5.6410256410256379</v>
      </c>
      <c r="BD53" s="13">
        <f>IF('Données projet'!$A$88&gt;35,BD52+BC53-BL52,IF(A53&lt;'Données projet'!$A$88,$BA$205^A53,IF(A53='Données projet'!$A$88,'Données projet'!$B$88,BD52+BC53-BL52)))</f>
        <v>148.07692307692298</v>
      </c>
      <c r="BE53" s="14">
        <f>BD53*VLOOKUP('Données projet'!$B$11,Paramètres!$A$1:$I$89,3,0)*VLOOKUP('Données projet'!$B$11,Paramètres!$A$1:$I$89,5,0)</f>
        <v>129.35999999999993</v>
      </c>
      <c r="BF53" s="14">
        <f t="shared" si="37"/>
        <v>33.848431672856037</v>
      </c>
      <c r="BG53" s="22">
        <f t="shared" si="7"/>
        <v>284.25468516355744</v>
      </c>
      <c r="BH53" s="58">
        <f t="shared" si="8"/>
        <v>577.58801849689075</v>
      </c>
      <c r="BI53" s="58">
        <f ca="1">AVERAGE(OFFSET($BH$3,0,0,'Données projet'!$E$11+1,1))-AVERAGE(OFFSET($H$3,0,0,'Données projet'!$E$11+1,1))</f>
        <v>218.76424742311815</v>
      </c>
      <c r="BJ53" s="58">
        <f t="shared" si="38"/>
        <v>264.34598683038593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21.153846153846153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1.5764097952260805</v>
      </c>
      <c r="BQ53" s="23">
        <f>EXP(-LN(2)/25)*BQ52+(1-EXP(-LN(2)/25))/(LN(2)/25)*Calculateur!BL53*Calculateur!BN53*VLOOKUP('Données projet'!$B$11,Paramètres!$A$1:$I$89,3,0)*0.475*44/12</f>
        <v>2.5067923613781904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4.0832021566042709</v>
      </c>
      <c r="BT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120.99999999999997</v>
      </c>
      <c r="BZ53" s="14">
        <f>BY53*VLOOKUP('Données projet'!$B$12,Paramètres!$A$1:$I$89,3,0)*VLOOKUP('Données projet'!$B$12,Paramètres!$A$1:$I$89,5,0)</f>
        <v>117.03119999999997</v>
      </c>
      <c r="CA53" s="14">
        <f t="shared" si="39"/>
        <v>30.981569147428527</v>
      </c>
      <c r="CB53" s="22">
        <f t="shared" si="10"/>
        <v>257.78890626510457</v>
      </c>
      <c r="CC53" s="58">
        <f t="shared" si="11"/>
        <v>551.12223959843789</v>
      </c>
      <c r="CD53" s="58">
        <f ca="1">AVERAGE(OFFSET($CC$3,0,0,'Données projet'!$E$12+1,1))-AVERAGE(OFFSET($H$3,0,0,'Données projet'!$E$12+1,1))</f>
        <v>343.86347628565426</v>
      </c>
      <c r="CE53" s="58">
        <f t="shared" si="40"/>
        <v>129.28196646107097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58" t="e">
        <f t="shared" si="14"/>
        <v>#N/A</v>
      </c>
      <c r="CY53" s="58" t="e">
        <f ca="1">AVERAGE(OFFSET($CX$3,0,0,'Données projet'!$E$13+1,1))-AVERAGE(OFFSET($H$3,0,0,'Données projet'!$E$13+1,1))</f>
        <v>#N/A</v>
      </c>
      <c r="CZ53" s="58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163.03030303030303</v>
      </c>
      <c r="DM53" s="13">
        <f>VLOOKUP(A53,'Données projet'!$A$165:$I$185,9,0)</f>
        <v>5.1515151515151505</v>
      </c>
      <c r="DN53" s="13">
        <f t="array" ref="DN53">INDEX(DM:DM,MIN(IF(ISNUMBER(DM53:DM249),ROW(DM53:DM249),"")))</f>
        <v>5.1515151515151505</v>
      </c>
      <c r="DO53" s="13">
        <f>IF('Données projet'!$A$166&gt;35,DO52+DN53-DW52,IF(A53&lt;'Données projet'!$A$166,$DL$205^A53,IF(A53='Données projet'!$A$166,'Données projet'!$B$166,DO52+DN53-DW52)))</f>
        <v>163.03030303030317</v>
      </c>
      <c r="DP53" s="18">
        <f>DO53*VLOOKUP('Données projet'!$B$14,Paramètres!$A$1:$I$89,3,0)*VLOOKUP('Données projet'!$B$14,Paramètres!$A$1:$I$89,5,0)</f>
        <v>155.1396363636365</v>
      </c>
      <c r="DQ53" s="14">
        <f t="shared" si="43"/>
        <v>39.74428639696243</v>
      </c>
      <c r="DR53" s="22">
        <f t="shared" si="16"/>
        <v>339.42283214137643</v>
      </c>
      <c r="DS53" s="58">
        <f t="shared" si="17"/>
        <v>632.75616547470975</v>
      </c>
      <c r="DT53" s="58">
        <f ca="1">AVERAGE(OFFSET($DS$3,0,0,'Données projet'!$E$14+1,1))-AVERAGE(OFFSET($H$3,0,0,'Données projet'!$E$14+1,1))</f>
        <v>332.49889399440514</v>
      </c>
      <c r="DU53" s="58">
        <f t="shared" si="44"/>
        <v>256.06044006790529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26.666666666666668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254.48717948717947</v>
      </c>
      <c r="EH53" s="13">
        <f>VLOOKUP(A53,'Données projet'!$A$191:$I$211,9,0)</f>
        <v>7.3076923076923093</v>
      </c>
      <c r="EI53" s="13">
        <f t="array" ref="EI53">INDEX(EH:EH,MIN(IF(ISNUMBER(EH53:EH249),ROW(EH53:EH249),"")))</f>
        <v>7.3076923076923093</v>
      </c>
      <c r="EJ53" s="13">
        <f>IF('Données projet'!$A$192&gt;35,EJ52+EI53-ER52,IF(A53&lt;'Données projet'!$A$192,$EG$205^A53,IF(A53='Données projet'!$A$192,'Données projet'!$B$192,EJ52+EI53-ER52)))</f>
        <v>254.48717948717962</v>
      </c>
      <c r="EK53" s="18">
        <f>EJ53*VLOOKUP('Données projet'!$B$15,Paramètres!$A$1:$I$89,3,0)*VLOOKUP('Données projet'!$B$15,Paramètres!$A$1:$I$89,5,0)</f>
        <v>265.99000000000018</v>
      </c>
      <c r="EL53" s="14">
        <f t="shared" si="45"/>
        <v>63.997506378840363</v>
      </c>
      <c r="EM53" s="22">
        <f t="shared" si="19"/>
        <v>574.72824027648051</v>
      </c>
      <c r="EN53" s="58">
        <f t="shared" si="20"/>
        <v>868.06157360981388</v>
      </c>
      <c r="EO53" s="58">
        <f ca="1">AVERAGE(OFFSET($EN$3,0,0,'Données projet'!$E$15+1,1))-AVERAGE(OFFSET($H$3,0,0,'Données projet'!$E$15+1,1))</f>
        <v>596.00698505207174</v>
      </c>
      <c r="EP53" s="58">
        <f t="shared" si="46"/>
        <v>378.16197659288338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28.846153846153847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14.668131868131875</v>
      </c>
      <c r="FE53" s="13">
        <f>IF('Données projet'!$A$218&gt;35,FE52+FD53-FM52,IF(A53&lt;'Données projet'!$A$218,$FB$205^A53,IF(A53='Données projet'!$A$218,'Données projet'!$B$218,FE52+FD53-FM52)))</f>
        <v>260.04505494505491</v>
      </c>
      <c r="FF53" s="18">
        <f>FE53*VLOOKUP('Données projet'!$B$16,Paramètres!$A$1:$I$89,3,0)*VLOOKUP('Données projet'!$B$16,Paramètres!$A$1:$I$89,5,0)</f>
        <v>121.7010857142857</v>
      </c>
      <c r="FG53" s="14">
        <f t="shared" si="47"/>
        <v>32.071423986344442</v>
      </c>
      <c r="FH53" s="22">
        <f t="shared" si="22"/>
        <v>267.82045439526416</v>
      </c>
      <c r="FI53" s="58">
        <f t="shared" si="23"/>
        <v>561.15378772859754</v>
      </c>
      <c r="FJ53" s="58">
        <f ca="1">AVERAGE(OFFSET($FI$3,0,0,'Données projet'!$E$16+1,1))-AVERAGE(OFFSET($H$3,0,0,'Données projet'!$E$16+1,1))</f>
        <v>294.31042006404056</v>
      </c>
      <c r="FK53" s="58">
        <f t="shared" si="48"/>
        <v>260.93767498478502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261.53846153846155</v>
      </c>
      <c r="FX53" s="13">
        <f>VLOOKUP(A53,'Données projet'!$A$243:$I$263,9,0)</f>
        <v>7.0512820512820555</v>
      </c>
      <c r="FY53" s="13">
        <f t="array" ref="FY53">INDEX(FX:FX,MIN(IF(ISNUMBER(FX53:FX249),ROW(FX53:FX249),"")))</f>
        <v>7.0512820512820555</v>
      </c>
      <c r="FZ53" s="13">
        <f>IF('Données projet'!$A$244&gt;35,FZ52+FY53-GH52,IF(A53&lt;'Données projet'!$A$244,$FW$205^A53,IF(A53='Données projet'!$A$244,'Données projet'!$B$244,FZ52+FY53-GH52)))</f>
        <v>261.5384615384616</v>
      </c>
      <c r="GA53" s="18">
        <f>FZ53*VLOOKUP('Données projet'!$B$17,Paramètres!$A$1:$I$89,3,0)*VLOOKUP('Données projet'!$B$17,Paramètres!$A$1:$I$89,5,0)</f>
        <v>175.44000000000003</v>
      </c>
      <c r="GB53" s="14">
        <f t="shared" si="49"/>
        <v>44.306160083661858</v>
      </c>
      <c r="GC53" s="22">
        <f t="shared" si="25"/>
        <v>382.72456214571116</v>
      </c>
      <c r="GD53" s="58">
        <f t="shared" si="26"/>
        <v>676.05789547904442</v>
      </c>
      <c r="GE53" s="58">
        <f ca="1">AVERAGE(OFFSET($GD$3,0,0,'Données projet'!$E$17+1,1))-AVERAGE(OFFSET($H$3,0,0,'Données projet'!$E$17+1,1))</f>
        <v>362.1372269575329</v>
      </c>
      <c r="GF53" s="58">
        <f t="shared" si="50"/>
        <v>308.1559670593121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36.53846153846154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58" t="e">
        <f t="shared" si="29"/>
        <v>#N/A</v>
      </c>
      <c r="GZ53" s="58" t="e">
        <f ca="1">AVERAGE(OFFSET($GY$3,0,0,'Données projet'!$E$18+1,1))-AVERAGE(OFFSET($H$3,0,0,'Données projet'!$E$18+1,1))</f>
        <v>#N/A</v>
      </c>
      <c r="HA53" s="58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0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3">
        <f t="shared" si="1"/>
        <v>256.66666666666669</v>
      </c>
      <c r="I54" s="6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188.60400000000001</v>
      </c>
      <c r="P54" s="14">
        <f t="shared" si="33"/>
        <v>47.231184731814224</v>
      </c>
      <c r="Q54" s="22">
        <f t="shared" si="53"/>
        <v>410.74628007457642</v>
      </c>
      <c r="R54" s="58">
        <f t="shared" si="0"/>
        <v>704.07961340790973</v>
      </c>
      <c r="S54" s="58">
        <f ca="1">AVERAGE(OFFSET($R$3,0,0,'Données projet'!$E$9+1,1))-AVERAGE(OFFSET($H$3,0,0,'Données projet'!$E$9+1,1))</f>
        <v>483.15009705023641</v>
      </c>
      <c r="T54" s="58">
        <f t="shared" si="34"/>
        <v>254.25036207346591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186</v>
      </c>
      <c r="AJ54" s="14">
        <f>AI54*VLOOKUP('Données projet'!$B$10,Paramètres!$A$1:$I$89,3,0)*VLOOKUP('Données projet'!$B$10,Paramètres!$A$1:$I$89,5,0)</f>
        <v>168.2928</v>
      </c>
      <c r="AK54" s="14">
        <f t="shared" si="35"/>
        <v>42.707443263135104</v>
      </c>
      <c r="AL54" s="22">
        <f t="shared" si="4"/>
        <v>367.49209034996028</v>
      </c>
      <c r="AM54" s="58">
        <f t="shared" si="5"/>
        <v>660.82542368329359</v>
      </c>
      <c r="AN54" s="58">
        <f ca="1">AVERAGE(OFFSET($AM$3,0,0,'Données projet'!$E$10+1,1))-AVERAGE(OFFSET($H$3,0,0,'Données projet'!$E$10+1,1))</f>
        <v>435.7095890216213</v>
      </c>
      <c r="AO54" s="58">
        <f t="shared" si="36"/>
        <v>231.36959598460686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</v>
      </c>
      <c r="BD54" s="13">
        <f>IF('Données projet'!$A$88&gt;35,BD53+BC54-BL53,IF(A54&lt;'Données projet'!$A$88,$BA$205^A54,IF(A54='Données projet'!$A$88,'Données projet'!$B$88,BD53+BC54-BL53)))</f>
        <v>131.92307692307682</v>
      </c>
      <c r="BE54" s="14">
        <f>BD54*VLOOKUP('Données projet'!$B$11,Paramètres!$A$1:$I$89,3,0)*VLOOKUP('Données projet'!$B$11,Paramètres!$A$1:$I$89,5,0)</f>
        <v>115.24799999999992</v>
      </c>
      <c r="BF54" s="14">
        <f t="shared" si="37"/>
        <v>30.564080498510936</v>
      </c>
      <c r="BG54" s="22">
        <f t="shared" si="7"/>
        <v>253.95604020157305</v>
      </c>
      <c r="BH54" s="58">
        <f t="shared" si="8"/>
        <v>547.28937353490642</v>
      </c>
      <c r="BI54" s="58">
        <f ca="1">AVERAGE(OFFSET($BH$3,0,0,'Données projet'!$E$11+1,1))-AVERAGE(OFFSET($H$3,0,0,'Données projet'!$E$11+1,1))</f>
        <v>218.76424742311815</v>
      </c>
      <c r="BJ54" s="58">
        <f t="shared" si="38"/>
        <v>264.34598683038593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1.5454973606567304</v>
      </c>
      <c r="BQ54" s="23">
        <f>EXP(-LN(2)/25)*BQ53+(1-EXP(-LN(2)/25))/(LN(2)/25)*Calculateur!BL54*Calculateur!BN54*VLOOKUP('Données projet'!$B$11,Paramètres!$A$1:$I$89,3,0)*0.475*44/12</f>
        <v>2.4382439924298227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3.9837413530865531</v>
      </c>
      <c r="BT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126.59999999999997</v>
      </c>
      <c r="BZ54" s="14">
        <f>BY54*VLOOKUP('Données projet'!$B$12,Paramètres!$A$1:$I$89,3,0)*VLOOKUP('Données projet'!$B$12,Paramètres!$A$1:$I$89,5,0)</f>
        <v>122.44751999999997</v>
      </c>
      <c r="CA54" s="14">
        <f t="shared" si="39"/>
        <v>32.245170611031256</v>
      </c>
      <c r="CB54" s="22">
        <f t="shared" si="10"/>
        <v>269.42310281421265</v>
      </c>
      <c r="CC54" s="58">
        <f t="shared" si="11"/>
        <v>562.75643614754597</v>
      </c>
      <c r="CD54" s="58">
        <f ca="1">AVERAGE(OFFSET($CC$3,0,0,'Données projet'!$E$12+1,1))-AVERAGE(OFFSET($H$3,0,0,'Données projet'!$E$12+1,1))</f>
        <v>343.86347628565426</v>
      </c>
      <c r="CE54" s="58">
        <f t="shared" si="40"/>
        <v>129.28196646107097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58" t="e">
        <f t="shared" si="14"/>
        <v>#N/A</v>
      </c>
      <c r="CY54" s="58" t="e">
        <f ca="1">AVERAGE(OFFSET($CX$3,0,0,'Données projet'!$E$13+1,1))-AVERAGE(OFFSET($H$3,0,0,'Données projet'!$E$13+1,1))</f>
        <v>#N/A</v>
      </c>
      <c r="CZ54" s="58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4.5454545454545467</v>
      </c>
      <c r="DO54" s="13">
        <f>IF('Données projet'!$A$166&gt;35,DO53+DN54-DW53,IF(A54&lt;'Données projet'!$A$166,$DL$205^A54,IF(A54='Données projet'!$A$166,'Données projet'!$B$166,DO53+DN54-DW53)))</f>
        <v>140.90909090909108</v>
      </c>
      <c r="DP54" s="18">
        <f>DO54*VLOOKUP('Données projet'!$B$14,Paramètres!$A$1:$I$89,3,0)*VLOOKUP('Données projet'!$B$14,Paramètres!$A$1:$I$89,5,0)</f>
        <v>134.08909090909106</v>
      </c>
      <c r="DQ54" s="14">
        <f t="shared" si="43"/>
        <v>34.939518370789969</v>
      </c>
      <c r="DR54" s="22">
        <f t="shared" si="16"/>
        <v>294.39149449579281</v>
      </c>
      <c r="DS54" s="58">
        <f t="shared" si="17"/>
        <v>587.72482782912607</v>
      </c>
      <c r="DT54" s="58">
        <f ca="1">AVERAGE(OFFSET($DS$3,0,0,'Données projet'!$E$14+1,1))-AVERAGE(OFFSET($H$3,0,0,'Données projet'!$E$14+1,1))</f>
        <v>332.49889399440514</v>
      </c>
      <c r="DU54" s="58">
        <f t="shared" si="44"/>
        <v>256.06044006790529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6.6666666666666625</v>
      </c>
      <c r="EJ54" s="13">
        <f>IF('Données projet'!$A$192&gt;35,EJ53+EI54-ER53,IF(A54&lt;'Données projet'!$A$192,$EG$205^A54,IF(A54='Données projet'!$A$192,'Données projet'!$B$192,EJ53+EI54-ER53)))</f>
        <v>232.30769230769246</v>
      </c>
      <c r="EK54" s="18">
        <f>EJ54*VLOOKUP('Données projet'!$B$15,Paramètres!$A$1:$I$89,3,0)*VLOOKUP('Données projet'!$B$15,Paramètres!$A$1:$I$89,5,0)</f>
        <v>242.80800000000019</v>
      </c>
      <c r="EL54" s="14">
        <f t="shared" si="45"/>
        <v>59.043275748041687</v>
      </c>
      <c r="EM54" s="22">
        <f t="shared" si="19"/>
        <v>525.72430526117284</v>
      </c>
      <c r="EN54" s="58">
        <f t="shared" si="20"/>
        <v>819.05763859450622</v>
      </c>
      <c r="EO54" s="58">
        <f ca="1">AVERAGE(OFFSET($EN$3,0,0,'Données projet'!$E$15+1,1))-AVERAGE(OFFSET($H$3,0,0,'Données projet'!$E$15+1,1))</f>
        <v>596.00698505207174</v>
      </c>
      <c r="EP54" s="58">
        <f t="shared" si="46"/>
        <v>378.16197659288338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14.668131868131875</v>
      </c>
      <c r="FE54" s="13">
        <f>IF('Données projet'!$A$218&gt;35,FE53+FD54-FM53,IF(A54&lt;'Données projet'!$A$218,$FB$205^A54,IF(A54='Données projet'!$A$218,'Données projet'!$B$218,FE53+FD54-FM53)))</f>
        <v>274.71318681318678</v>
      </c>
      <c r="FF54" s="18">
        <f>FE54*VLOOKUP('Données projet'!$B$16,Paramètres!$A$1:$I$89,3,0)*VLOOKUP('Données projet'!$B$16,Paramètres!$A$1:$I$89,5,0)</f>
        <v>128.5657714285714</v>
      </c>
      <c r="FG54" s="14">
        <f t="shared" si="47"/>
        <v>33.664737545838108</v>
      </c>
      <c r="FH54" s="22">
        <f t="shared" si="22"/>
        <v>282.55146979709656</v>
      </c>
      <c r="FI54" s="58">
        <f t="shared" si="23"/>
        <v>575.88480313042987</v>
      </c>
      <c r="FJ54" s="58">
        <f ca="1">AVERAGE(OFFSET($FI$3,0,0,'Données projet'!$E$16+1,1))-AVERAGE(OFFSET($H$3,0,0,'Données projet'!$E$16+1,1))</f>
        <v>294.31042006404056</v>
      </c>
      <c r="FK54" s="58">
        <f t="shared" si="48"/>
        <v>260.93767498478502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6.6666666666666625</v>
      </c>
      <c r="FZ54" s="13">
        <f>IF('Données projet'!$A$244&gt;35,FZ53+FY54-GH53,IF(A54&lt;'Données projet'!$A$244,$FW$205^A54,IF(A54='Données projet'!$A$244,'Données projet'!$B$244,FZ53+FY54-GH53)))</f>
        <v>231.66666666666674</v>
      </c>
      <c r="GA54" s="18">
        <f>FZ54*VLOOKUP('Données projet'!$B$17,Paramètres!$A$1:$I$89,3,0)*VLOOKUP('Données projet'!$B$17,Paramètres!$A$1:$I$89,5,0)</f>
        <v>155.40200000000007</v>
      </c>
      <c r="GB54" s="14">
        <f t="shared" si="49"/>
        <v>39.803670275990136</v>
      </c>
      <c r="GC54" s="22">
        <f t="shared" si="25"/>
        <v>339.98320906401625</v>
      </c>
      <c r="GD54" s="58">
        <f t="shared" si="26"/>
        <v>633.31654239734962</v>
      </c>
      <c r="GE54" s="58">
        <f ca="1">AVERAGE(OFFSET($GD$3,0,0,'Données projet'!$E$17+1,1))-AVERAGE(OFFSET($H$3,0,0,'Données projet'!$E$17+1,1))</f>
        <v>362.1372269575329</v>
      </c>
      <c r="GF54" s="58">
        <f t="shared" si="50"/>
        <v>308.1559670593121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58" t="e">
        <f t="shared" si="29"/>
        <v>#N/A</v>
      </c>
      <c r="GZ54" s="58" t="e">
        <f ca="1">AVERAGE(OFFSET($GY$3,0,0,'Données projet'!$E$18+1,1))-AVERAGE(OFFSET($H$3,0,0,'Données projet'!$E$18+1,1))</f>
        <v>#N/A</v>
      </c>
      <c r="HA54" s="58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0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3">
        <f t="shared" si="1"/>
        <v>256.66666666666669</v>
      </c>
      <c r="I55" s="6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196.71600000000001</v>
      </c>
      <c r="P55" s="14">
        <f t="shared" si="33"/>
        <v>49.021749959730009</v>
      </c>
      <c r="Q55" s="22">
        <f t="shared" si="53"/>
        <v>427.99324784652981</v>
      </c>
      <c r="R55" s="58">
        <f t="shared" si="0"/>
        <v>721.32658117986307</v>
      </c>
      <c r="S55" s="58">
        <f ca="1">AVERAGE(OFFSET($R$3,0,0,'Données projet'!$E$9+1,1))-AVERAGE(OFFSET($H$3,0,0,'Données projet'!$E$9+1,1))</f>
        <v>483.15009705023641</v>
      </c>
      <c r="T55" s="58">
        <f t="shared" si="34"/>
        <v>254.25036207346591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194</v>
      </c>
      <c r="AJ55" s="14">
        <f>AI55*VLOOKUP('Données projet'!$B$10,Paramètres!$A$1:$I$89,3,0)*VLOOKUP('Données projet'!$B$10,Paramètres!$A$1:$I$89,5,0)</f>
        <v>175.53120000000001</v>
      </c>
      <c r="AK55" s="14">
        <f t="shared" si="35"/>
        <v>44.326510481422488</v>
      </c>
      <c r="AL55" s="22">
        <f t="shared" si="4"/>
        <v>382.9188457551441</v>
      </c>
      <c r="AM55" s="58">
        <f t="shared" si="5"/>
        <v>676.25217908847742</v>
      </c>
      <c r="AN55" s="58">
        <f ca="1">AVERAGE(OFFSET($AM$3,0,0,'Données projet'!$E$10+1,1))-AVERAGE(OFFSET($H$3,0,0,'Données projet'!$E$10+1,1))</f>
        <v>435.7095890216213</v>
      </c>
      <c r="AO55" s="58">
        <f t="shared" si="36"/>
        <v>231.36959598460686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</v>
      </c>
      <c r="BD55" s="13">
        <f>IF('Données projet'!$A$88&gt;35,BD54+BC55-BL54,IF(A55&lt;'Données projet'!$A$88,$BA$205^A55,IF(A55='Données projet'!$A$88,'Données projet'!$B$88,BD54+BC55-BL54)))</f>
        <v>136.92307692307682</v>
      </c>
      <c r="BE55" s="14">
        <f>BD55*VLOOKUP('Données projet'!$B$11,Paramètres!$A$1:$I$89,3,0)*VLOOKUP('Données projet'!$B$11,Paramètres!$A$1:$I$89,5,0)</f>
        <v>119.61599999999993</v>
      </c>
      <c r="BF55" s="14">
        <f t="shared" si="37"/>
        <v>31.585420900252359</v>
      </c>
      <c r="BG55" s="22">
        <f t="shared" si="7"/>
        <v>263.34247473460607</v>
      </c>
      <c r="BH55" s="58">
        <f t="shared" si="8"/>
        <v>556.67580806793944</v>
      </c>
      <c r="BI55" s="58">
        <f ca="1">AVERAGE(OFFSET($BH$3,0,0,'Données projet'!$E$11+1,1))-AVERAGE(OFFSET($H$3,0,0,'Données projet'!$E$11+1,1))</f>
        <v>218.76424742311815</v>
      </c>
      <c r="BJ55" s="58">
        <f t="shared" si="38"/>
        <v>264.34598683038593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1.5151911000745619</v>
      </c>
      <c r="BQ55" s="23">
        <f>EXP(-LN(2)/25)*BQ54+(1-EXP(-LN(2)/25))/(LN(2)/25)*Calculateur!BL55*Calculateur!BN55*VLOOKUP('Données projet'!$B$11,Paramètres!$A$1:$I$89,3,0)*0.475*44/12</f>
        <v>2.3715700822351504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3.8867611823097121</v>
      </c>
      <c r="BT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132.19999999999996</v>
      </c>
      <c r="BZ55" s="14">
        <f>BY55*VLOOKUP('Données projet'!$B$12,Paramètres!$A$1:$I$89,3,0)*VLOOKUP('Données projet'!$B$12,Paramètres!$A$1:$I$89,5,0)</f>
        <v>127.86383999999995</v>
      </c>
      <c r="CA55" s="14">
        <f t="shared" si="39"/>
        <v>33.502280509335172</v>
      </c>
      <c r="CB55" s="22">
        <f t="shared" si="10"/>
        <v>281.04599322042532</v>
      </c>
      <c r="CC55" s="58">
        <f t="shared" si="11"/>
        <v>574.37932655375857</v>
      </c>
      <c r="CD55" s="58">
        <f ca="1">AVERAGE(OFFSET($CC$3,0,0,'Données projet'!$E$12+1,1))-AVERAGE(OFFSET($H$3,0,0,'Données projet'!$E$12+1,1))</f>
        <v>343.86347628565426</v>
      </c>
      <c r="CE55" s="58">
        <f t="shared" si="40"/>
        <v>129.28196646107097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58" t="e">
        <f t="shared" si="14"/>
        <v>#N/A</v>
      </c>
      <c r="CY55" s="58" t="e">
        <f ca="1">AVERAGE(OFFSET($CX$3,0,0,'Données projet'!$E$13+1,1))-AVERAGE(OFFSET($H$3,0,0,'Données projet'!$E$13+1,1))</f>
        <v>#N/A</v>
      </c>
      <c r="CZ55" s="58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4.5454545454545467</v>
      </c>
      <c r="DO55" s="13">
        <f>IF('Données projet'!$A$166&gt;35,DO54+DN55-DW54,IF(A55&lt;'Données projet'!$A$166,$DL$205^A55,IF(A55='Données projet'!$A$166,'Données projet'!$B$166,DO54+DN55-DW54)))</f>
        <v>145.45454545454561</v>
      </c>
      <c r="DP55" s="18">
        <f>DO55*VLOOKUP('Données projet'!$B$14,Paramètres!$A$1:$I$89,3,0)*VLOOKUP('Données projet'!$B$14,Paramètres!$A$1:$I$89,5,0)</f>
        <v>138.41454545454559</v>
      </c>
      <c r="DQ55" s="14">
        <f t="shared" si="43"/>
        <v>35.933559720147791</v>
      </c>
      <c r="DR55" s="22">
        <f t="shared" si="16"/>
        <v>303.65628317925763</v>
      </c>
      <c r="DS55" s="58">
        <f t="shared" si="17"/>
        <v>596.98961651259094</v>
      </c>
      <c r="DT55" s="58">
        <f ca="1">AVERAGE(OFFSET($DS$3,0,0,'Données projet'!$E$14+1,1))-AVERAGE(OFFSET($H$3,0,0,'Données projet'!$E$14+1,1))</f>
        <v>332.49889399440514</v>
      </c>
      <c r="DU55" s="58">
        <f t="shared" si="44"/>
        <v>256.06044006790529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6.6666666666666625</v>
      </c>
      <c r="EJ55" s="13">
        <f>IF('Données projet'!$A$192&gt;35,EJ54+EI55-ER54,IF(A55&lt;'Données projet'!$A$192,$EG$205^A55,IF(A55='Données projet'!$A$192,'Données projet'!$B$192,EJ54+EI55-ER54)))</f>
        <v>238.97435897435912</v>
      </c>
      <c r="EK55" s="18">
        <f>EJ55*VLOOKUP('Données projet'!$B$15,Paramètres!$A$1:$I$89,3,0)*VLOOKUP('Données projet'!$B$15,Paramètres!$A$1:$I$89,5,0)</f>
        <v>249.77600000000021</v>
      </c>
      <c r="EL55" s="14">
        <f t="shared" si="45"/>
        <v>60.537972121551782</v>
      </c>
      <c r="EM55" s="22">
        <f t="shared" si="19"/>
        <v>540.4635014450364</v>
      </c>
      <c r="EN55" s="58">
        <f t="shared" si="20"/>
        <v>833.79683477836966</v>
      </c>
      <c r="EO55" s="58">
        <f ca="1">AVERAGE(OFFSET($EN$3,0,0,'Données projet'!$E$15+1,1))-AVERAGE(OFFSET($H$3,0,0,'Données projet'!$E$15+1,1))</f>
        <v>596.00698505207174</v>
      </c>
      <c r="EP55" s="58">
        <f t="shared" si="46"/>
        <v>378.16197659288338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14.668131868131875</v>
      </c>
      <c r="FE55" s="13">
        <f>IF('Données projet'!$A$218&gt;35,FE54+FD55-FM54,IF(A55&lt;'Données projet'!$A$218,$FB$205^A55,IF(A55='Données projet'!$A$218,'Données projet'!$B$218,FE54+FD55-FM54)))</f>
        <v>289.38131868131865</v>
      </c>
      <c r="FF55" s="18">
        <f>FE55*VLOOKUP('Données projet'!$B$16,Paramètres!$A$1:$I$89,3,0)*VLOOKUP('Données projet'!$B$16,Paramètres!$A$1:$I$89,5,0)</f>
        <v>135.43045714285714</v>
      </c>
      <c r="FG55" s="14">
        <f t="shared" si="47"/>
        <v>35.248174253598229</v>
      </c>
      <c r="FH55" s="22">
        <f t="shared" si="22"/>
        <v>297.26528301549303</v>
      </c>
      <c r="FI55" s="58">
        <f t="shared" si="23"/>
        <v>590.59861634882634</v>
      </c>
      <c r="FJ55" s="58">
        <f ca="1">AVERAGE(OFFSET($FI$3,0,0,'Données projet'!$E$16+1,1))-AVERAGE(OFFSET($H$3,0,0,'Données projet'!$E$16+1,1))</f>
        <v>294.31042006404056</v>
      </c>
      <c r="FK55" s="58">
        <f t="shared" si="48"/>
        <v>260.93767498478502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6.6666666666666625</v>
      </c>
      <c r="FZ55" s="13">
        <f>IF('Données projet'!$A$244&gt;35,FZ54+FY55-GH54,IF(A55&lt;'Données projet'!$A$244,$FW$205^A55,IF(A55='Données projet'!$A$244,'Données projet'!$B$244,FZ54+FY55-GH54)))</f>
        <v>238.3333333333334</v>
      </c>
      <c r="GA55" s="18">
        <f>FZ55*VLOOKUP('Données projet'!$B$17,Paramètres!$A$1:$I$89,3,0)*VLOOKUP('Données projet'!$B$17,Paramètres!$A$1:$I$89,5,0)</f>
        <v>159.87400000000005</v>
      </c>
      <c r="GB55" s="14">
        <f t="shared" si="49"/>
        <v>40.81409445206225</v>
      </c>
      <c r="GC55" s="22">
        <f t="shared" si="25"/>
        <v>349.53176450400855</v>
      </c>
      <c r="GD55" s="58">
        <f t="shared" si="26"/>
        <v>642.86509783734186</v>
      </c>
      <c r="GE55" s="58">
        <f ca="1">AVERAGE(OFFSET($GD$3,0,0,'Données projet'!$E$17+1,1))-AVERAGE(OFFSET($H$3,0,0,'Données projet'!$E$17+1,1))</f>
        <v>362.1372269575329</v>
      </c>
      <c r="GF55" s="58">
        <f t="shared" si="50"/>
        <v>308.1559670593121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58" t="e">
        <f t="shared" si="29"/>
        <v>#N/A</v>
      </c>
      <c r="GZ55" s="58" t="e">
        <f ca="1">AVERAGE(OFFSET($GY$3,0,0,'Données projet'!$E$18+1,1))-AVERAGE(OFFSET($H$3,0,0,'Données projet'!$E$18+1,1))</f>
        <v>#N/A</v>
      </c>
      <c r="HA55" s="58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0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3">
        <f t="shared" si="1"/>
        <v>256.66666666666669</v>
      </c>
      <c r="I56" s="6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204.82800000000003</v>
      </c>
      <c r="P56" s="14">
        <f t="shared" si="33"/>
        <v>50.80373850176295</v>
      </c>
      <c r="Q56" s="22">
        <f t="shared" si="53"/>
        <v>445.22527789057045</v>
      </c>
      <c r="R56" s="58">
        <f t="shared" si="0"/>
        <v>738.55861122390377</v>
      </c>
      <c r="S56" s="58">
        <f ca="1">AVERAGE(OFFSET($R$3,0,0,'Données projet'!$E$9+1,1))-AVERAGE(OFFSET($H$3,0,0,'Données projet'!$E$9+1,1))</f>
        <v>483.15009705023641</v>
      </c>
      <c r="T56" s="58">
        <f t="shared" si="34"/>
        <v>254.25036207346591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202</v>
      </c>
      <c r="AJ56" s="14">
        <f>AI56*VLOOKUP('Données projet'!$B$10,Paramètres!$A$1:$I$89,3,0)*VLOOKUP('Données projet'!$B$10,Paramètres!$A$1:$I$89,5,0)</f>
        <v>182.7696</v>
      </c>
      <c r="AK56" s="14">
        <f t="shared" si="35"/>
        <v>45.937822477650357</v>
      </c>
      <c r="AL56" s="22">
        <f t="shared" si="4"/>
        <v>398.33209414857441</v>
      </c>
      <c r="AM56" s="58">
        <f t="shared" si="5"/>
        <v>691.66542748190773</v>
      </c>
      <c r="AN56" s="58">
        <f ca="1">AVERAGE(OFFSET($AM$3,0,0,'Données projet'!$E$10+1,1))-AVERAGE(OFFSET($H$3,0,0,'Données projet'!$E$10+1,1))</f>
        <v>435.7095890216213</v>
      </c>
      <c r="AO56" s="58">
        <f t="shared" si="36"/>
        <v>231.36959598460686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</v>
      </c>
      <c r="BD56" s="13">
        <f>IF('Données projet'!$A$88&gt;35,BD55+BC56-BL55,IF(A56&lt;'Données projet'!$A$88,$BA$205^A56,IF(A56='Données projet'!$A$88,'Données projet'!$B$88,BD55+BC56-BL55)))</f>
        <v>141.92307692307682</v>
      </c>
      <c r="BE56" s="14">
        <f>BD56*VLOOKUP('Données projet'!$B$11,Paramètres!$A$1:$I$89,3,0)*VLOOKUP('Données projet'!$B$11,Paramètres!$A$1:$I$89,5,0)</f>
        <v>123.98399999999992</v>
      </c>
      <c r="BF56" s="14">
        <f t="shared" si="37"/>
        <v>32.602428227636636</v>
      </c>
      <c r="BG56" s="22">
        <f t="shared" si="7"/>
        <v>272.72136249646695</v>
      </c>
      <c r="BH56" s="58">
        <f t="shared" si="8"/>
        <v>566.05469582980027</v>
      </c>
      <c r="BI56" s="58">
        <f ca="1">AVERAGE(OFFSET($BH$3,0,0,'Données projet'!$E$11+1,1))-AVERAGE(OFFSET($H$3,0,0,'Données projet'!$E$11+1,1))</f>
        <v>218.76424742311815</v>
      </c>
      <c r="BJ56" s="58">
        <f t="shared" si="38"/>
        <v>264.34598683038593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1.4854791267774161</v>
      </c>
      <c r="BQ56" s="23">
        <f>EXP(-LN(2)/25)*BQ55+(1-EXP(-LN(2)/25))/(LN(2)/25)*Calculateur!BL56*Calculateur!BN56*VLOOKUP('Données projet'!$B$11,Paramètres!$A$1:$I$89,3,0)*0.475*44/12</f>
        <v>2.3067193736209801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3.7921985003983965</v>
      </c>
      <c r="BT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137.79999999999995</v>
      </c>
      <c r="BZ56" s="14">
        <f>BY56*VLOOKUP('Données projet'!$B$12,Paramètres!$A$1:$I$89,3,0)*VLOOKUP('Données projet'!$B$12,Paramètres!$A$1:$I$89,5,0)</f>
        <v>133.28015999999994</v>
      </c>
      <c r="CA56" s="14">
        <f t="shared" si="39"/>
        <v>34.753205264839991</v>
      </c>
      <c r="CB56" s="22">
        <f t="shared" si="10"/>
        <v>292.65811116959617</v>
      </c>
      <c r="CC56" s="58">
        <f t="shared" si="11"/>
        <v>585.99144450292943</v>
      </c>
      <c r="CD56" s="58">
        <f ca="1">AVERAGE(OFFSET($CC$3,0,0,'Données projet'!$E$12+1,1))-AVERAGE(OFFSET($H$3,0,0,'Données projet'!$E$12+1,1))</f>
        <v>343.86347628565426</v>
      </c>
      <c r="CE56" s="58">
        <f t="shared" si="40"/>
        <v>129.28196646107097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58" t="e">
        <f t="shared" si="14"/>
        <v>#N/A</v>
      </c>
      <c r="CY56" s="58" t="e">
        <f ca="1">AVERAGE(OFFSET($CX$3,0,0,'Données projet'!$E$13+1,1))-AVERAGE(OFFSET($H$3,0,0,'Données projet'!$E$13+1,1))</f>
        <v>#N/A</v>
      </c>
      <c r="CZ56" s="58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4.5454545454545467</v>
      </c>
      <c r="DO56" s="13">
        <f>IF('Données projet'!$A$166&gt;35,DO55+DN56-DW55,IF(A56&lt;'Données projet'!$A$166,$DL$205^A56,IF(A56='Données projet'!$A$166,'Données projet'!$B$166,DO55+DN56-DW55)))</f>
        <v>150.00000000000017</v>
      </c>
      <c r="DP56" s="18">
        <f>DO56*VLOOKUP('Données projet'!$B$14,Paramètres!$A$1:$I$89,3,0)*VLOOKUP('Données projet'!$B$14,Paramètres!$A$1:$I$89,5,0)</f>
        <v>142.74000000000015</v>
      </c>
      <c r="DQ56" s="14">
        <f t="shared" si="43"/>
        <v>36.9239911916561</v>
      </c>
      <c r="DR56" s="22">
        <f t="shared" si="16"/>
        <v>312.91478465880124</v>
      </c>
      <c r="DS56" s="58">
        <f t="shared" si="17"/>
        <v>606.24811799213455</v>
      </c>
      <c r="DT56" s="58">
        <f ca="1">AVERAGE(OFFSET($DS$3,0,0,'Données projet'!$E$14+1,1))-AVERAGE(OFFSET($H$3,0,0,'Données projet'!$E$14+1,1))</f>
        <v>332.49889399440514</v>
      </c>
      <c r="DU56" s="58">
        <f t="shared" si="44"/>
        <v>256.06044006790529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6.6666666666666625</v>
      </c>
      <c r="EJ56" s="13">
        <f>IF('Données projet'!$A$192&gt;35,EJ55+EI56-ER55,IF(A56&lt;'Données projet'!$A$192,$EG$205^A56,IF(A56='Données projet'!$A$192,'Données projet'!$B$192,EJ55+EI56-ER55)))</f>
        <v>245.64102564102578</v>
      </c>
      <c r="EK56" s="18">
        <f>EJ56*VLOOKUP('Données projet'!$B$15,Paramètres!$A$1:$I$89,3,0)*VLOOKUP('Données projet'!$B$15,Paramètres!$A$1:$I$89,5,0)</f>
        <v>256.74400000000014</v>
      </c>
      <c r="EL56" s="14">
        <f t="shared" si="45"/>
        <v>62.027822109156943</v>
      </c>
      <c r="EM56" s="22">
        <f t="shared" si="19"/>
        <v>555.19425684011514</v>
      </c>
      <c r="EN56" s="58">
        <f t="shared" si="20"/>
        <v>848.52759017344852</v>
      </c>
      <c r="EO56" s="58">
        <f ca="1">AVERAGE(OFFSET($EN$3,0,0,'Données projet'!$E$15+1,1))-AVERAGE(OFFSET($H$3,0,0,'Données projet'!$E$15+1,1))</f>
        <v>596.00698505207174</v>
      </c>
      <c r="EP56" s="58">
        <f t="shared" si="46"/>
        <v>378.16197659288338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14.668131868131875</v>
      </c>
      <c r="FE56" s="13">
        <f>IF('Données projet'!$A$218&gt;35,FE55+FD56-FM55,IF(A56&lt;'Données projet'!$A$218,$FB$205^A56,IF(A56='Données projet'!$A$218,'Données projet'!$B$218,FE55+FD56-FM55)))</f>
        <v>304.04945054945051</v>
      </c>
      <c r="FF56" s="18">
        <f>FE56*VLOOKUP('Données projet'!$B$16,Paramètres!$A$1:$I$89,3,0)*VLOOKUP('Données projet'!$B$16,Paramètres!$A$1:$I$89,5,0)</f>
        <v>142.29514285714285</v>
      </c>
      <c r="FG56" s="14">
        <f t="shared" si="47"/>
        <v>36.822291864436032</v>
      </c>
      <c r="FH56" s="22">
        <f t="shared" si="22"/>
        <v>311.96286547341651</v>
      </c>
      <c r="FI56" s="58">
        <f t="shared" si="23"/>
        <v>605.29619880674977</v>
      </c>
      <c r="FJ56" s="58">
        <f ca="1">AVERAGE(OFFSET($FI$3,0,0,'Données projet'!$E$16+1,1))-AVERAGE(OFFSET($H$3,0,0,'Données projet'!$E$16+1,1))</f>
        <v>294.31042006404056</v>
      </c>
      <c r="FK56" s="58">
        <f t="shared" si="48"/>
        <v>260.93767498478502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6.6666666666666625</v>
      </c>
      <c r="FZ56" s="13">
        <f>IF('Données projet'!$A$244&gt;35,FZ55+FY56-GH55,IF(A56&lt;'Données projet'!$A$244,$FW$205^A56,IF(A56='Données projet'!$A$244,'Données projet'!$B$244,FZ55+FY56-GH55)))</f>
        <v>245.00000000000006</v>
      </c>
      <c r="GA56" s="18">
        <f>FZ56*VLOOKUP('Données projet'!$B$17,Paramètres!$A$1:$I$89,3,0)*VLOOKUP('Données projet'!$B$17,Paramètres!$A$1:$I$89,5,0)</f>
        <v>164.34600000000003</v>
      </c>
      <c r="GB56" s="14">
        <f t="shared" si="49"/>
        <v>41.821233640915146</v>
      </c>
      <c r="GC56" s="22">
        <f t="shared" si="25"/>
        <v>359.07459859126061</v>
      </c>
      <c r="GD56" s="58">
        <f t="shared" si="26"/>
        <v>652.40793192459387</v>
      </c>
      <c r="GE56" s="58">
        <f ca="1">AVERAGE(OFFSET($GD$3,0,0,'Données projet'!$E$17+1,1))-AVERAGE(OFFSET($H$3,0,0,'Données projet'!$E$17+1,1))</f>
        <v>362.1372269575329</v>
      </c>
      <c r="GF56" s="58">
        <f t="shared" si="50"/>
        <v>308.1559670593121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58" t="e">
        <f t="shared" si="29"/>
        <v>#N/A</v>
      </c>
      <c r="GZ56" s="58" t="e">
        <f ca="1">AVERAGE(OFFSET($GY$3,0,0,'Données projet'!$E$18+1,1))-AVERAGE(OFFSET($H$3,0,0,'Données projet'!$E$18+1,1))</f>
        <v>#N/A</v>
      </c>
      <c r="HA56" s="58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0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3">
        <f t="shared" si="1"/>
        <v>256.66666666666669</v>
      </c>
      <c r="I57" s="6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58">
        <f t="shared" si="0"/>
        <v>755.77636282582898</v>
      </c>
      <c r="S57" s="58">
        <f ca="1">AVERAGE(OFFSET($R$3,0,0,'Données projet'!$E$9+1,1))-AVERAGE(OFFSET($H$3,0,0,'Données projet'!$E$9+1,1))</f>
        <v>483.15009705023641</v>
      </c>
      <c r="T57" s="58">
        <f t="shared" si="34"/>
        <v>254.25036207346591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210</v>
      </c>
      <c r="AJ57" s="14">
        <f>AI57*VLOOKUP('Données projet'!$B$10,Paramètres!$A$1:$I$89,3,0)*VLOOKUP('Données projet'!$B$10,Paramètres!$A$1:$I$89,5,0)</f>
        <v>190.00800000000001</v>
      </c>
      <c r="AK57" s="14">
        <f t="shared" si="35"/>
        <v>47.541721533308163</v>
      </c>
      <c r="AL57" s="22">
        <f t="shared" si="4"/>
        <v>413.73243167051174</v>
      </c>
      <c r="AM57" s="58">
        <f t="shared" si="5"/>
        <v>707.06576500384506</v>
      </c>
      <c r="AN57" s="58">
        <f ca="1">AVERAGE(OFFSET($AM$3,0,0,'Données projet'!$E$10+1,1))-AVERAGE(OFFSET($H$3,0,0,'Données projet'!$E$10+1,1))</f>
        <v>435.7095890216213</v>
      </c>
      <c r="AO57" s="58">
        <f t="shared" si="36"/>
        <v>231.36959598460686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</v>
      </c>
      <c r="BD57" s="13">
        <f>IF('Données projet'!$A$88&gt;35,BD56+BC57-BL56,IF(A57&lt;'Données projet'!$A$88,$BA$205^A57,IF(A57='Données projet'!$A$88,'Données projet'!$B$88,BD56+BC57-BL56)))</f>
        <v>146.92307692307682</v>
      </c>
      <c r="BE57" s="14">
        <f>BD57*VLOOKUP('Données projet'!$B$11,Paramètres!$A$1:$I$89,3,0)*VLOOKUP('Données projet'!$B$11,Paramètres!$A$1:$I$89,5,0)</f>
        <v>128.35199999999992</v>
      </c>
      <c r="BF57" s="14">
        <f t="shared" si="37"/>
        <v>33.615272628122028</v>
      </c>
      <c r="BG57" s="22">
        <f t="shared" si="7"/>
        <v>282.09299982731238</v>
      </c>
      <c r="BH57" s="58">
        <f t="shared" si="8"/>
        <v>575.42633316064575</v>
      </c>
      <c r="BI57" s="58">
        <f ca="1">AVERAGE(OFFSET($BH$3,0,0,'Données projet'!$E$11+1,1))-AVERAGE(OFFSET($H$3,0,0,'Données projet'!$E$11+1,1))</f>
        <v>218.76424742311815</v>
      </c>
      <c r="BJ57" s="58">
        <f t="shared" si="38"/>
        <v>264.34598683038593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1.4563497871541131</v>
      </c>
      <c r="BQ57" s="23">
        <f>EXP(-LN(2)/25)*BQ56+(1-EXP(-LN(2)/25))/(LN(2)/25)*Calculateur!BL57*Calculateur!BN57*VLOOKUP('Données projet'!$B$11,Paramètres!$A$1:$I$89,3,0)*0.475*44/12</f>
        <v>2.2436420110442148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3.6999917981983277</v>
      </c>
      <c r="BT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143.39999999999995</v>
      </c>
      <c r="BZ57" s="14">
        <f>BY57*VLOOKUP('Données projet'!$B$12,Paramètres!$A$1:$I$89,3,0)*VLOOKUP('Données projet'!$B$12,Paramètres!$A$1:$I$89,5,0)</f>
        <v>138.69647999999995</v>
      </c>
      <c r="CA57" s="14">
        <f t="shared" si="39"/>
        <v>35.998224985436444</v>
      </c>
      <c r="CB57" s="22">
        <f t="shared" si="10"/>
        <v>304.25994451630169</v>
      </c>
      <c r="CC57" s="58">
        <f t="shared" si="11"/>
        <v>597.593277849635</v>
      </c>
      <c r="CD57" s="58">
        <f ca="1">AVERAGE(OFFSET($CC$3,0,0,'Données projet'!$E$12+1,1))-AVERAGE(OFFSET($H$3,0,0,'Données projet'!$E$12+1,1))</f>
        <v>343.86347628565426</v>
      </c>
      <c r="CE57" s="58">
        <f t="shared" si="40"/>
        <v>129.28196646107097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58" t="e">
        <f t="shared" si="14"/>
        <v>#N/A</v>
      </c>
      <c r="CY57" s="58" t="e">
        <f ca="1">AVERAGE(OFFSET($CX$3,0,0,'Données projet'!$E$13+1,1))-AVERAGE(OFFSET($H$3,0,0,'Données projet'!$E$13+1,1))</f>
        <v>#N/A</v>
      </c>
      <c r="CZ57" s="58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4.5454545454545467</v>
      </c>
      <c r="DO57" s="13">
        <f>IF('Données projet'!$A$166&gt;35,DO56+DN57-DW56,IF(A57&lt;'Données projet'!$A$166,$DL$205^A57,IF(A57='Données projet'!$A$166,'Données projet'!$B$166,DO56+DN57-DW56)))</f>
        <v>154.54545454545473</v>
      </c>
      <c r="DP57" s="18">
        <f>DO57*VLOOKUP('Données projet'!$B$14,Paramètres!$A$1:$I$89,3,0)*VLOOKUP('Données projet'!$B$14,Paramètres!$A$1:$I$89,5,0)</f>
        <v>147.06545454545471</v>
      </c>
      <c r="DQ57" s="14">
        <f t="shared" si="43"/>
        <v>37.910934731300735</v>
      </c>
      <c r="DR57" s="22">
        <f t="shared" si="16"/>
        <v>322.16721132368235</v>
      </c>
      <c r="DS57" s="58">
        <f t="shared" si="17"/>
        <v>615.50054465701567</v>
      </c>
      <c r="DT57" s="58">
        <f ca="1">AVERAGE(OFFSET($DS$3,0,0,'Données projet'!$E$14+1,1))-AVERAGE(OFFSET($H$3,0,0,'Données projet'!$E$14+1,1))</f>
        <v>332.49889399440514</v>
      </c>
      <c r="DU57" s="58">
        <f t="shared" si="44"/>
        <v>256.06044006790529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6.6666666666666625</v>
      </c>
      <c r="EJ57" s="13">
        <f>IF('Données projet'!$A$192&gt;35,EJ56+EI57-ER56,IF(A57&lt;'Données projet'!$A$192,$EG$205^A57,IF(A57='Données projet'!$A$192,'Données projet'!$B$192,EJ56+EI57-ER56)))</f>
        <v>252.30769230769243</v>
      </c>
      <c r="EK57" s="18">
        <f>EJ57*VLOOKUP('Données projet'!$B$15,Paramètres!$A$1:$I$89,3,0)*VLOOKUP('Données projet'!$B$15,Paramètres!$A$1:$I$89,5,0)</f>
        <v>263.71200000000016</v>
      </c>
      <c r="EL57" s="14">
        <f t="shared" si="45"/>
        <v>63.51297235605125</v>
      </c>
      <c r="EM57" s="22">
        <f t="shared" si="19"/>
        <v>569.9168268534562</v>
      </c>
      <c r="EN57" s="58">
        <f t="shared" si="20"/>
        <v>863.25016018678957</v>
      </c>
      <c r="EO57" s="58">
        <f ca="1">AVERAGE(OFFSET($EN$3,0,0,'Données projet'!$E$15+1,1))-AVERAGE(OFFSET($H$3,0,0,'Données projet'!$E$15+1,1))</f>
        <v>596.00698505207174</v>
      </c>
      <c r="EP57" s="58">
        <f t="shared" si="46"/>
        <v>378.16197659288338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14.668131868131875</v>
      </c>
      <c r="FE57" s="13">
        <f>IF('Données projet'!$A$218&gt;35,FE56+FD57-FM56,IF(A57&lt;'Données projet'!$A$218,$FB$205^A57,IF(A57='Données projet'!$A$218,'Données projet'!$B$218,FE56+FD57-FM56)))</f>
        <v>318.71758241758238</v>
      </c>
      <c r="FF57" s="18">
        <f>FE57*VLOOKUP('Données projet'!$B$16,Paramètres!$A$1:$I$89,3,0)*VLOOKUP('Données projet'!$B$16,Paramètres!$A$1:$I$89,5,0)</f>
        <v>149.15982857142853</v>
      </c>
      <c r="FG57" s="14">
        <f t="shared" si="47"/>
        <v>38.387591277502224</v>
      </c>
      <c r="FH57" s="22">
        <f t="shared" si="22"/>
        <v>326.64508957022105</v>
      </c>
      <c r="FI57" s="58">
        <f t="shared" si="23"/>
        <v>619.97842290355436</v>
      </c>
      <c r="FJ57" s="58">
        <f ca="1">AVERAGE(OFFSET($FI$3,0,0,'Données projet'!$E$16+1,1))-AVERAGE(OFFSET($H$3,0,0,'Données projet'!$E$16+1,1))</f>
        <v>294.31042006404056</v>
      </c>
      <c r="FK57" s="58">
        <f t="shared" si="48"/>
        <v>260.93767498478502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6.6666666666666625</v>
      </c>
      <c r="FZ57" s="13">
        <f>IF('Données projet'!$A$244&gt;35,FZ56+FY57-GH56,IF(A57&lt;'Données projet'!$A$244,$FW$205^A57,IF(A57='Données projet'!$A$244,'Données projet'!$B$244,FZ56+FY57-GH56)))</f>
        <v>251.66666666666671</v>
      </c>
      <c r="GA57" s="18">
        <f>FZ57*VLOOKUP('Données projet'!$B$17,Paramètres!$A$1:$I$89,3,0)*VLOOKUP('Données projet'!$B$17,Paramètres!$A$1:$I$89,5,0)</f>
        <v>168.81800000000004</v>
      </c>
      <c r="GB57" s="14">
        <f t="shared" si="49"/>
        <v>42.825187501685285</v>
      </c>
      <c r="GC57" s="22">
        <f t="shared" si="25"/>
        <v>368.61188489876866</v>
      </c>
      <c r="GD57" s="58">
        <f t="shared" si="26"/>
        <v>661.94521823210198</v>
      </c>
      <c r="GE57" s="58">
        <f ca="1">AVERAGE(OFFSET($GD$3,0,0,'Données projet'!$E$17+1,1))-AVERAGE(OFFSET($H$3,0,0,'Données projet'!$E$17+1,1))</f>
        <v>362.1372269575329</v>
      </c>
      <c r="GF57" s="58">
        <f t="shared" si="50"/>
        <v>308.1559670593121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58" t="e">
        <f t="shared" si="29"/>
        <v>#N/A</v>
      </c>
      <c r="GZ57" s="58" t="e">
        <f ca="1">AVERAGE(OFFSET($GY$3,0,0,'Données projet'!$E$18+1,1))-AVERAGE(OFFSET($H$3,0,0,'Données projet'!$E$18+1,1))</f>
        <v>#N/A</v>
      </c>
      <c r="HA57" s="58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0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3">
        <f t="shared" si="1"/>
        <v>256.66666666666669</v>
      </c>
      <c r="I58" s="6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221.05200000000002</v>
      </c>
      <c r="P58" s="14">
        <f t="shared" si="33"/>
        <v>54.343469202939254</v>
      </c>
      <c r="Q58" s="22">
        <f t="shared" si="53"/>
        <v>479.64710886178597</v>
      </c>
      <c r="R58" s="58">
        <f t="shared" si="0"/>
        <v>772.98044219511928</v>
      </c>
      <c r="S58" s="58">
        <f ca="1">AVERAGE(OFFSET($R$3,0,0,'Données projet'!$E$9+1,1))-AVERAGE(OFFSET($H$3,0,0,'Données projet'!$E$9+1,1))</f>
        <v>483.15009705023641</v>
      </c>
      <c r="T58" s="58">
        <f t="shared" si="34"/>
        <v>254.25036207346591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218</v>
      </c>
      <c r="AJ58" s="14">
        <f>AI58*VLOOKUP('Données projet'!$B$10,Paramètres!$A$1:$I$89,3,0)*VLOOKUP('Données projet'!$B$10,Paramètres!$A$1:$I$89,5,0)</f>
        <v>197.24639999999999</v>
      </c>
      <c r="AK58" s="14">
        <f t="shared" si="35"/>
        <v>49.138522374247202</v>
      </c>
      <c r="AL58" s="22">
        <f t="shared" si="4"/>
        <v>429.12040646848055</v>
      </c>
      <c r="AM58" s="58">
        <f t="shared" si="5"/>
        <v>722.45373980181387</v>
      </c>
      <c r="AN58" s="58">
        <f ca="1">AVERAGE(OFFSET($AM$3,0,0,'Données projet'!$E$10+1,1))-AVERAGE(OFFSET($H$3,0,0,'Données projet'!$E$10+1,1))</f>
        <v>435.7095890216213</v>
      </c>
      <c r="AO58" s="58">
        <f t="shared" si="36"/>
        <v>231.36959598460686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151.92307692307691</v>
      </c>
      <c r="BB58" s="13">
        <f>VLOOKUP(A58,'Données projet'!$A$87:$I$107,9,0)</f>
        <v>5</v>
      </c>
      <c r="BC58" s="13">
        <f t="array" ref="BC58">INDEX(BB:BB,MIN(IF(ISNUMBER(BB58:BB254),ROW(BB58:BB254),"")))</f>
        <v>5</v>
      </c>
      <c r="BD58" s="13">
        <f>IF('Données projet'!$A$88&gt;35,BD57+BC58-BL57,IF(A58&lt;'Données projet'!$A$88,$BA$205^A58,IF(A58='Données projet'!$A$88,'Données projet'!$B$88,BD57+BC58-BL57)))</f>
        <v>151.92307692307682</v>
      </c>
      <c r="BE58" s="14">
        <f>BD58*VLOOKUP('Données projet'!$B$11,Paramètres!$A$1:$I$89,3,0)*VLOOKUP('Données projet'!$B$11,Paramètres!$A$1:$I$89,5,0)</f>
        <v>132.71999999999991</v>
      </c>
      <c r="BF58" s="14">
        <f t="shared" si="37"/>
        <v>34.624112011504039</v>
      </c>
      <c r="BG58" s="22">
        <f t="shared" si="7"/>
        <v>291.45766175336939</v>
      </c>
      <c r="BH58" s="58">
        <f t="shared" si="8"/>
        <v>584.79099508670265</v>
      </c>
      <c r="BI58" s="58">
        <f ca="1">AVERAGE(OFFSET($BH$3,0,0,'Données projet'!$E$11+1,1))-AVERAGE(OFFSET($H$3,0,0,'Données projet'!$E$11+1,1))</f>
        <v>218.76424742311815</v>
      </c>
      <c r="BJ58" s="58">
        <f t="shared" si="38"/>
        <v>264.34598683038593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18.589743589743588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1.4277916561136803</v>
      </c>
      <c r="BQ58" s="23">
        <f>EXP(-LN(2)/25)*BQ57+(1-EXP(-LN(2)/25))/(LN(2)/25)*Calculateur!BL58*Calculateur!BN58*VLOOKUP('Données projet'!$B$11,Paramètres!$A$1:$I$89,3,0)*0.475*44/12</f>
        <v>2.1822895022642053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3.6100811583778856</v>
      </c>
      <c r="BT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149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148.99999999999994</v>
      </c>
      <c r="BZ58" s="14">
        <f>BY58*VLOOKUP('Données projet'!$B$12,Paramètres!$A$1:$I$89,3,0)*VLOOKUP('Données projet'!$B$12,Paramètres!$A$1:$I$89,5,0)</f>
        <v>144.11279999999996</v>
      </c>
      <c r="CA58" s="14">
        <f t="shared" si="39"/>
        <v>37.237596662992466</v>
      </c>
      <c r="CB58" s="22">
        <f t="shared" si="10"/>
        <v>315.85194085471181</v>
      </c>
      <c r="CC58" s="58">
        <f t="shared" si="11"/>
        <v>609.18527418804513</v>
      </c>
      <c r="CD58" s="58">
        <f ca="1">AVERAGE(OFFSET($CC$3,0,0,'Données projet'!$E$12+1,1))-AVERAGE(OFFSET($H$3,0,0,'Données projet'!$E$12+1,1))</f>
        <v>343.86347628565426</v>
      </c>
      <c r="CE58" s="58">
        <f t="shared" si="40"/>
        <v>129.28196646107097</v>
      </c>
      <c r="CF58" s="16">
        <f>IF(ISNA(VLOOKUP(A58,'Données projet'!$A$113:$I$133,3,0)),0,VLOOKUP(A58,'Données projet'!$A$113:$I$133,3,0))</f>
        <v>3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58" t="e">
        <f t="shared" si="14"/>
        <v>#N/A</v>
      </c>
      <c r="CY58" s="58" t="e">
        <f ca="1">AVERAGE(OFFSET($CX$3,0,0,'Données projet'!$E$13+1,1))-AVERAGE(OFFSET($H$3,0,0,'Données projet'!$E$13+1,1))</f>
        <v>#N/A</v>
      </c>
      <c r="CZ58" s="58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4.5454545454545467</v>
      </c>
      <c r="DO58" s="13">
        <f>IF('Données projet'!$A$166&gt;35,DO57+DN58-DW57,IF(A58&lt;'Données projet'!$A$166,$DL$205^A58,IF(A58='Données projet'!$A$166,'Données projet'!$B$166,DO57+DN58-DW57)))</f>
        <v>159.09090909090929</v>
      </c>
      <c r="DP58" s="18">
        <f>DO58*VLOOKUP('Données projet'!$B$14,Paramètres!$A$1:$I$89,3,0)*VLOOKUP('Données projet'!$B$14,Paramètres!$A$1:$I$89,5,0)</f>
        <v>151.39090909090928</v>
      </c>
      <c r="DQ58" s="14">
        <f t="shared" si="43"/>
        <v>38.894504703957416</v>
      </c>
      <c r="DR58" s="22">
        <f t="shared" si="16"/>
        <v>331.41376235939282</v>
      </c>
      <c r="DS58" s="58">
        <f t="shared" si="17"/>
        <v>624.74709569272613</v>
      </c>
      <c r="DT58" s="58">
        <f ca="1">AVERAGE(OFFSET($DS$3,0,0,'Données projet'!$E$14+1,1))-AVERAGE(OFFSET($H$3,0,0,'Données projet'!$E$14+1,1))</f>
        <v>332.49889399440514</v>
      </c>
      <c r="DU58" s="58">
        <f t="shared" si="44"/>
        <v>256.06044006790529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258.97435897435895</v>
      </c>
      <c r="EH58" s="13">
        <f>VLOOKUP(A58,'Données projet'!$A$191:$I$211,9,0)</f>
        <v>6.6666666666666625</v>
      </c>
      <c r="EI58" s="13">
        <f t="array" ref="EI58">INDEX(EH:EH,MIN(IF(ISNUMBER(EH58:EH254),ROW(EH58:EH254),"")))</f>
        <v>6.6666666666666625</v>
      </c>
      <c r="EJ58" s="13">
        <f>IF('Données projet'!$A$192&gt;35,EJ57+EI58-ER57,IF(A58&lt;'Données projet'!$A$192,$EG$205^A58,IF(A58='Données projet'!$A$192,'Données projet'!$B$192,EJ57+EI58-ER57)))</f>
        <v>258.97435897435912</v>
      </c>
      <c r="EK58" s="18">
        <f>EJ58*VLOOKUP('Données projet'!$B$15,Paramètres!$A$1:$I$89,3,0)*VLOOKUP('Données projet'!$B$15,Paramètres!$A$1:$I$89,5,0)</f>
        <v>270.68000000000018</v>
      </c>
      <c r="EL58" s="14">
        <f t="shared" si="45"/>
        <v>64.993561316583325</v>
      </c>
      <c r="EM58" s="22">
        <f t="shared" si="19"/>
        <v>584.63145262638295</v>
      </c>
      <c r="EN58" s="58">
        <f t="shared" si="20"/>
        <v>877.96478595971621</v>
      </c>
      <c r="EO58" s="58">
        <f ca="1">AVERAGE(OFFSET($EN$3,0,0,'Données projet'!$E$15+1,1))-AVERAGE(OFFSET($H$3,0,0,'Données projet'!$E$15+1,1))</f>
        <v>596.00698505207174</v>
      </c>
      <c r="EP58" s="58">
        <f t="shared" si="46"/>
        <v>378.16197659288338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14.668131868131875</v>
      </c>
      <c r="FE58" s="13">
        <f>IF('Données projet'!$A$218&gt;35,FE57+FD58-FM57,IF(A58&lt;'Données projet'!$A$218,$FB$205^A58,IF(A58='Données projet'!$A$218,'Données projet'!$B$218,FE57+FD58-FM57)))</f>
        <v>333.38571428571424</v>
      </c>
      <c r="FF58" s="18">
        <f>FE58*VLOOKUP('Données projet'!$B$16,Paramètres!$A$1:$I$89,3,0)*VLOOKUP('Données projet'!$B$16,Paramètres!$A$1:$I$89,5,0)</f>
        <v>156.02451428571428</v>
      </c>
      <c r="FG58" s="14">
        <f t="shared" si="47"/>
        <v>39.944524680961258</v>
      </c>
      <c r="FH58" s="22">
        <f t="shared" si="22"/>
        <v>341.31274286695981</v>
      </c>
      <c r="FI58" s="58">
        <f t="shared" si="23"/>
        <v>634.64607620029312</v>
      </c>
      <c r="FJ58" s="58">
        <f ca="1">AVERAGE(OFFSET($FI$3,0,0,'Données projet'!$E$16+1,1))-AVERAGE(OFFSET($H$3,0,0,'Données projet'!$E$16+1,1))</f>
        <v>294.31042006404056</v>
      </c>
      <c r="FK58" s="58">
        <f t="shared" si="48"/>
        <v>260.93767498478502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258.33333333333331</v>
      </c>
      <c r="FX58" s="13">
        <f>VLOOKUP(A58,'Données projet'!$A$243:$I$263,9,0)</f>
        <v>6.6666666666666625</v>
      </c>
      <c r="FY58" s="13">
        <f t="array" ref="FY58">INDEX(FX:FX,MIN(IF(ISNUMBER(FX58:FX254),ROW(FX58:FX254),"")))</f>
        <v>6.6666666666666625</v>
      </c>
      <c r="FZ58" s="13">
        <f>IF('Données projet'!$A$244&gt;35,FZ57+FY58-GH57,IF(A58&lt;'Données projet'!$A$244,$FW$205^A58,IF(A58='Données projet'!$A$244,'Données projet'!$B$244,FZ57+FY58-GH57)))</f>
        <v>258.33333333333337</v>
      </c>
      <c r="GA58" s="18">
        <f>FZ58*VLOOKUP('Données projet'!$B$17,Paramètres!$A$1:$I$89,3,0)*VLOOKUP('Données projet'!$B$17,Paramètres!$A$1:$I$89,5,0)</f>
        <v>173.29000000000002</v>
      </c>
      <c r="GB58" s="14">
        <f t="shared" si="49"/>
        <v>43.826050112896048</v>
      </c>
      <c r="GC58" s="22">
        <f t="shared" si="25"/>
        <v>378.14378727996063</v>
      </c>
      <c r="GD58" s="58">
        <f t="shared" si="26"/>
        <v>671.47712061329389</v>
      </c>
      <c r="GE58" s="58">
        <f ca="1">AVERAGE(OFFSET($GD$3,0,0,'Données projet'!$E$17+1,1))-AVERAGE(OFFSET($H$3,0,0,'Données projet'!$E$17+1,1))</f>
        <v>362.1372269575329</v>
      </c>
      <c r="GF58" s="58">
        <f t="shared" si="50"/>
        <v>308.1559670593121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58" t="e">
        <f t="shared" si="29"/>
        <v>#N/A</v>
      </c>
      <c r="GZ58" s="58" t="e">
        <f ca="1">AVERAGE(OFFSET($GY$3,0,0,'Données projet'!$E$18+1,1))-AVERAGE(OFFSET($H$3,0,0,'Données projet'!$E$18+1,1))</f>
        <v>#N/A</v>
      </c>
      <c r="HA58" s="58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0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3">
        <f t="shared" si="1"/>
        <v>256.66666666666669</v>
      </c>
      <c r="I59" s="6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186.1704</v>
      </c>
      <c r="P59" s="14">
        <f t="shared" si="33"/>
        <v>46.692281933796018</v>
      </c>
      <c r="Q59" s="22">
        <f t="shared" si="53"/>
        <v>405.56917103469476</v>
      </c>
      <c r="R59" s="58">
        <f t="shared" si="0"/>
        <v>698.90250436802808</v>
      </c>
      <c r="S59" s="58">
        <f ca="1">AVERAGE(OFFSET($R$3,0,0,'Données projet'!$E$9+1,1))-AVERAGE(OFFSET($H$3,0,0,'Données projet'!$E$9+1,1))</f>
        <v>483.15009705023641</v>
      </c>
      <c r="T59" s="58">
        <f t="shared" si="34"/>
        <v>254.25036207346591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58">
        <f t="shared" si="5"/>
        <v>656.19466748139871</v>
      </c>
      <c r="AN59" s="58">
        <f ca="1">AVERAGE(OFFSET($AM$3,0,0,'Données projet'!$E$10+1,1))-AVERAGE(OFFSET($H$3,0,0,'Données projet'!$E$10+1,1))</f>
        <v>435.7095890216213</v>
      </c>
      <c r="AO59" s="58">
        <f t="shared" si="36"/>
        <v>231.36959598460686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4.3589743589743595</v>
      </c>
      <c r="BD59" s="13">
        <f>IF('Données projet'!$A$88&gt;35,BD58+BC59-BL58,IF(A59&lt;'Données projet'!$A$88,$BA$205^A59,IF(A59='Données projet'!$A$88,'Données projet'!$B$88,BD58+BC59-BL58)))</f>
        <v>137.69230769230759</v>
      </c>
      <c r="BE59" s="14">
        <f>BD59*VLOOKUP('Données projet'!$B$11,Paramètres!$A$1:$I$89,3,0)*VLOOKUP('Données projet'!$B$11,Paramètres!$A$1:$I$89,5,0)</f>
        <v>120.28799999999993</v>
      </c>
      <c r="BF59" s="14">
        <f t="shared" si="37"/>
        <v>31.742161190512117</v>
      </c>
      <c r="BG59" s="22">
        <f t="shared" si="7"/>
        <v>264.78586407347512</v>
      </c>
      <c r="BH59" s="58">
        <f t="shared" si="8"/>
        <v>558.11919740680844</v>
      </c>
      <c r="BI59" s="58">
        <f ca="1">AVERAGE(OFFSET($BH$3,0,0,'Données projet'!$E$11+1,1))-AVERAGE(OFFSET($H$3,0,0,'Données projet'!$E$11+1,1))</f>
        <v>218.76424742311815</v>
      </c>
      <c r="BJ59" s="58">
        <f t="shared" si="38"/>
        <v>264.34598683038593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1.3997935326042104</v>
      </c>
      <c r="BQ59" s="23">
        <f>EXP(-LN(2)/25)*BQ58+(1-EXP(-LN(2)/25))/(LN(2)/25)*Calculateur!BL59*Calculateur!BN59*VLOOKUP('Données projet'!$B$11,Paramètres!$A$1:$I$89,3,0)*0.475*44/12</f>
        <v>2.1226146810631734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3.5224082136673838</v>
      </c>
      <c r="BT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5.4</v>
      </c>
      <c r="BY59" s="13">
        <f>IF('Données projet'!$A$114&gt;35,BY58+BX59-CG58,IF(A59&lt;'Données projet'!$A$114,$BV$205^A59,IF(A59='Données projet'!$A$114,'Données projet'!$B$114,BY58+BX59-CG58)))</f>
        <v>126.39999999999995</v>
      </c>
      <c r="BZ59" s="14">
        <f>BY59*VLOOKUP('Données projet'!$B$12,Paramètres!$A$1:$I$89,3,0)*VLOOKUP('Données projet'!$B$12,Paramètres!$A$1:$I$89,5,0)</f>
        <v>122.25407999999995</v>
      </c>
      <c r="CA59" s="14">
        <f t="shared" si="39"/>
        <v>32.20015567592624</v>
      </c>
      <c r="CB59" s="22">
        <f t="shared" si="10"/>
        <v>269.0077938022381</v>
      </c>
      <c r="CC59" s="58">
        <f t="shared" si="11"/>
        <v>562.34112713557147</v>
      </c>
      <c r="CD59" s="58">
        <f ca="1">AVERAGE(OFFSET($CC$3,0,0,'Données projet'!$E$12+1,1))-AVERAGE(OFFSET($H$3,0,0,'Données projet'!$E$12+1,1))</f>
        <v>343.86347628565426</v>
      </c>
      <c r="CE59" s="58">
        <f t="shared" si="40"/>
        <v>129.28196646107097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58" t="e">
        <f t="shared" si="14"/>
        <v>#N/A</v>
      </c>
      <c r="CY59" s="58" t="e">
        <f ca="1">AVERAGE(OFFSET($CX$3,0,0,'Données projet'!$E$13+1,1))-AVERAGE(OFFSET($H$3,0,0,'Données projet'!$E$13+1,1))</f>
        <v>#N/A</v>
      </c>
      <c r="CZ59" s="58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4.5454545454545467</v>
      </c>
      <c r="DO59" s="13">
        <f>IF('Données projet'!$A$166&gt;35,DO58+DN59-DW58,IF(A59&lt;'Données projet'!$A$166,$DL$205^A59,IF(A59='Données projet'!$A$166,'Données projet'!$B$166,DO58+DN59-DW58)))</f>
        <v>163.63636363636385</v>
      </c>
      <c r="DP59" s="18">
        <f>DO59*VLOOKUP('Données projet'!$B$14,Paramètres!$A$1:$I$89,3,0)*VLOOKUP('Données projet'!$B$14,Paramètres!$A$1:$I$89,5,0)</f>
        <v>155.71636363636387</v>
      </c>
      <c r="DQ59" s="14">
        <f t="shared" si="43"/>
        <v>39.874808567664523</v>
      </c>
      <c r="DR59" s="22">
        <f t="shared" si="16"/>
        <v>340.65462492201613</v>
      </c>
      <c r="DS59" s="58">
        <f t="shared" si="17"/>
        <v>633.98795825534944</v>
      </c>
      <c r="DT59" s="58">
        <f ca="1">AVERAGE(OFFSET($DS$3,0,0,'Données projet'!$E$14+1,1))-AVERAGE(OFFSET($H$3,0,0,'Données projet'!$E$14+1,1))</f>
        <v>332.49889399440514</v>
      </c>
      <c r="DU59" s="58">
        <f t="shared" si="44"/>
        <v>256.06044006790529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6.4102564102564088</v>
      </c>
      <c r="EJ59" s="13">
        <f>IF('Données projet'!$A$192&gt;35,EJ58+EI59-ER58,IF(A59&lt;'Données projet'!$A$192,$EG$205^A59,IF(A59='Données projet'!$A$192,'Données projet'!$B$192,EJ58+EI59-ER58)))</f>
        <v>265.38461538461553</v>
      </c>
      <c r="EK59" s="18">
        <f>EJ59*VLOOKUP('Données projet'!$B$15,Paramètres!$A$1:$I$89,3,0)*VLOOKUP('Données projet'!$B$15,Paramètres!$A$1:$I$89,5,0)</f>
        <v>277.38000000000017</v>
      </c>
      <c r="EL59" s="14">
        <f t="shared" si="45"/>
        <v>66.413024982910088</v>
      </c>
      <c r="EM59" s="22">
        <f t="shared" si="19"/>
        <v>598.77285184523532</v>
      </c>
      <c r="EN59" s="58">
        <f t="shared" si="20"/>
        <v>892.10618517856869</v>
      </c>
      <c r="EO59" s="58">
        <f ca="1">AVERAGE(OFFSET($EN$3,0,0,'Données projet'!$E$15+1,1))-AVERAGE(OFFSET($H$3,0,0,'Données projet'!$E$15+1,1))</f>
        <v>596.00698505207174</v>
      </c>
      <c r="EP59" s="58">
        <f t="shared" si="46"/>
        <v>378.16197659288338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>
        <f>VLOOKUP(A59,'Données projet'!$A$217:$I$237,2,0)</f>
        <v>348.05384615384617</v>
      </c>
      <c r="FC59" s="13">
        <f>VLOOKUP(A59,'Données projet'!$A$217:$I$237,9,0)</f>
        <v>14.668131868131875</v>
      </c>
      <c r="FD59" s="13">
        <f t="array" ref="FD59">INDEX(FC:FC,MIN(IF(ISNUMBER(FC59:FC255),ROW(FC59:FC255),"")))</f>
        <v>14.668131868131875</v>
      </c>
      <c r="FE59" s="13">
        <f>IF('Données projet'!$A$218&gt;35,FE58+FD59-FM58,IF(A59&lt;'Données projet'!$A$218,$FB$205^A59,IF(A59='Données projet'!$A$218,'Données projet'!$B$218,FE58+FD59-FM58)))</f>
        <v>348.05384615384611</v>
      </c>
      <c r="FF59" s="18">
        <f>FE59*VLOOKUP('Données projet'!$B$16,Paramètres!$A$1:$I$89,3,0)*VLOOKUP('Données projet'!$B$16,Paramètres!$A$1:$I$89,5,0)</f>
        <v>162.88919999999999</v>
      </c>
      <c r="FG59" s="14">
        <f t="shared" si="47"/>
        <v>41.493502222820894</v>
      </c>
      <c r="FH59" s="22">
        <f t="shared" si="22"/>
        <v>355.96653970474637</v>
      </c>
      <c r="FI59" s="58">
        <f t="shared" si="23"/>
        <v>649.29987303807968</v>
      </c>
      <c r="FJ59" s="58">
        <f ca="1">AVERAGE(OFFSET($FI$3,0,0,'Données projet'!$E$16+1,1))-AVERAGE(OFFSET($H$3,0,0,'Données projet'!$E$16+1,1))</f>
        <v>294.31042006404056</v>
      </c>
      <c r="FK59" s="58">
        <f t="shared" si="48"/>
        <v>260.93767498478502</v>
      </c>
      <c r="FL59" s="16">
        <f>IF(ISNA(VLOOKUP(A59,'Données projet'!$A$217:$I$237,3,0)),0,VLOOKUP(A59,'Données projet'!$A$217:$I$237,3,0))</f>
        <v>3</v>
      </c>
      <c r="FM59" s="16">
        <f>IF(ISNA(VLOOKUP(A59,'Données projet'!$A$217:$I$237,4,0)),0,VLOOKUP(A59,'Données projet'!$A$217:$I$237,4,0))</f>
        <v>72.769230769230759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6.1538461538461551</v>
      </c>
      <c r="FZ59" s="13">
        <f>IF('Données projet'!$A$244&gt;35,FZ58+FY59-GH58,IF(A59&lt;'Données projet'!$A$244,$FW$205^A59,IF(A59='Données projet'!$A$244,'Données projet'!$B$244,FZ58+FY59-GH58)))</f>
        <v>264.4871794871795</v>
      </c>
      <c r="GA59" s="18">
        <f>FZ59*VLOOKUP('Données projet'!$B$17,Paramètres!$A$1:$I$89,3,0)*VLOOKUP('Données projet'!$B$17,Paramètres!$A$1:$I$89,5,0)</f>
        <v>177.41800000000001</v>
      </c>
      <c r="GB59" s="14">
        <f t="shared" si="49"/>
        <v>44.747256581968642</v>
      </c>
      <c r="GC59" s="22">
        <f t="shared" si="25"/>
        <v>386.93782188026211</v>
      </c>
      <c r="GD59" s="58">
        <f t="shared" si="26"/>
        <v>680.27115521359542</v>
      </c>
      <c r="GE59" s="58">
        <f ca="1">AVERAGE(OFFSET($GD$3,0,0,'Données projet'!$E$17+1,1))-AVERAGE(OFFSET($H$3,0,0,'Données projet'!$E$17+1,1))</f>
        <v>362.1372269575329</v>
      </c>
      <c r="GF59" s="58">
        <f t="shared" si="50"/>
        <v>308.1559670593121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58" t="e">
        <f t="shared" si="29"/>
        <v>#N/A</v>
      </c>
      <c r="GZ59" s="58" t="e">
        <f ca="1">AVERAGE(OFFSET($GY$3,0,0,'Données projet'!$E$18+1,1))-AVERAGE(OFFSET($H$3,0,0,'Données projet'!$E$18+1,1))</f>
        <v>#N/A</v>
      </c>
      <c r="HA59" s="58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0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3">
        <f t="shared" si="1"/>
        <v>256.66666666666669</v>
      </c>
      <c r="I60" s="6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193.8768</v>
      </c>
      <c r="P60" s="14">
        <f t="shared" si="33"/>
        <v>48.396048099527611</v>
      </c>
      <c r="Q60" s="22">
        <f t="shared" si="53"/>
        <v>421.95854377334393</v>
      </c>
      <c r="R60" s="58">
        <f t="shared" si="0"/>
        <v>715.29187710667725</v>
      </c>
      <c r="S60" s="58">
        <f ca="1">AVERAGE(OFFSET($R$3,0,0,'Données projet'!$E$9+1,1))-AVERAGE(OFFSET($H$3,0,0,'Données projet'!$E$9+1,1))</f>
        <v>483.15009705023641</v>
      </c>
      <c r="T60" s="58">
        <f t="shared" si="34"/>
        <v>254.25036207346591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58">
        <f t="shared" si="5"/>
        <v>670.85438320142657</v>
      </c>
      <c r="AN60" s="58">
        <f ca="1">AVERAGE(OFFSET($AM$3,0,0,'Données projet'!$E$10+1,1))-AVERAGE(OFFSET($H$3,0,0,'Données projet'!$E$10+1,1))</f>
        <v>435.7095890216213</v>
      </c>
      <c r="AO60" s="58">
        <f t="shared" si="36"/>
        <v>231.36959598460686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4.3589743589743595</v>
      </c>
      <c r="BD60" s="13">
        <f>IF('Données projet'!$A$88&gt;35,BD59+BC60-BL59,IF(A60&lt;'Données projet'!$A$88,$BA$205^A60,IF(A60='Données projet'!$A$88,'Données projet'!$B$88,BD59+BC60-BL59)))</f>
        <v>142.05128205128196</v>
      </c>
      <c r="BE60" s="14">
        <f>BD60*VLOOKUP('Données projet'!$B$11,Paramètres!$A$1:$I$89,3,0)*VLOOKUP('Données projet'!$B$11,Paramètres!$A$1:$I$89,5,0)</f>
        <v>124.09599999999995</v>
      </c>
      <c r="BF60" s="14">
        <f t="shared" si="37"/>
        <v>32.628449900220097</v>
      </c>
      <c r="BG60" s="22">
        <f t="shared" si="7"/>
        <v>272.96175024288323</v>
      </c>
      <c r="BH60" s="58">
        <f t="shared" si="8"/>
        <v>566.29508357621648</v>
      </c>
      <c r="BI60" s="58">
        <f ca="1">AVERAGE(OFFSET($BH$3,0,0,'Données projet'!$E$11+1,1))-AVERAGE(OFFSET($H$3,0,0,'Données projet'!$E$11+1,1))</f>
        <v>218.76424742311815</v>
      </c>
      <c r="BJ60" s="58">
        <f t="shared" si="38"/>
        <v>264.34598683038593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1.3723444352195919</v>
      </c>
      <c r="BQ60" s="23">
        <f>EXP(-LN(2)/25)*BQ59+(1-EXP(-LN(2)/25))/(LN(2)/25)*Calculateur!BL60*Calculateur!BN60*VLOOKUP('Données projet'!$B$11,Paramètres!$A$1:$I$89,3,0)*0.475*44/12</f>
        <v>2.0645716709860462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3.4369161062056381</v>
      </c>
      <c r="BT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5.4</v>
      </c>
      <c r="BY60" s="13">
        <f>IF('Données projet'!$A$114&gt;35,BY59+BX60-CG59,IF(A60&lt;'Données projet'!$A$114,$BV$205^A60,IF(A60='Données projet'!$A$114,'Données projet'!$B$114,BY59+BX60-CG59)))</f>
        <v>131.79999999999995</v>
      </c>
      <c r="BZ60" s="14">
        <f>BY60*VLOOKUP('Données projet'!$B$12,Paramètres!$A$1:$I$89,3,0)*VLOOKUP('Données projet'!$B$12,Paramètres!$A$1:$I$89,5,0)</f>
        <v>127.47695999999995</v>
      </c>
      <c r="CA60" s="14">
        <f t="shared" si="39"/>
        <v>33.412695535466739</v>
      </c>
      <c r="CB60" s="22">
        <f t="shared" si="10"/>
        <v>280.21615005760447</v>
      </c>
      <c r="CC60" s="58">
        <f t="shared" si="11"/>
        <v>573.54948339093778</v>
      </c>
      <c r="CD60" s="58">
        <f ca="1">AVERAGE(OFFSET($CC$3,0,0,'Données projet'!$E$12+1,1))-AVERAGE(OFFSET($H$3,0,0,'Données projet'!$E$12+1,1))</f>
        <v>343.86347628565426</v>
      </c>
      <c r="CE60" s="58">
        <f t="shared" si="40"/>
        <v>129.28196646107097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58" t="e">
        <f t="shared" si="14"/>
        <v>#N/A</v>
      </c>
      <c r="CY60" s="58" t="e">
        <f ca="1">AVERAGE(OFFSET($CX$3,0,0,'Données projet'!$E$13+1,1))-AVERAGE(OFFSET($H$3,0,0,'Données projet'!$E$13+1,1))</f>
        <v>#N/A</v>
      </c>
      <c r="CZ60" s="58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4.5454545454545467</v>
      </c>
      <c r="DO60" s="13">
        <f>IF('Données projet'!$A$166&gt;35,DO59+DN60-DW59,IF(A60&lt;'Données projet'!$A$166,$DL$205^A60,IF(A60='Données projet'!$A$166,'Données projet'!$B$166,DO59+DN60-DW59)))</f>
        <v>168.18181818181841</v>
      </c>
      <c r="DP60" s="18">
        <f>DO60*VLOOKUP('Données projet'!$B$14,Paramètres!$A$1:$I$89,3,0)*VLOOKUP('Données projet'!$B$14,Paramètres!$A$1:$I$89,5,0)</f>
        <v>160.0418181818184</v>
      </c>
      <c r="DQ60" s="14">
        <f t="shared" si="43"/>
        <v>40.851947470870677</v>
      </c>
      <c r="DR60" s="22">
        <f t="shared" si="16"/>
        <v>349.88997517843342</v>
      </c>
      <c r="DS60" s="58">
        <f t="shared" si="17"/>
        <v>643.22330851176673</v>
      </c>
      <c r="DT60" s="58">
        <f ca="1">AVERAGE(OFFSET($DS$3,0,0,'Données projet'!$E$14+1,1))-AVERAGE(OFFSET($H$3,0,0,'Données projet'!$E$14+1,1))</f>
        <v>332.49889399440514</v>
      </c>
      <c r="DU60" s="58">
        <f t="shared" si="44"/>
        <v>256.06044006790529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6.4102564102564088</v>
      </c>
      <c r="EJ60" s="13">
        <f>IF('Données projet'!$A$192&gt;35,EJ59+EI60-ER59,IF(A60&lt;'Données projet'!$A$192,$EG$205^A60,IF(A60='Données projet'!$A$192,'Données projet'!$B$192,EJ59+EI60-ER59)))</f>
        <v>271.79487179487194</v>
      </c>
      <c r="EK60" s="18">
        <f>EJ60*VLOOKUP('Données projet'!$B$15,Paramètres!$A$1:$I$89,3,0)*VLOOKUP('Données projet'!$B$15,Paramètres!$A$1:$I$89,5,0)</f>
        <v>284.08000000000015</v>
      </c>
      <c r="EL60" s="14">
        <f t="shared" si="45"/>
        <v>67.828502889024321</v>
      </c>
      <c r="EM60" s="22">
        <f t="shared" si="19"/>
        <v>612.90730919838427</v>
      </c>
      <c r="EN60" s="58">
        <f t="shared" si="20"/>
        <v>906.24064253171764</v>
      </c>
      <c r="EO60" s="58">
        <f ca="1">AVERAGE(OFFSET($EN$3,0,0,'Données projet'!$E$15+1,1))-AVERAGE(OFFSET($H$3,0,0,'Données projet'!$E$15+1,1))</f>
        <v>596.00698505207174</v>
      </c>
      <c r="EP60" s="58">
        <f t="shared" si="46"/>
        <v>378.16197659288338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14.270329670329668</v>
      </c>
      <c r="FE60" s="13">
        <f>IF('Données projet'!$A$218&gt;35,FE59+FD60-FM59,IF(A60&lt;'Données projet'!$A$218,$FB$205^A60,IF(A60='Données projet'!$A$218,'Données projet'!$B$218,FE59+FD60-FM59)))</f>
        <v>289.55494505494499</v>
      </c>
      <c r="FF60" s="18">
        <f>FE60*VLOOKUP('Données projet'!$B$16,Paramètres!$A$1:$I$89,3,0)*VLOOKUP('Données projet'!$B$16,Paramètres!$A$1:$I$89,5,0)</f>
        <v>135.51171428571428</v>
      </c>
      <c r="FG60" s="14">
        <f t="shared" si="47"/>
        <v>35.26686051307076</v>
      </c>
      <c r="FH60" s="22">
        <f t="shared" si="22"/>
        <v>297.43935110788397</v>
      </c>
      <c r="FI60" s="58">
        <f t="shared" si="23"/>
        <v>590.77268444121728</v>
      </c>
      <c r="FJ60" s="58">
        <f ca="1">AVERAGE(OFFSET($FI$3,0,0,'Données projet'!$E$16+1,1))-AVERAGE(OFFSET($H$3,0,0,'Données projet'!$E$16+1,1))</f>
        <v>294.31042006404056</v>
      </c>
      <c r="FK60" s="58">
        <f t="shared" si="48"/>
        <v>260.93767498478502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6.1538461538461551</v>
      </c>
      <c r="FZ60" s="13">
        <f>IF('Données projet'!$A$244&gt;35,FZ59+FY60-GH59,IF(A60&lt;'Données projet'!$A$244,$FW$205^A60,IF(A60='Données projet'!$A$244,'Données projet'!$B$244,FZ59+FY60-GH59)))</f>
        <v>270.64102564102564</v>
      </c>
      <c r="GA60" s="18">
        <f>FZ60*VLOOKUP('Données projet'!$B$17,Paramètres!$A$1:$I$89,3,0)*VLOOKUP('Données projet'!$B$17,Paramètres!$A$1:$I$89,5,0)</f>
        <v>181.54599999999999</v>
      </c>
      <c r="GB60" s="14">
        <f t="shared" si="49"/>
        <v>45.665971295569292</v>
      </c>
      <c r="GC60" s="22">
        <f t="shared" si="25"/>
        <v>395.7275166731165</v>
      </c>
      <c r="GD60" s="58">
        <f t="shared" si="26"/>
        <v>689.06085000644975</v>
      </c>
      <c r="GE60" s="58">
        <f ca="1">AVERAGE(OFFSET($GD$3,0,0,'Données projet'!$E$17+1,1))-AVERAGE(OFFSET($H$3,0,0,'Données projet'!$E$17+1,1))</f>
        <v>362.1372269575329</v>
      </c>
      <c r="GF60" s="58">
        <f t="shared" si="50"/>
        <v>308.1559670593121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58" t="e">
        <f t="shared" si="29"/>
        <v>#N/A</v>
      </c>
      <c r="GZ60" s="58" t="e">
        <f ca="1">AVERAGE(OFFSET($GY$3,0,0,'Données projet'!$E$18+1,1))-AVERAGE(OFFSET($H$3,0,0,'Données projet'!$E$18+1,1))</f>
        <v>#N/A</v>
      </c>
      <c r="HA60" s="58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0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3">
        <f t="shared" si="1"/>
        <v>256.66666666666669</v>
      </c>
      <c r="I61" s="6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201.58320000000001</v>
      </c>
      <c r="P61" s="14">
        <f t="shared" si="33"/>
        <v>50.091947337331924</v>
      </c>
      <c r="Q61" s="22">
        <f t="shared" si="53"/>
        <v>438.33421494585309</v>
      </c>
      <c r="R61" s="58">
        <f t="shared" si="0"/>
        <v>731.66754827918635</v>
      </c>
      <c r="S61" s="58">
        <f ca="1">AVERAGE(OFFSET($R$3,0,0,'Données projet'!$E$9+1,1))-AVERAGE(OFFSET($H$3,0,0,'Données projet'!$E$9+1,1))</f>
        <v>483.15009705023641</v>
      </c>
      <c r="T61" s="58">
        <f t="shared" si="34"/>
        <v>254.25036207346591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58">
        <f t="shared" si="5"/>
        <v>685.50170967350618</v>
      </c>
      <c r="AN61" s="58">
        <f ca="1">AVERAGE(OFFSET($AM$3,0,0,'Données projet'!$E$10+1,1))-AVERAGE(OFFSET($H$3,0,0,'Données projet'!$E$10+1,1))</f>
        <v>435.7095890216213</v>
      </c>
      <c r="AO61" s="58">
        <f t="shared" si="36"/>
        <v>231.36959598460686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4.3589743589743595</v>
      </c>
      <c r="BD61" s="13">
        <f>IF('Données projet'!$A$88&gt;35,BD60+BC61-BL60,IF(A61&lt;'Données projet'!$A$88,$BA$205^A61,IF(A61='Données projet'!$A$88,'Données projet'!$B$88,BD60+BC61-BL60)))</f>
        <v>146.41025641025632</v>
      </c>
      <c r="BE61" s="14">
        <f>BD61*VLOOKUP('Données projet'!$B$11,Paramètres!$A$1:$I$89,3,0)*VLOOKUP('Données projet'!$B$11,Paramètres!$A$1:$I$89,5,0)</f>
        <v>127.90399999999995</v>
      </c>
      <c r="BF61" s="14">
        <f t="shared" si="37"/>
        <v>33.511578050310163</v>
      </c>
      <c r="BG61" s="22">
        <f t="shared" si="7"/>
        <v>281.13213177095673</v>
      </c>
      <c r="BH61" s="58">
        <f t="shared" si="8"/>
        <v>574.46546510429005</v>
      </c>
      <c r="BI61" s="58">
        <f ca="1">AVERAGE(OFFSET($BH$3,0,0,'Données projet'!$E$11+1,1))-AVERAGE(OFFSET($H$3,0,0,'Données projet'!$E$11+1,1))</f>
        <v>218.76424742311815</v>
      </c>
      <c r="BJ61" s="58">
        <f t="shared" si="38"/>
        <v>264.34598683038593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1.3454335978923897</v>
      </c>
      <c r="BQ61" s="23">
        <f>EXP(-LN(2)/25)*BQ60+(1-EXP(-LN(2)/25))/(LN(2)/25)*Calculateur!BL61*Calculateur!BN61*VLOOKUP('Données projet'!$B$11,Paramètres!$A$1:$I$89,3,0)*0.475*44/12</f>
        <v>2.0081158500718272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3.3535494479642169</v>
      </c>
      <c r="BT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5.4</v>
      </c>
      <c r="BY61" s="13">
        <f>IF('Données projet'!$A$114&gt;35,BY60+BX61-CG60,IF(A61&lt;'Données projet'!$A$114,$BV$205^A61,IF(A61='Données projet'!$A$114,'Données projet'!$B$114,BY60+BX61-CG60)))</f>
        <v>137.19999999999996</v>
      </c>
      <c r="BZ61" s="14">
        <f>BY61*VLOOKUP('Données projet'!$B$12,Paramètres!$A$1:$I$89,3,0)*VLOOKUP('Données projet'!$B$12,Paramètres!$A$1:$I$89,5,0)</f>
        <v>132.69983999999997</v>
      </c>
      <c r="CA61" s="14">
        <f t="shared" si="39"/>
        <v>34.619464800994599</v>
      </c>
      <c r="CB61" s="22">
        <f t="shared" si="10"/>
        <v>291.41445586173216</v>
      </c>
      <c r="CC61" s="58">
        <f t="shared" si="11"/>
        <v>584.74778919506548</v>
      </c>
      <c r="CD61" s="58">
        <f ca="1">AVERAGE(OFFSET($CC$3,0,0,'Données projet'!$E$12+1,1))-AVERAGE(OFFSET($H$3,0,0,'Données projet'!$E$12+1,1))</f>
        <v>343.86347628565426</v>
      </c>
      <c r="CE61" s="58">
        <f t="shared" si="40"/>
        <v>129.28196646107097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58" t="e">
        <f t="shared" si="14"/>
        <v>#N/A</v>
      </c>
      <c r="CY61" s="58" t="e">
        <f ca="1">AVERAGE(OFFSET($CX$3,0,0,'Données projet'!$E$13+1,1))-AVERAGE(OFFSET($H$3,0,0,'Données projet'!$E$13+1,1))</f>
        <v>#N/A</v>
      </c>
      <c r="CZ61" s="58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4.5454545454545467</v>
      </c>
      <c r="DO61" s="13">
        <f>IF('Données projet'!$A$166&gt;35,DO60+DN61-DW60,IF(A61&lt;'Données projet'!$A$166,$DL$205^A61,IF(A61='Données projet'!$A$166,'Données projet'!$B$166,DO60+DN61-DW60)))</f>
        <v>172.72727272727298</v>
      </c>
      <c r="DP61" s="18">
        <f>DO61*VLOOKUP('Données projet'!$B$14,Paramètres!$A$1:$I$89,3,0)*VLOOKUP('Données projet'!$B$14,Paramètres!$A$1:$I$89,5,0)</f>
        <v>164.36727272727296</v>
      </c>
      <c r="DQ61" s="14">
        <f t="shared" si="43"/>
        <v>41.826016783299146</v>
      </c>
      <c r="DR61" s="22">
        <f t="shared" si="16"/>
        <v>359.11997923091303</v>
      </c>
      <c r="DS61" s="58">
        <f t="shared" si="17"/>
        <v>652.45331256424629</v>
      </c>
      <c r="DT61" s="58">
        <f ca="1">AVERAGE(OFFSET($DS$3,0,0,'Données projet'!$E$14+1,1))-AVERAGE(OFFSET($H$3,0,0,'Données projet'!$E$14+1,1))</f>
        <v>332.49889399440514</v>
      </c>
      <c r="DU61" s="58">
        <f t="shared" si="44"/>
        <v>256.06044006790529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6.4102564102564088</v>
      </c>
      <c r="EJ61" s="13">
        <f>IF('Données projet'!$A$192&gt;35,EJ60+EI61-ER60,IF(A61&lt;'Données projet'!$A$192,$EG$205^A61,IF(A61='Données projet'!$A$192,'Données projet'!$B$192,EJ60+EI61-ER60)))</f>
        <v>278.20512820512835</v>
      </c>
      <c r="EK61" s="18">
        <f>EJ61*VLOOKUP('Données projet'!$B$15,Paramètres!$A$1:$I$89,3,0)*VLOOKUP('Données projet'!$B$15,Paramètres!$A$1:$I$89,5,0)</f>
        <v>290.78000000000014</v>
      </c>
      <c r="EL61" s="14">
        <f t="shared" si="45"/>
        <v>69.240099856469072</v>
      </c>
      <c r="EM61" s="22">
        <f t="shared" si="19"/>
        <v>627.0350072500172</v>
      </c>
      <c r="EN61" s="58">
        <f t="shared" si="20"/>
        <v>920.36834058335057</v>
      </c>
      <c r="EO61" s="58">
        <f ca="1">AVERAGE(OFFSET($EN$3,0,0,'Données projet'!$E$15+1,1))-AVERAGE(OFFSET($H$3,0,0,'Données projet'!$E$15+1,1))</f>
        <v>596.00698505207174</v>
      </c>
      <c r="EP61" s="58">
        <f t="shared" si="46"/>
        <v>378.16197659288338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14.270329670329668</v>
      </c>
      <c r="FE61" s="13">
        <f>IF('Données projet'!$A$218&gt;35,FE60+FD61-FM60,IF(A61&lt;'Données projet'!$A$218,$FB$205^A61,IF(A61='Données projet'!$A$218,'Données projet'!$B$218,FE60+FD61-FM60)))</f>
        <v>303.82527472527465</v>
      </c>
      <c r="FF61" s="18">
        <f>FE61*VLOOKUP('Données projet'!$B$16,Paramètres!$A$1:$I$89,3,0)*VLOOKUP('Données projet'!$B$16,Paramètres!$A$1:$I$89,5,0)</f>
        <v>142.19022857142855</v>
      </c>
      <c r="FG61" s="14">
        <f t="shared" si="47"/>
        <v>36.798301893816983</v>
      </c>
      <c r="FH61" s="22">
        <f t="shared" si="22"/>
        <v>311.7383572269693</v>
      </c>
      <c r="FI61" s="58">
        <f t="shared" si="23"/>
        <v>605.07169056030261</v>
      </c>
      <c r="FJ61" s="58">
        <f ca="1">AVERAGE(OFFSET($FI$3,0,0,'Données projet'!$E$16+1,1))-AVERAGE(OFFSET($H$3,0,0,'Données projet'!$E$16+1,1))</f>
        <v>294.31042006404056</v>
      </c>
      <c r="FK61" s="58">
        <f t="shared" si="48"/>
        <v>260.93767498478502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6.1538461538461551</v>
      </c>
      <c r="FZ61" s="13">
        <f>IF('Données projet'!$A$244&gt;35,FZ60+FY61-GH60,IF(A61&lt;'Données projet'!$A$244,$FW$205^A61,IF(A61='Données projet'!$A$244,'Données projet'!$B$244,FZ60+FY61-GH60)))</f>
        <v>276.79487179487177</v>
      </c>
      <c r="GA61" s="18">
        <f>FZ61*VLOOKUP('Données projet'!$B$17,Paramètres!$A$1:$I$89,3,0)*VLOOKUP('Données projet'!$B$17,Paramètres!$A$1:$I$89,5,0)</f>
        <v>185.67399999999998</v>
      </c>
      <c r="GB61" s="14">
        <f t="shared" si="49"/>
        <v>46.582257433649239</v>
      </c>
      <c r="GC61" s="22">
        <f t="shared" si="25"/>
        <v>404.51298169693899</v>
      </c>
      <c r="GD61" s="58">
        <f t="shared" si="26"/>
        <v>697.84631503027231</v>
      </c>
      <c r="GE61" s="58">
        <f ca="1">AVERAGE(OFFSET($GD$3,0,0,'Données projet'!$E$17+1,1))-AVERAGE(OFFSET($H$3,0,0,'Données projet'!$E$17+1,1))</f>
        <v>362.1372269575329</v>
      </c>
      <c r="GF61" s="58">
        <f t="shared" si="50"/>
        <v>308.1559670593121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58" t="e">
        <f t="shared" si="29"/>
        <v>#N/A</v>
      </c>
      <c r="GZ61" s="58" t="e">
        <f ca="1">AVERAGE(OFFSET($GY$3,0,0,'Données projet'!$E$18+1,1))-AVERAGE(OFFSET($H$3,0,0,'Données projet'!$E$18+1,1))</f>
        <v>#N/A</v>
      </c>
      <c r="HA61" s="58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0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3">
        <f t="shared" si="1"/>
        <v>256.66666666666669</v>
      </c>
      <c r="I62" s="6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209.28960000000001</v>
      </c>
      <c r="P62" s="14">
        <f t="shared" si="33"/>
        <v>51.780314822292169</v>
      </c>
      <c r="Q62" s="22">
        <f t="shared" si="53"/>
        <v>454.69676831549214</v>
      </c>
      <c r="R62" s="58">
        <f t="shared" si="0"/>
        <v>748.03010164882539</v>
      </c>
      <c r="S62" s="58">
        <f ca="1">AVERAGE(OFFSET($R$3,0,0,'Données projet'!$E$9+1,1))-AVERAGE(OFFSET($H$3,0,0,'Données projet'!$E$9+1,1))</f>
        <v>483.15009705023641</v>
      </c>
      <c r="T62" s="58">
        <f t="shared" si="34"/>
        <v>254.25036207346591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58">
        <f t="shared" si="5"/>
        <v>700.13717474882014</v>
      </c>
      <c r="AN62" s="58">
        <f ca="1">AVERAGE(OFFSET($AM$3,0,0,'Données projet'!$E$10+1,1))-AVERAGE(OFFSET($H$3,0,0,'Données projet'!$E$10+1,1))</f>
        <v>435.7095890216213</v>
      </c>
      <c r="AO62" s="58">
        <f t="shared" si="36"/>
        <v>231.36959598460686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4.3589743589743595</v>
      </c>
      <c r="BD62" s="13">
        <f>IF('Données projet'!$A$88&gt;35,BD61+BC62-BL61,IF(A62&lt;'Données projet'!$A$88,$BA$205^A62,IF(A62='Données projet'!$A$88,'Données projet'!$B$88,BD61+BC62-BL61)))</f>
        <v>150.76923076923069</v>
      </c>
      <c r="BE62" s="14">
        <f>BD62*VLOOKUP('Données projet'!$B$11,Paramètres!$A$1:$I$89,3,0)*VLOOKUP('Données projet'!$B$11,Paramètres!$A$1:$I$89,5,0)</f>
        <v>131.71199999999993</v>
      </c>
      <c r="BF62" s="14">
        <f t="shared" si="37"/>
        <v>34.391650540527571</v>
      </c>
      <c r="BG62" s="22">
        <f t="shared" si="7"/>
        <v>289.2971913580854</v>
      </c>
      <c r="BH62" s="58">
        <f t="shared" si="8"/>
        <v>582.63052469141871</v>
      </c>
      <c r="BI62" s="58">
        <f ca="1">AVERAGE(OFFSET($BH$3,0,0,'Données projet'!$E$11+1,1))-AVERAGE(OFFSET($H$3,0,0,'Données projet'!$E$11+1,1))</f>
        <v>218.76424742311815</v>
      </c>
      <c r="BJ62" s="58">
        <f t="shared" si="38"/>
        <v>264.34598683038593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1.3190504656711839</v>
      </c>
      <c r="BQ62" s="23">
        <f>EXP(-LN(2)/25)*BQ61+(1-EXP(-LN(2)/25))/(LN(2)/25)*Calculateur!BL62*Calculateur!BN62*VLOOKUP('Données projet'!$B$11,Paramètres!$A$1:$I$89,3,0)*0.475*44/12</f>
        <v>1.9532038165493901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3.2722542822205742</v>
      </c>
      <c r="BT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5.4</v>
      </c>
      <c r="BY62" s="13">
        <f>IF('Données projet'!$A$114&gt;35,BY61+BX62-CG61,IF(A62&lt;'Données projet'!$A$114,$BV$205^A62,IF(A62='Données projet'!$A$114,'Données projet'!$B$114,BY61+BX62-CG61)))</f>
        <v>142.59999999999997</v>
      </c>
      <c r="BZ62" s="14">
        <f>BY62*VLOOKUP('Données projet'!$B$12,Paramètres!$A$1:$I$89,3,0)*VLOOKUP('Données projet'!$B$12,Paramètres!$A$1:$I$89,5,0)</f>
        <v>137.92271999999997</v>
      </c>
      <c r="CA62" s="14">
        <f t="shared" si="39"/>
        <v>35.82071658526872</v>
      </c>
      <c r="CB62" s="22">
        <f t="shared" si="10"/>
        <v>302.60315205267631</v>
      </c>
      <c r="CC62" s="58">
        <f t="shared" si="11"/>
        <v>595.93648538600962</v>
      </c>
      <c r="CD62" s="58">
        <f ca="1">AVERAGE(OFFSET($CC$3,0,0,'Données projet'!$E$12+1,1))-AVERAGE(OFFSET($H$3,0,0,'Données projet'!$E$12+1,1))</f>
        <v>343.86347628565426</v>
      </c>
      <c r="CE62" s="58">
        <f t="shared" si="40"/>
        <v>129.28196646107097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58" t="e">
        <f t="shared" si="14"/>
        <v>#N/A</v>
      </c>
      <c r="CY62" s="58" t="e">
        <f ca="1">AVERAGE(OFFSET($CX$3,0,0,'Données projet'!$E$13+1,1))-AVERAGE(OFFSET($H$3,0,0,'Données projet'!$E$13+1,1))</f>
        <v>#N/A</v>
      </c>
      <c r="CZ62" s="58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4.5454545454545467</v>
      </c>
      <c r="DO62" s="13">
        <f>IF('Données projet'!$A$166&gt;35,DO61+DN62-DW61,IF(A62&lt;'Données projet'!$A$166,$DL$205^A62,IF(A62='Données projet'!$A$166,'Données projet'!$B$166,DO61+DN62-DW61)))</f>
        <v>177.27272727272754</v>
      </c>
      <c r="DP62" s="18">
        <f>DO62*VLOOKUP('Données projet'!$B$14,Paramètres!$A$1:$I$89,3,0)*VLOOKUP('Données projet'!$B$14,Paramètres!$A$1:$I$89,5,0)</f>
        <v>168.69272727272752</v>
      </c>
      <c r="DQ62" s="14">
        <f t="shared" si="43"/>
        <v>42.79710656935984</v>
      </c>
      <c r="DR62" s="22">
        <f t="shared" si="16"/>
        <v>368.34479394163549</v>
      </c>
      <c r="DS62" s="58">
        <f t="shared" si="17"/>
        <v>661.6781272749688</v>
      </c>
      <c r="DT62" s="58">
        <f ca="1">AVERAGE(OFFSET($DS$3,0,0,'Données projet'!$E$14+1,1))-AVERAGE(OFFSET($H$3,0,0,'Données projet'!$E$14+1,1))</f>
        <v>332.49889399440514</v>
      </c>
      <c r="DU62" s="58">
        <f t="shared" si="44"/>
        <v>256.06044006790529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6.4102564102564088</v>
      </c>
      <c r="EJ62" s="13">
        <f>IF('Données projet'!$A$192&gt;35,EJ61+EI62-ER61,IF(A62&lt;'Données projet'!$A$192,$EG$205^A62,IF(A62='Données projet'!$A$192,'Données projet'!$B$192,EJ61+EI62-ER61)))</f>
        <v>284.61538461538476</v>
      </c>
      <c r="EK62" s="18">
        <f>EJ62*VLOOKUP('Données projet'!$B$15,Paramètres!$A$1:$I$89,3,0)*VLOOKUP('Données projet'!$B$15,Paramètres!$A$1:$I$89,5,0)</f>
        <v>297.48000000000019</v>
      </c>
      <c r="EL62" s="14">
        <f t="shared" si="45"/>
        <v>70.647915600656972</v>
      </c>
      <c r="EM62" s="22">
        <f t="shared" si="19"/>
        <v>641.15611967114455</v>
      </c>
      <c r="EN62" s="58">
        <f t="shared" si="20"/>
        <v>934.48945300447781</v>
      </c>
      <c r="EO62" s="58">
        <f ca="1">AVERAGE(OFFSET($EN$3,0,0,'Données projet'!$E$15+1,1))-AVERAGE(OFFSET($H$3,0,0,'Données projet'!$E$15+1,1))</f>
        <v>596.00698505207174</v>
      </c>
      <c r="EP62" s="58">
        <f t="shared" si="46"/>
        <v>378.16197659288338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14.270329670329668</v>
      </c>
      <c r="FE62" s="13">
        <f>IF('Données projet'!$A$218&gt;35,FE61+FD62-FM61,IF(A62&lt;'Données projet'!$A$218,$FB$205^A62,IF(A62='Données projet'!$A$218,'Données projet'!$B$218,FE61+FD62-FM61)))</f>
        <v>318.09560439560431</v>
      </c>
      <c r="FF62" s="18">
        <f>FE62*VLOOKUP('Données projet'!$B$16,Paramètres!$A$1:$I$89,3,0)*VLOOKUP('Données projet'!$B$16,Paramètres!$A$1:$I$89,5,0)</f>
        <v>148.86874285714282</v>
      </c>
      <c r="FG62" s="14">
        <f t="shared" si="47"/>
        <v>38.321390217280914</v>
      </c>
      <c r="FH62" s="22">
        <f t="shared" si="22"/>
        <v>326.02281510462132</v>
      </c>
      <c r="FI62" s="58">
        <f t="shared" si="23"/>
        <v>619.35614843795463</v>
      </c>
      <c r="FJ62" s="58">
        <f ca="1">AVERAGE(OFFSET($FI$3,0,0,'Données projet'!$E$16+1,1))-AVERAGE(OFFSET($H$3,0,0,'Données projet'!$E$16+1,1))</f>
        <v>294.31042006404056</v>
      </c>
      <c r="FK62" s="58">
        <f t="shared" si="48"/>
        <v>260.93767498478502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6.1538461538461551</v>
      </c>
      <c r="FZ62" s="13">
        <f>IF('Données projet'!$A$244&gt;35,FZ61+FY62-GH61,IF(A62&lt;'Données projet'!$A$244,$FW$205^A62,IF(A62='Données projet'!$A$244,'Données projet'!$B$244,FZ61+FY62-GH61)))</f>
        <v>282.9487179487179</v>
      </c>
      <c r="GA62" s="18">
        <f>FZ62*VLOOKUP('Données projet'!$B$17,Paramètres!$A$1:$I$89,3,0)*VLOOKUP('Données projet'!$B$17,Paramètres!$A$1:$I$89,5,0)</f>
        <v>189.80199999999996</v>
      </c>
      <c r="GB62" s="14">
        <f t="shared" si="49"/>
        <v>47.496175206468138</v>
      </c>
      <c r="GC62" s="22">
        <f t="shared" si="25"/>
        <v>413.29432181793192</v>
      </c>
      <c r="GD62" s="58">
        <f t="shared" si="26"/>
        <v>706.62765515126523</v>
      </c>
      <c r="GE62" s="58">
        <f ca="1">AVERAGE(OFFSET($GD$3,0,0,'Données projet'!$E$17+1,1))-AVERAGE(OFFSET($H$3,0,0,'Données projet'!$E$17+1,1))</f>
        <v>362.1372269575329</v>
      </c>
      <c r="GF62" s="58">
        <f t="shared" si="50"/>
        <v>308.1559670593121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58" t="e">
        <f t="shared" si="29"/>
        <v>#N/A</v>
      </c>
      <c r="GZ62" s="58" t="e">
        <f ca="1">AVERAGE(OFFSET($GY$3,0,0,'Données projet'!$E$18+1,1))-AVERAGE(OFFSET($H$3,0,0,'Données projet'!$E$18+1,1))</f>
        <v>#N/A</v>
      </c>
      <c r="HA62" s="58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0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3">
        <f t="shared" si="1"/>
        <v>256.66666666666669</v>
      </c>
      <c r="I63" s="6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216.99600000000001</v>
      </c>
      <c r="P63" s="14">
        <f t="shared" si="33"/>
        <v>53.461459647386917</v>
      </c>
      <c r="Q63" s="22">
        <f t="shared" si="53"/>
        <v>471.04674221919896</v>
      </c>
      <c r="R63" s="58">
        <f t="shared" si="0"/>
        <v>764.38007555253228</v>
      </c>
      <c r="S63" s="58">
        <f ca="1">AVERAGE(OFFSET($R$3,0,0,'Données projet'!$E$9+1,1))-AVERAGE(OFFSET($H$3,0,0,'Données projet'!$E$9+1,1))</f>
        <v>483.15009705023641</v>
      </c>
      <c r="T63" s="58">
        <f t="shared" si="34"/>
        <v>254.25036207346591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58">
        <f t="shared" si="5"/>
        <v>714.76126520309413</v>
      </c>
      <c r="AN63" s="58">
        <f ca="1">AVERAGE(OFFSET($AM$3,0,0,'Données projet'!$E$10+1,1))-AVERAGE(OFFSET($H$3,0,0,'Données projet'!$E$10+1,1))</f>
        <v>435.7095890216213</v>
      </c>
      <c r="AO63" s="58">
        <f t="shared" si="36"/>
        <v>231.36959598460686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155.12820512820511</v>
      </c>
      <c r="BB63" s="13">
        <f>VLOOKUP(A63,'Données projet'!$A$87:$I$107,9,0)</f>
        <v>4.3589743589743595</v>
      </c>
      <c r="BC63" s="13">
        <f t="array" ref="BC63">INDEX(BB:BB,MIN(IF(ISNUMBER(BB63:BB259),ROW(BB63:BB259),"")))</f>
        <v>4.3589743589743595</v>
      </c>
      <c r="BD63" s="13">
        <f>IF('Données projet'!$A$88&gt;35,BD62+BC63-BL62,IF(A63&lt;'Données projet'!$A$88,$BA$205^A63,IF(A63='Données projet'!$A$88,'Données projet'!$B$88,BD62+BC63-BL62)))</f>
        <v>155.12820512820505</v>
      </c>
      <c r="BE63" s="14">
        <f>BD63*VLOOKUP('Données projet'!$B$11,Paramètres!$A$1:$I$89,3,0)*VLOOKUP('Données projet'!$B$11,Paramètres!$A$1:$I$89,5,0)</f>
        <v>135.51999999999995</v>
      </c>
      <c r="BF63" s="14">
        <f t="shared" si="37"/>
        <v>35.268765860051303</v>
      </c>
      <c r="BG63" s="22">
        <f t="shared" si="7"/>
        <v>297.45710053958925</v>
      </c>
      <c r="BH63" s="58">
        <f t="shared" si="8"/>
        <v>590.79043387292256</v>
      </c>
      <c r="BI63" s="58">
        <f ca="1">AVERAGE(OFFSET($BH$3,0,0,'Données projet'!$E$11+1,1))-AVERAGE(OFFSET($H$3,0,0,'Données projet'!$E$11+1,1))</f>
        <v>218.76424742311815</v>
      </c>
      <c r="BJ63" s="58">
        <f t="shared" si="38"/>
        <v>264.34598683038593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16.666666666666668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1.2931846905807143</v>
      </c>
      <c r="BQ63" s="23">
        <f>EXP(-LN(2)/25)*BQ62+(1-EXP(-LN(2)/25))/(LN(2)/25)*Calculateur!BL63*Calculateur!BN63*VLOOKUP('Données projet'!$B$11,Paramètres!$A$1:$I$89,3,0)*0.475*44/12</f>
        <v>1.8997933554713224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3.1929780460520369</v>
      </c>
      <c r="BT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5.4</v>
      </c>
      <c r="BY63" s="13">
        <f>IF('Données projet'!$A$114&gt;35,BY62+BX63-CG62,IF(A63&lt;'Données projet'!$A$114,$BV$205^A63,IF(A63='Données projet'!$A$114,'Données projet'!$B$114,BY62+BX63-CG62)))</f>
        <v>147.99999999999997</v>
      </c>
      <c r="BZ63" s="14">
        <f>BY63*VLOOKUP('Données projet'!$B$12,Paramètres!$A$1:$I$89,3,0)*VLOOKUP('Données projet'!$B$12,Paramètres!$A$1:$I$89,5,0)</f>
        <v>143.14559999999997</v>
      </c>
      <c r="CA63" s="14">
        <f t="shared" si="39"/>
        <v>37.01668374538415</v>
      </c>
      <c r="CB63" s="22">
        <f t="shared" si="10"/>
        <v>313.78264418987732</v>
      </c>
      <c r="CC63" s="58">
        <f t="shared" si="11"/>
        <v>607.11597752321063</v>
      </c>
      <c r="CD63" s="58">
        <f ca="1">AVERAGE(OFFSET($CC$3,0,0,'Données projet'!$E$12+1,1))-AVERAGE(OFFSET($H$3,0,0,'Données projet'!$E$12+1,1))</f>
        <v>343.86347628565426</v>
      </c>
      <c r="CE63" s="58">
        <f t="shared" si="40"/>
        <v>129.28196646107097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58" t="e">
        <f t="shared" si="14"/>
        <v>#N/A</v>
      </c>
      <c r="CY63" s="58" t="e">
        <f ca="1">AVERAGE(OFFSET($CX$3,0,0,'Données projet'!$E$13+1,1))-AVERAGE(OFFSET($H$3,0,0,'Données projet'!$E$13+1,1))</f>
        <v>#N/A</v>
      </c>
      <c r="CZ63" s="58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181.81818181818184</v>
      </c>
      <c r="DM63" s="13">
        <f>VLOOKUP(A63,'Données projet'!$A$165:$I$185,9,0)</f>
        <v>4.5454545454545467</v>
      </c>
      <c r="DN63" s="13">
        <f t="array" ref="DN63">INDEX(DM:DM,MIN(IF(ISNUMBER(DM63:DM259),ROW(DM63:DM259),"")))</f>
        <v>4.5454545454545467</v>
      </c>
      <c r="DO63" s="13">
        <f>IF('Données projet'!$A$166&gt;35,DO62+DN63-DW62,IF(A63&lt;'Données projet'!$A$166,$DL$205^A63,IF(A63='Données projet'!$A$166,'Données projet'!$B$166,DO62+DN63-DW62)))</f>
        <v>181.8181818181821</v>
      </c>
      <c r="DP63" s="18">
        <f>DO63*VLOOKUP('Données projet'!$B$14,Paramètres!$A$1:$I$89,3,0)*VLOOKUP('Données projet'!$B$14,Paramètres!$A$1:$I$89,5,0)</f>
        <v>173.01818181818209</v>
      </c>
      <c r="DQ63" s="14">
        <f t="shared" si="43"/>
        <v>43.765302011640095</v>
      </c>
      <c r="DR63" s="22">
        <f t="shared" si="16"/>
        <v>377.56456767027362</v>
      </c>
      <c r="DS63" s="58">
        <f t="shared" si="17"/>
        <v>670.89790100360688</v>
      </c>
      <c r="DT63" s="58">
        <f ca="1">AVERAGE(OFFSET($DS$3,0,0,'Données projet'!$E$14+1,1))-AVERAGE(OFFSET($H$3,0,0,'Données projet'!$E$14+1,1))</f>
        <v>332.49889399440514</v>
      </c>
      <c r="DU63" s="58">
        <f t="shared" si="44"/>
        <v>256.06044006790529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26.666666666666668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291.02564102564099</v>
      </c>
      <c r="EH63" s="13">
        <f>VLOOKUP(A63,'Données projet'!$A$191:$I$211,9,0)</f>
        <v>6.4102564102564088</v>
      </c>
      <c r="EI63" s="13">
        <f t="array" ref="EI63">INDEX(EH:EH,MIN(IF(ISNUMBER(EH63:EH259),ROW(EH63:EH259),"")))</f>
        <v>6.4102564102564088</v>
      </c>
      <c r="EJ63" s="13">
        <f>IF('Données projet'!$A$192&gt;35,EJ62+EI63-ER62,IF(A63&lt;'Données projet'!$A$192,$EG$205^A63,IF(A63='Données projet'!$A$192,'Données projet'!$B$192,EJ62+EI63-ER62)))</f>
        <v>291.02564102564116</v>
      </c>
      <c r="EK63" s="18">
        <f>EJ63*VLOOKUP('Données projet'!$B$15,Paramètres!$A$1:$I$89,3,0)*VLOOKUP('Données projet'!$B$15,Paramètres!$A$1:$I$89,5,0)</f>
        <v>304.18000000000018</v>
      </c>
      <c r="EL63" s="14">
        <f t="shared" si="45"/>
        <v>72.052045088916685</v>
      </c>
      <c r="EM63" s="22">
        <f t="shared" si="19"/>
        <v>655.27081186319685</v>
      </c>
      <c r="EN63" s="58">
        <f t="shared" si="20"/>
        <v>948.60414519653023</v>
      </c>
      <c r="EO63" s="58">
        <f ca="1">AVERAGE(OFFSET($EN$3,0,0,'Données projet'!$E$15+1,1))-AVERAGE(OFFSET($H$3,0,0,'Données projet'!$E$15+1,1))</f>
        <v>596.00698505207174</v>
      </c>
      <c r="EP63" s="58">
        <f t="shared" si="46"/>
        <v>378.16197659288338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29.487179487179485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14.270329670329668</v>
      </c>
      <c r="FE63" s="13">
        <f>IF('Données projet'!$A$218&gt;35,FE62+FD63-FM62,IF(A63&lt;'Données projet'!$A$218,$FB$205^A63,IF(A63='Données projet'!$A$218,'Données projet'!$B$218,FE62+FD63-FM62)))</f>
        <v>332.36593406593397</v>
      </c>
      <c r="FF63" s="18">
        <f>FE63*VLOOKUP('Données projet'!$B$16,Paramètres!$A$1:$I$89,3,0)*VLOOKUP('Données projet'!$B$16,Paramètres!$A$1:$I$89,5,0)</f>
        <v>155.54725714285709</v>
      </c>
      <c r="FG63" s="14">
        <f t="shared" si="47"/>
        <v>39.836543030962723</v>
      </c>
      <c r="FH63" s="22">
        <f t="shared" si="22"/>
        <v>340.29345196940284</v>
      </c>
      <c r="FI63" s="58">
        <f t="shared" si="23"/>
        <v>633.62678530273615</v>
      </c>
      <c r="FJ63" s="58">
        <f ca="1">AVERAGE(OFFSET($FI$3,0,0,'Données projet'!$E$16+1,1))-AVERAGE(OFFSET($H$3,0,0,'Données projet'!$E$16+1,1))</f>
        <v>294.31042006404056</v>
      </c>
      <c r="FK63" s="58">
        <f t="shared" si="48"/>
        <v>260.93767498478502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289.10256410256409</v>
      </c>
      <c r="FX63" s="13">
        <f>VLOOKUP(A63,'Données projet'!$A$243:$I$263,9,0)</f>
        <v>6.1538461538461551</v>
      </c>
      <c r="FY63" s="13">
        <f t="array" ref="FY63">INDEX(FX:FX,MIN(IF(ISNUMBER(FX63:FX259),ROW(FX63:FX259),"")))</f>
        <v>6.1538461538461551</v>
      </c>
      <c r="FZ63" s="13">
        <f>IF('Données projet'!$A$244&gt;35,FZ62+FY63-GH62,IF(A63&lt;'Données projet'!$A$244,$FW$205^A63,IF(A63='Données projet'!$A$244,'Données projet'!$B$244,FZ62+FY63-GH62)))</f>
        <v>289.10256410256403</v>
      </c>
      <c r="GA63" s="18">
        <f>FZ63*VLOOKUP('Données projet'!$B$17,Paramètres!$A$1:$I$89,3,0)*VLOOKUP('Données projet'!$B$17,Paramètres!$A$1:$I$89,5,0)</f>
        <v>193.92999999999995</v>
      </c>
      <c r="GB63" s="14">
        <f t="shared" si="49"/>
        <v>48.407782055683938</v>
      </c>
      <c r="GC63" s="22">
        <f t="shared" si="25"/>
        <v>422.07163708031607</v>
      </c>
      <c r="GD63" s="58">
        <f t="shared" si="26"/>
        <v>715.40497041364938</v>
      </c>
      <c r="GE63" s="58">
        <f ca="1">AVERAGE(OFFSET($GD$3,0,0,'Données projet'!$E$17+1,1))-AVERAGE(OFFSET($H$3,0,0,'Données projet'!$E$17+1,1))</f>
        <v>362.1372269575329</v>
      </c>
      <c r="GF63" s="58">
        <f t="shared" si="50"/>
        <v>308.1559670593121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35.256410256410255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58" t="e">
        <f t="shared" si="29"/>
        <v>#N/A</v>
      </c>
      <c r="GZ63" s="58" t="e">
        <f ca="1">AVERAGE(OFFSET($GY$3,0,0,'Données projet'!$E$18+1,1))-AVERAGE(OFFSET($H$3,0,0,'Données projet'!$E$18+1,1))</f>
        <v>#N/A</v>
      </c>
      <c r="HA63" s="58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0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3">
        <f t="shared" si="1"/>
        <v>256.66666666666669</v>
      </c>
      <c r="I64" s="6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224.29679999999996</v>
      </c>
      <c r="P64" s="14">
        <f t="shared" si="33"/>
        <v>55.047720057866165</v>
      </c>
      <c r="Q64" s="22">
        <f t="shared" si="53"/>
        <v>486.52503910078349</v>
      </c>
      <c r="R64" s="58">
        <f t="shared" si="0"/>
        <v>779.85837243411675</v>
      </c>
      <c r="S64" s="58">
        <f ca="1">AVERAGE(OFFSET($R$3,0,0,'Données projet'!$E$9+1,1))-AVERAGE(OFFSET($H$3,0,0,'Données projet'!$E$9+1,1))</f>
        <v>483.15009705023641</v>
      </c>
      <c r="T64" s="58">
        <f t="shared" si="34"/>
        <v>254.25036207346591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221.19999999999996</v>
      </c>
      <c r="AJ64" s="14">
        <f>AI64*VLOOKUP('Données projet'!$B$10,Paramètres!$A$1:$I$89,3,0)*VLOOKUP('Données projet'!$B$10,Paramètres!$A$1:$I$89,5,0)</f>
        <v>200.14175999999995</v>
      </c>
      <c r="AK64" s="14">
        <f t="shared" si="35"/>
        <v>49.775320997880847</v>
      </c>
      <c r="AL64" s="22">
        <f t="shared" si="4"/>
        <v>435.27224940464231</v>
      </c>
      <c r="AM64" s="58">
        <f t="shared" si="5"/>
        <v>728.60558273797562</v>
      </c>
      <c r="AN64" s="58">
        <f ca="1">AVERAGE(OFFSET($AM$3,0,0,'Données projet'!$E$10+1,1))-AVERAGE(OFFSET($H$3,0,0,'Données projet'!$E$10+1,1))</f>
        <v>435.7095890216213</v>
      </c>
      <c r="AO64" s="58">
        <f t="shared" si="36"/>
        <v>231.36959598460686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3.8461538461538454</v>
      </c>
      <c r="BD64" s="13">
        <f>IF('Données projet'!$A$88&gt;35,BD63+BC64-BL63,IF(A64&lt;'Données projet'!$A$88,$BA$205^A64,IF(A64='Données projet'!$A$88,'Données projet'!$B$88,BD63+BC64-BL63)))</f>
        <v>142.30769230769224</v>
      </c>
      <c r="BE64" s="14">
        <f>BD64*VLOOKUP('Données projet'!$B$11,Paramètres!$A$1:$I$89,3,0)*VLOOKUP('Données projet'!$B$11,Paramètres!$A$1:$I$89,5,0)</f>
        <v>124.31999999999996</v>
      </c>
      <c r="BF64" s="14">
        <f t="shared" si="37"/>
        <v>32.68048504751404</v>
      </c>
      <c r="BG64" s="22">
        <f t="shared" si="7"/>
        <v>273.4425114577536</v>
      </c>
      <c r="BH64" s="58">
        <f t="shared" si="8"/>
        <v>566.77584479108691</v>
      </c>
      <c r="BI64" s="58">
        <f ca="1">AVERAGE(OFFSET($BH$3,0,0,'Données projet'!$E$11+1,1))-AVERAGE(OFFSET($H$3,0,0,'Données projet'!$E$11+1,1))</f>
        <v>218.76424742311815</v>
      </c>
      <c r="BJ64" s="58">
        <f t="shared" si="38"/>
        <v>264.34598683038593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1.2678261275632037</v>
      </c>
      <c r="BQ64" s="23">
        <f>EXP(-LN(2)/25)*BQ63+(1-EXP(-LN(2)/25))/(LN(2)/25)*Calculateur!BL64*Calculateur!BN64*VLOOKUP('Données projet'!$B$11,Paramètres!$A$1:$I$89,3,0)*0.475*44/12</f>
        <v>1.8478434062601685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3.1156695338233722</v>
      </c>
      <c r="BT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5.4</v>
      </c>
      <c r="BY64" s="13">
        <f>IF('Données projet'!$A$114&gt;35,BY63+BX64-CG63,IF(A64&lt;'Données projet'!$A$114,$BV$205^A64,IF(A64='Données projet'!$A$114,'Données projet'!$B$114,BY63+BX64-CG63)))</f>
        <v>153.39999999999998</v>
      </c>
      <c r="BZ64" s="14">
        <f>BY64*VLOOKUP('Données projet'!$B$12,Paramètres!$A$1:$I$89,3,0)*VLOOKUP('Données projet'!$B$12,Paramètres!$A$1:$I$89,5,0)</f>
        <v>148.36847999999998</v>
      </c>
      <c r="CA64" s="14">
        <f t="shared" si="39"/>
        <v>38.207581183185901</v>
      </c>
      <c r="CB64" s="22">
        <f t="shared" si="10"/>
        <v>324.95330656071542</v>
      </c>
      <c r="CC64" s="58">
        <f t="shared" si="11"/>
        <v>618.28663989404868</v>
      </c>
      <c r="CD64" s="58">
        <f ca="1">AVERAGE(OFFSET($CC$3,0,0,'Données projet'!$E$12+1,1))-AVERAGE(OFFSET($H$3,0,0,'Données projet'!$E$12+1,1))</f>
        <v>343.86347628565426</v>
      </c>
      <c r="CE64" s="58">
        <f t="shared" si="40"/>
        <v>129.28196646107097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58" t="e">
        <f t="shared" si="14"/>
        <v>#N/A</v>
      </c>
      <c r="CY64" s="58" t="e">
        <f ca="1">AVERAGE(OFFSET($CX$3,0,0,'Données projet'!$E$13+1,1))-AVERAGE(OFFSET($H$3,0,0,'Données projet'!$E$13+1,1))</f>
        <v>#N/A</v>
      </c>
      <c r="CZ64" s="58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4.1212121212121193</v>
      </c>
      <c r="DO64" s="13">
        <f>IF('Données projet'!$A$166&gt;35,DO63+DN64-DW63,IF(A64&lt;'Données projet'!$A$166,$DL$205^A64,IF(A64='Données projet'!$A$166,'Données projet'!$B$166,DO63+DN64-DW63)))</f>
        <v>159.27272727272756</v>
      </c>
      <c r="DP64" s="18">
        <f>DO64*VLOOKUP('Données projet'!$B$14,Paramètres!$A$1:$I$89,3,0)*VLOOKUP('Données projet'!$B$14,Paramètres!$A$1:$I$89,5,0)</f>
        <v>151.56392727272754</v>
      </c>
      <c r="DQ64" s="14">
        <f t="shared" si="43"/>
        <v>38.933778874722321</v>
      </c>
      <c r="DR64" s="22">
        <f t="shared" si="16"/>
        <v>331.78350487347512</v>
      </c>
      <c r="DS64" s="58">
        <f t="shared" si="17"/>
        <v>625.11683820680844</v>
      </c>
      <c r="DT64" s="58">
        <f ca="1">AVERAGE(OFFSET($DS$3,0,0,'Données projet'!$E$14+1,1))-AVERAGE(OFFSET($H$3,0,0,'Données projet'!$E$14+1,1))</f>
        <v>332.49889399440514</v>
      </c>
      <c r="DU64" s="58">
        <f t="shared" si="44"/>
        <v>256.06044006790529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6.0256410256410273</v>
      </c>
      <c r="EJ64" s="13">
        <f>IF('Données projet'!$A$192&gt;35,EJ63+EI64-ER63,IF(A64&lt;'Données projet'!$A$192,$EG$205^A64,IF(A64='Données projet'!$A$192,'Données projet'!$B$192,EJ63+EI64-ER63)))</f>
        <v>267.56410256410271</v>
      </c>
      <c r="EK64" s="18">
        <f>EJ64*VLOOKUP('Données projet'!$B$15,Paramètres!$A$1:$I$89,3,0)*VLOOKUP('Données projet'!$B$15,Paramètres!$A$1:$I$89,5,0)</f>
        <v>279.65800000000019</v>
      </c>
      <c r="EL64" s="14">
        <f t="shared" si="45"/>
        <v>66.894729309652021</v>
      </c>
      <c r="EM64" s="22">
        <f t="shared" si="19"/>
        <v>603.57933688097762</v>
      </c>
      <c r="EN64" s="58">
        <f t="shared" si="20"/>
        <v>896.91267021431099</v>
      </c>
      <c r="EO64" s="58">
        <f ca="1">AVERAGE(OFFSET($EN$3,0,0,'Données projet'!$E$15+1,1))-AVERAGE(OFFSET($H$3,0,0,'Données projet'!$E$15+1,1))</f>
        <v>596.00698505207174</v>
      </c>
      <c r="EP64" s="58">
        <f t="shared" si="46"/>
        <v>378.16197659288338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14.270329670329668</v>
      </c>
      <c r="FE64" s="13">
        <f>IF('Données projet'!$A$218&gt;35,FE63+FD64-FM63,IF(A64&lt;'Données projet'!$A$218,$FB$205^A64,IF(A64='Données projet'!$A$218,'Données projet'!$B$218,FE63+FD64-FM63)))</f>
        <v>346.63626373626363</v>
      </c>
      <c r="FF64" s="18">
        <f>FE64*VLOOKUP('Données projet'!$B$16,Paramètres!$A$1:$I$89,3,0)*VLOOKUP('Données projet'!$B$16,Paramètres!$A$1:$I$89,5,0)</f>
        <v>162.22577142857136</v>
      </c>
      <c r="FG64" s="14">
        <f t="shared" si="47"/>
        <v>41.344139999178246</v>
      </c>
      <c r="FH64" s="22">
        <f t="shared" si="22"/>
        <v>354.55092906999721</v>
      </c>
      <c r="FI64" s="58">
        <f t="shared" si="23"/>
        <v>647.88426240333047</v>
      </c>
      <c r="FJ64" s="58">
        <f ca="1">AVERAGE(OFFSET($FI$3,0,0,'Données projet'!$E$16+1,1))-AVERAGE(OFFSET($H$3,0,0,'Données projet'!$E$16+1,1))</f>
        <v>294.31042006404056</v>
      </c>
      <c r="FK64" s="58">
        <f t="shared" si="48"/>
        <v>260.93767498478502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5.7692307692307683</v>
      </c>
      <c r="FZ64" s="13">
        <f>IF('Données projet'!$A$244&gt;35,FZ63+FY64-GH63,IF(A64&lt;'Données projet'!$A$244,$FW$205^A64,IF(A64='Données projet'!$A$244,'Données projet'!$B$244,FZ63+FY64-GH63)))</f>
        <v>259.61538461538453</v>
      </c>
      <c r="GA64" s="18">
        <f>FZ64*VLOOKUP('Données projet'!$B$17,Paramètres!$A$1:$I$89,3,0)*VLOOKUP('Données projet'!$B$17,Paramètres!$A$1:$I$89,5,0)</f>
        <v>174.14999999999995</v>
      </c>
      <c r="GB64" s="14">
        <f t="shared" si="49"/>
        <v>44.018176829931868</v>
      </c>
      <c r="GC64" s="22">
        <f t="shared" si="25"/>
        <v>379.97624131213121</v>
      </c>
      <c r="GD64" s="58">
        <f t="shared" si="26"/>
        <v>673.30957464546452</v>
      </c>
      <c r="GE64" s="58">
        <f ca="1">AVERAGE(OFFSET($GD$3,0,0,'Données projet'!$E$17+1,1))-AVERAGE(OFFSET($H$3,0,0,'Données projet'!$E$17+1,1))</f>
        <v>362.1372269575329</v>
      </c>
      <c r="GF64" s="58">
        <f t="shared" si="50"/>
        <v>308.1559670593121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58" t="e">
        <f t="shared" si="29"/>
        <v>#N/A</v>
      </c>
      <c r="GZ64" s="58" t="e">
        <f ca="1">AVERAGE(OFFSET($GY$3,0,0,'Données projet'!$E$18+1,1))-AVERAGE(OFFSET($H$3,0,0,'Données projet'!$E$18+1,1))</f>
        <v>#N/A</v>
      </c>
      <c r="HA64" s="58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0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3">
        <f t="shared" si="1"/>
        <v>256.66666666666669</v>
      </c>
      <c r="I65" s="6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231.59759999999997</v>
      </c>
      <c r="P65" s="14">
        <f t="shared" si="33"/>
        <v>56.627980714948151</v>
      </c>
      <c r="Q65" s="22">
        <f t="shared" si="53"/>
        <v>501.99288641186791</v>
      </c>
      <c r="R65" s="58">
        <f t="shared" si="0"/>
        <v>795.32621974520123</v>
      </c>
      <c r="S65" s="58">
        <f ca="1">AVERAGE(OFFSET($R$3,0,0,'Données projet'!$E$9+1,1))-AVERAGE(OFFSET($H$3,0,0,'Données projet'!$E$9+1,1))</f>
        <v>483.15009705023641</v>
      </c>
      <c r="T65" s="58">
        <f t="shared" si="34"/>
        <v>254.25036207346591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228.39999999999995</v>
      </c>
      <c r="AJ65" s="14">
        <f>AI65*VLOOKUP('Données projet'!$B$10,Paramètres!$A$1:$I$89,3,0)*VLOOKUP('Données projet'!$B$10,Paramètres!$A$1:$I$89,5,0)</f>
        <v>206.65631999999994</v>
      </c>
      <c r="AK65" s="14">
        <f t="shared" si="35"/>
        <v>51.20422634371338</v>
      </c>
      <c r="AL65" s="22">
        <f t="shared" si="4"/>
        <v>449.10711821530072</v>
      </c>
      <c r="AM65" s="58">
        <f t="shared" si="5"/>
        <v>742.44045154863397</v>
      </c>
      <c r="AN65" s="58">
        <f ca="1">AVERAGE(OFFSET($AM$3,0,0,'Données projet'!$E$10+1,1))-AVERAGE(OFFSET($H$3,0,0,'Données projet'!$E$10+1,1))</f>
        <v>435.7095890216213</v>
      </c>
      <c r="AO65" s="58">
        <f t="shared" si="36"/>
        <v>231.36959598460686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3.8461538461538454</v>
      </c>
      <c r="BD65" s="13">
        <f>IF('Données projet'!$A$88&gt;35,BD64+BC65-BL64,IF(A65&lt;'Données projet'!$A$88,$BA$205^A65,IF(A65='Données projet'!$A$88,'Données projet'!$B$88,BD64+BC65-BL64)))</f>
        <v>146.15384615384608</v>
      </c>
      <c r="BE65" s="14">
        <f>BD65*VLOOKUP('Données projet'!$B$11,Paramètres!$A$1:$I$89,3,0)*VLOOKUP('Données projet'!$B$11,Paramètres!$A$1:$I$89,5,0)</f>
        <v>127.67999999999995</v>
      </c>
      <c r="BF65" s="14">
        <f t="shared" si="37"/>
        <v>33.459714914652153</v>
      </c>
      <c r="BG65" s="22">
        <f t="shared" si="7"/>
        <v>280.65167014301909</v>
      </c>
      <c r="BH65" s="58">
        <f t="shared" si="8"/>
        <v>573.9850034763524</v>
      </c>
      <c r="BI65" s="58">
        <f ca="1">AVERAGE(OFFSET($BH$3,0,0,'Données projet'!$E$11+1,1))-AVERAGE(OFFSET($H$3,0,0,'Données projet'!$E$11+1,1))</f>
        <v>218.76424742311815</v>
      </c>
      <c r="BJ65" s="58">
        <f t="shared" si="38"/>
        <v>264.34598683038593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1.2429648304992702</v>
      </c>
      <c r="BQ65" s="23">
        <f>EXP(-LN(2)/25)*BQ64+(1-EXP(-LN(2)/25))/(LN(2)/25)*Calculateur!BL65*Calculateur!BN65*VLOOKUP('Données projet'!$B$11,Paramètres!$A$1:$I$89,3,0)*0.475*44/12</f>
        <v>1.7973140311421227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3.0402788616413927</v>
      </c>
      <c r="BT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5.4</v>
      </c>
      <c r="BY65" s="13">
        <f>IF('Données projet'!$A$114&gt;35,BY64+BX65-CG64,IF(A65&lt;'Données projet'!$A$114,$BV$205^A65,IF(A65='Données projet'!$A$114,'Données projet'!$B$114,BY64+BX65-CG64)))</f>
        <v>158.79999999999998</v>
      </c>
      <c r="BZ65" s="14">
        <f>BY65*VLOOKUP('Données projet'!$B$12,Paramètres!$A$1:$I$89,3,0)*VLOOKUP('Données projet'!$B$12,Paramètres!$A$1:$I$89,5,0)</f>
        <v>153.59135999999998</v>
      </c>
      <c r="CA65" s="14">
        <f t="shared" si="39"/>
        <v>39.393607812663873</v>
      </c>
      <c r="CB65" s="22">
        <f t="shared" si="10"/>
        <v>336.1154856070562</v>
      </c>
      <c r="CC65" s="58">
        <f t="shared" si="11"/>
        <v>629.44881894038951</v>
      </c>
      <c r="CD65" s="58">
        <f ca="1">AVERAGE(OFFSET($CC$3,0,0,'Données projet'!$E$12+1,1))-AVERAGE(OFFSET($H$3,0,0,'Données projet'!$E$12+1,1))</f>
        <v>343.86347628565426</v>
      </c>
      <c r="CE65" s="58">
        <f t="shared" si="40"/>
        <v>129.28196646107097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58" t="e">
        <f t="shared" si="14"/>
        <v>#N/A</v>
      </c>
      <c r="CY65" s="58" t="e">
        <f ca="1">AVERAGE(OFFSET($CX$3,0,0,'Données projet'!$E$13+1,1))-AVERAGE(OFFSET($H$3,0,0,'Données projet'!$E$13+1,1))</f>
        <v>#N/A</v>
      </c>
      <c r="CZ65" s="58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4.1212121212121193</v>
      </c>
      <c r="DO65" s="13">
        <f>IF('Données projet'!$A$166&gt;35,DO64+DN65-DW64,IF(A65&lt;'Données projet'!$A$166,$DL$205^A65,IF(A65='Données projet'!$A$166,'Données projet'!$B$166,DO64+DN65-DW64)))</f>
        <v>163.39393939393969</v>
      </c>
      <c r="DP65" s="18">
        <f>DO65*VLOOKUP('Données projet'!$B$14,Paramètres!$A$1:$I$89,3,0)*VLOOKUP('Données projet'!$B$14,Paramètres!$A$1:$I$89,5,0)</f>
        <v>155.485672727273</v>
      </c>
      <c r="DQ65" s="14">
        <f t="shared" si="43"/>
        <v>39.822606463328356</v>
      </c>
      <c r="DR65" s="22">
        <f t="shared" si="16"/>
        <v>340.16191959029737</v>
      </c>
      <c r="DS65" s="58">
        <f t="shared" si="17"/>
        <v>633.49525292363069</v>
      </c>
      <c r="DT65" s="58">
        <f ca="1">AVERAGE(OFFSET($DS$3,0,0,'Données projet'!$E$14+1,1))-AVERAGE(OFFSET($H$3,0,0,'Données projet'!$E$14+1,1))</f>
        <v>332.49889399440514</v>
      </c>
      <c r="DU65" s="58">
        <f t="shared" si="44"/>
        <v>256.06044006790529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6.0256410256410273</v>
      </c>
      <c r="EJ65" s="13">
        <f>IF('Données projet'!$A$192&gt;35,EJ64+EI65-ER64,IF(A65&lt;'Données projet'!$A$192,$EG$205^A65,IF(A65='Données projet'!$A$192,'Données projet'!$B$192,EJ64+EI65-ER64)))</f>
        <v>273.58974358974376</v>
      </c>
      <c r="EK65" s="18">
        <f>EJ65*VLOOKUP('Données projet'!$B$15,Paramètres!$A$1:$I$89,3,0)*VLOOKUP('Données projet'!$B$15,Paramètres!$A$1:$I$89,5,0)</f>
        <v>285.95600000000024</v>
      </c>
      <c r="EL65" s="14">
        <f t="shared" si="45"/>
        <v>68.224136858687629</v>
      </c>
      <c r="EM65" s="22">
        <f t="shared" si="19"/>
        <v>616.8637383622148</v>
      </c>
      <c r="EN65" s="58">
        <f t="shared" si="20"/>
        <v>910.19707169554817</v>
      </c>
      <c r="EO65" s="58">
        <f ca="1">AVERAGE(OFFSET($EN$3,0,0,'Données projet'!$E$15+1,1))-AVERAGE(OFFSET($H$3,0,0,'Données projet'!$E$15+1,1))</f>
        <v>596.00698505207174</v>
      </c>
      <c r="EP65" s="58">
        <f t="shared" si="46"/>
        <v>378.16197659288338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14.270329670329668</v>
      </c>
      <c r="FE65" s="13">
        <f>IF('Données projet'!$A$218&gt;35,FE64+FD65-FM64,IF(A65&lt;'Données projet'!$A$218,$FB$205^A65,IF(A65='Données projet'!$A$218,'Données projet'!$B$218,FE64+FD65-FM64)))</f>
        <v>360.90659340659329</v>
      </c>
      <c r="FF65" s="18">
        <f>FE65*VLOOKUP('Données projet'!$B$16,Paramètres!$A$1:$I$89,3,0)*VLOOKUP('Données projet'!$B$16,Paramètres!$A$1:$I$89,5,0)</f>
        <v>168.90428571428566</v>
      </c>
      <c r="FG65" s="14">
        <f t="shared" si="47"/>
        <v>42.844527757373569</v>
      </c>
      <c r="FH65" s="22">
        <f t="shared" si="22"/>
        <v>368.79585012980647</v>
      </c>
      <c r="FI65" s="58">
        <f t="shared" si="23"/>
        <v>662.12918346313973</v>
      </c>
      <c r="FJ65" s="58">
        <f ca="1">AVERAGE(OFFSET($FI$3,0,0,'Données projet'!$E$16+1,1))-AVERAGE(OFFSET($H$3,0,0,'Données projet'!$E$16+1,1))</f>
        <v>294.31042006404056</v>
      </c>
      <c r="FK65" s="58">
        <f t="shared" si="48"/>
        <v>260.93767498478502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5.7692307692307683</v>
      </c>
      <c r="FZ65" s="13">
        <f>IF('Données projet'!$A$244&gt;35,FZ64+FY65-GH64,IF(A65&lt;'Données projet'!$A$244,$FW$205^A65,IF(A65='Données projet'!$A$244,'Données projet'!$B$244,FZ64+FY65-GH64)))</f>
        <v>265.3846153846153</v>
      </c>
      <c r="GA65" s="18">
        <f>FZ65*VLOOKUP('Données projet'!$B$17,Paramètres!$A$1:$I$89,3,0)*VLOOKUP('Données projet'!$B$17,Paramètres!$A$1:$I$89,5,0)</f>
        <v>178.01999999999995</v>
      </c>
      <c r="GB65" s="14">
        <f t="shared" si="49"/>
        <v>44.881389467952083</v>
      </c>
      <c r="GC65" s="22">
        <f t="shared" si="25"/>
        <v>388.21991999001648</v>
      </c>
      <c r="GD65" s="58">
        <f t="shared" si="26"/>
        <v>681.55325332334974</v>
      </c>
      <c r="GE65" s="58">
        <f ca="1">AVERAGE(OFFSET($GD$3,0,0,'Données projet'!$E$17+1,1))-AVERAGE(OFFSET($H$3,0,0,'Données projet'!$E$17+1,1))</f>
        <v>362.1372269575329</v>
      </c>
      <c r="GF65" s="58">
        <f t="shared" si="50"/>
        <v>308.1559670593121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58" t="e">
        <f t="shared" si="29"/>
        <v>#N/A</v>
      </c>
      <c r="GZ65" s="58" t="e">
        <f ca="1">AVERAGE(OFFSET($GY$3,0,0,'Données projet'!$E$18+1,1))-AVERAGE(OFFSET($H$3,0,0,'Données projet'!$E$18+1,1))</f>
        <v>#N/A</v>
      </c>
      <c r="HA65" s="58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0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3">
        <f t="shared" si="1"/>
        <v>256.66666666666669</v>
      </c>
      <c r="I66" s="6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238.89839999999995</v>
      </c>
      <c r="P66" s="14">
        <f t="shared" si="33"/>
        <v>58.202452451868851</v>
      </c>
      <c r="Q66" s="22">
        <f t="shared" si="53"/>
        <v>517.45065135367156</v>
      </c>
      <c r="R66" s="58">
        <f t="shared" si="0"/>
        <v>810.78398468700493</v>
      </c>
      <c r="S66" s="58">
        <f ca="1">AVERAGE(OFFSET($R$3,0,0,'Données projet'!$E$9+1,1))-AVERAGE(OFFSET($H$3,0,0,'Données projet'!$E$9+1,1))</f>
        <v>483.15009705023641</v>
      </c>
      <c r="T66" s="58">
        <f t="shared" si="34"/>
        <v>254.25036207346591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235.59999999999994</v>
      </c>
      <c r="AJ66" s="14">
        <f>AI66*VLOOKUP('Données projet'!$B$10,Paramètres!$A$1:$I$89,3,0)*VLOOKUP('Données projet'!$B$10,Paramètres!$A$1:$I$89,5,0)</f>
        <v>213.17087999999995</v>
      </c>
      <c r="AK66" s="14">
        <f t="shared" si="35"/>
        <v>52.627897224631596</v>
      </c>
      <c r="AL66" s="22">
        <f t="shared" si="4"/>
        <v>462.93287033289988</v>
      </c>
      <c r="AM66" s="58">
        <f t="shared" si="5"/>
        <v>756.2662036662332</v>
      </c>
      <c r="AN66" s="58">
        <f ca="1">AVERAGE(OFFSET($AM$3,0,0,'Données projet'!$E$10+1,1))-AVERAGE(OFFSET($H$3,0,0,'Données projet'!$E$10+1,1))</f>
        <v>435.7095890216213</v>
      </c>
      <c r="AO66" s="58">
        <f t="shared" si="36"/>
        <v>231.36959598460686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3.8461538461538454</v>
      </c>
      <c r="BD66" s="13">
        <f>IF('Données projet'!$A$88&gt;35,BD65+BC66-BL65,IF(A66&lt;'Données projet'!$A$88,$BA$205^A66,IF(A66='Données projet'!$A$88,'Données projet'!$B$88,BD65+BC66-BL65)))</f>
        <v>149.99999999999991</v>
      </c>
      <c r="BE66" s="14">
        <f>BD66*VLOOKUP('Données projet'!$B$11,Paramètres!$A$1:$I$89,3,0)*VLOOKUP('Données projet'!$B$11,Paramètres!$A$1:$I$89,5,0)</f>
        <v>131.03999999999994</v>
      </c>
      <c r="BF66" s="14">
        <f t="shared" si="37"/>
        <v>34.236561238949889</v>
      </c>
      <c r="BG66" s="22">
        <f t="shared" si="7"/>
        <v>287.85667749117096</v>
      </c>
      <c r="BH66" s="58">
        <f t="shared" si="8"/>
        <v>581.19001082450427</v>
      </c>
      <c r="BI66" s="58">
        <f ca="1">AVERAGE(OFFSET($BH$3,0,0,'Données projet'!$E$11+1,1))-AVERAGE(OFFSET($H$3,0,0,'Données projet'!$E$11+1,1))</f>
        <v>218.76424742311815</v>
      </c>
      <c r="BJ66" s="58">
        <f t="shared" si="38"/>
        <v>264.34598683038593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1.2185910483068667</v>
      </c>
      <c r="BQ66" s="23">
        <f>EXP(-LN(2)/25)*BQ65+(1-EXP(-LN(2)/25))/(LN(2)/25)*Calculateur!BL66*Calculateur!BN66*VLOOKUP('Données projet'!$B$11,Paramètres!$A$1:$I$89,3,0)*0.475*44/12</f>
        <v>1.7481663844439044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2.9667574327507711</v>
      </c>
      <c r="BT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5.4</v>
      </c>
      <c r="BY66" s="13">
        <f>IF('Données projet'!$A$114&gt;35,BY65+BX66-CG65,IF(A66&lt;'Données projet'!$A$114,$BV$205^A66,IF(A66='Données projet'!$A$114,'Données projet'!$B$114,BY65+BX66-CG65)))</f>
        <v>164.2</v>
      </c>
      <c r="BZ66" s="14">
        <f>BY66*VLOOKUP('Données projet'!$B$12,Paramètres!$A$1:$I$89,3,0)*VLOOKUP('Données projet'!$B$12,Paramètres!$A$1:$I$89,5,0)</f>
        <v>158.81423999999998</v>
      </c>
      <c r="CA66" s="14">
        <f t="shared" si="39"/>
        <v>40.574948252224658</v>
      </c>
      <c r="CB66" s="22">
        <f t="shared" si="10"/>
        <v>347.26950287262457</v>
      </c>
      <c r="CC66" s="58">
        <f t="shared" si="11"/>
        <v>640.60283620595783</v>
      </c>
      <c r="CD66" s="58">
        <f ca="1">AVERAGE(OFFSET($CC$3,0,0,'Données projet'!$E$12+1,1))-AVERAGE(OFFSET($H$3,0,0,'Données projet'!$E$12+1,1))</f>
        <v>343.86347628565426</v>
      </c>
      <c r="CE66" s="58">
        <f t="shared" si="40"/>
        <v>129.28196646107097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58" t="e">
        <f t="shared" si="14"/>
        <v>#N/A</v>
      </c>
      <c r="CY66" s="58" t="e">
        <f ca="1">AVERAGE(OFFSET($CX$3,0,0,'Données projet'!$E$13+1,1))-AVERAGE(OFFSET($H$3,0,0,'Données projet'!$E$13+1,1))</f>
        <v>#N/A</v>
      </c>
      <c r="CZ66" s="58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4.1212121212121193</v>
      </c>
      <c r="DO66" s="13">
        <f>IF('Données projet'!$A$166&gt;35,DO65+DN66-DW65,IF(A66&lt;'Données projet'!$A$166,$DL$205^A66,IF(A66='Données projet'!$A$166,'Données projet'!$B$166,DO65+DN66-DW65)))</f>
        <v>167.51515151515181</v>
      </c>
      <c r="DP66" s="18">
        <f>DO66*VLOOKUP('Données projet'!$B$14,Paramètres!$A$1:$I$89,3,0)*VLOOKUP('Données projet'!$B$14,Paramètres!$A$1:$I$89,5,0)</f>
        <v>159.40741818181846</v>
      </c>
      <c r="DQ66" s="14">
        <f t="shared" si="43"/>
        <v>40.70882807342106</v>
      </c>
      <c r="DR66" s="22">
        <f t="shared" si="16"/>
        <v>348.53579556120877</v>
      </c>
      <c r="DS66" s="58">
        <f t="shared" si="17"/>
        <v>641.86912889454209</v>
      </c>
      <c r="DT66" s="58">
        <f ca="1">AVERAGE(OFFSET($DS$3,0,0,'Données projet'!$E$14+1,1))-AVERAGE(OFFSET($H$3,0,0,'Données projet'!$E$14+1,1))</f>
        <v>332.49889399440514</v>
      </c>
      <c r="DU66" s="58">
        <f t="shared" si="44"/>
        <v>256.06044006790529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6.0256410256410273</v>
      </c>
      <c r="EJ66" s="13">
        <f>IF('Données projet'!$A$192&gt;35,EJ65+EI66-ER65,IF(A66&lt;'Données projet'!$A$192,$EG$205^A66,IF(A66='Données projet'!$A$192,'Données projet'!$B$192,EJ65+EI66-ER65)))</f>
        <v>279.61538461538481</v>
      </c>
      <c r="EK66" s="18">
        <f>EJ66*VLOOKUP('Données projet'!$B$15,Paramètres!$A$1:$I$89,3,0)*VLOOKUP('Données projet'!$B$15,Paramètres!$A$1:$I$89,5,0)</f>
        <v>292.25400000000025</v>
      </c>
      <c r="EL66" s="14">
        <f t="shared" si="45"/>
        <v>69.550140364165401</v>
      </c>
      <c r="EM66" s="22">
        <f t="shared" si="19"/>
        <v>630.14221113425515</v>
      </c>
      <c r="EN66" s="58">
        <f t="shared" si="20"/>
        <v>923.47554446758841</v>
      </c>
      <c r="EO66" s="58">
        <f ca="1">AVERAGE(OFFSET($EN$3,0,0,'Données projet'!$E$15+1,1))-AVERAGE(OFFSET($H$3,0,0,'Données projet'!$E$15+1,1))</f>
        <v>596.00698505207174</v>
      </c>
      <c r="EP66" s="58">
        <f t="shared" si="46"/>
        <v>378.16197659288338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>
        <f>VLOOKUP(A66,'Données projet'!$A$217:$I$237,2,0)</f>
        <v>375.17692307692306</v>
      </c>
      <c r="FC66" s="13">
        <f>VLOOKUP(A66,'Données projet'!$A$217:$I$237,9,0)</f>
        <v>14.270329670329668</v>
      </c>
      <c r="FD66" s="13">
        <f t="array" ref="FD66">INDEX(FC:FC,MIN(IF(ISNUMBER(FC66:FC262),ROW(FC66:FC262),"")))</f>
        <v>14.270329670329668</v>
      </c>
      <c r="FE66" s="13">
        <f>IF('Données projet'!$A$218&gt;35,FE65+FD66-FM65,IF(A66&lt;'Données projet'!$A$218,$FB$205^A66,IF(A66='Données projet'!$A$218,'Données projet'!$B$218,FE65+FD66-FM65)))</f>
        <v>375.17692307692295</v>
      </c>
      <c r="FF66" s="18">
        <f>FE66*VLOOKUP('Données projet'!$B$16,Paramètres!$A$1:$I$89,3,0)*VLOOKUP('Données projet'!$B$16,Paramètres!$A$1:$I$89,5,0)</f>
        <v>175.58279999999996</v>
      </c>
      <c r="FG66" s="14">
        <f t="shared" si="47"/>
        <v>44.338023977070598</v>
      </c>
      <c r="FH66" s="22">
        <f t="shared" si="22"/>
        <v>383.02876842673123</v>
      </c>
      <c r="FI66" s="58">
        <f t="shared" si="23"/>
        <v>676.36210176006455</v>
      </c>
      <c r="FJ66" s="58">
        <f ca="1">AVERAGE(OFFSET($FI$3,0,0,'Données projet'!$E$16+1,1))-AVERAGE(OFFSET($H$3,0,0,'Données projet'!$E$16+1,1))</f>
        <v>294.31042006404056</v>
      </c>
      <c r="FK66" s="58">
        <f t="shared" si="48"/>
        <v>260.93767498478502</v>
      </c>
      <c r="FL66" s="16">
        <f>IF(ISNA(VLOOKUP(A66,'Données projet'!$A$217:$I$237,3,0)),0,VLOOKUP(A66,'Données projet'!$A$217:$I$237,3,0))</f>
        <v>4</v>
      </c>
      <c r="FM66" s="16">
        <f>IF(ISNA(VLOOKUP(A66,'Données projet'!$A$217:$I$237,4,0)),0,VLOOKUP(A66,'Données projet'!$A$217:$I$237,4,0))</f>
        <v>71.123076923076923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5.7692307692307683</v>
      </c>
      <c r="FZ66" s="13">
        <f>IF('Données projet'!$A$244&gt;35,FZ65+FY66-GH65,IF(A66&lt;'Données projet'!$A$244,$FW$205^A66,IF(A66='Données projet'!$A$244,'Données projet'!$B$244,FZ65+FY66-GH65)))</f>
        <v>271.15384615384608</v>
      </c>
      <c r="GA66" s="18">
        <f>FZ66*VLOOKUP('Données projet'!$B$17,Paramètres!$A$1:$I$89,3,0)*VLOOKUP('Données projet'!$B$17,Paramètres!$A$1:$I$89,5,0)</f>
        <v>181.88999999999996</v>
      </c>
      <c r="GB66" s="14">
        <f t="shared" si="49"/>
        <v>45.742420382341599</v>
      </c>
      <c r="GC66" s="22">
        <f t="shared" si="25"/>
        <v>396.4597988325782</v>
      </c>
      <c r="GD66" s="58">
        <f t="shared" si="26"/>
        <v>689.79313216591152</v>
      </c>
      <c r="GE66" s="58">
        <f ca="1">AVERAGE(OFFSET($GD$3,0,0,'Données projet'!$E$17+1,1))-AVERAGE(OFFSET($H$3,0,0,'Données projet'!$E$17+1,1))</f>
        <v>362.1372269575329</v>
      </c>
      <c r="GF66" s="58">
        <f t="shared" si="50"/>
        <v>308.1559670593121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58" t="e">
        <f t="shared" si="29"/>
        <v>#N/A</v>
      </c>
      <c r="GZ66" s="58" t="e">
        <f ca="1">AVERAGE(OFFSET($GY$3,0,0,'Données projet'!$E$18+1,1))-AVERAGE(OFFSET($H$3,0,0,'Données projet'!$E$18+1,1))</f>
        <v>#N/A</v>
      </c>
      <c r="HA66" s="58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0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3">
        <f t="shared" si="1"/>
        <v>256.66666666666669</v>
      </c>
      <c r="I67" s="6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246.19919999999996</v>
      </c>
      <c r="P67" s="14">
        <f t="shared" si="33"/>
        <v>59.77133248344078</v>
      </c>
      <c r="Q67" s="22">
        <f t="shared" ref="Q67:Q98" si="54">(O67+P67)*0.475*44/12</f>
        <v>532.8986774086593</v>
      </c>
      <c r="R67" s="58">
        <f t="shared" ref="R67:R130" si="55">Q67+(I67+J67)*44/12</f>
        <v>826.23201074199255</v>
      </c>
      <c r="S67" s="58">
        <f ca="1">AVERAGE(OFFSET($R$3,0,0,'Données projet'!$E$9+1,1))-AVERAGE(OFFSET($H$3,0,0,'Données projet'!$E$9+1,1))</f>
        <v>483.15009705023641</v>
      </c>
      <c r="T67" s="58">
        <f t="shared" si="34"/>
        <v>254.25036207346591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242.79999999999993</v>
      </c>
      <c r="AJ67" s="14">
        <f>AI67*VLOOKUP('Données projet'!$B$10,Paramètres!$A$1:$I$89,3,0)*VLOOKUP('Données projet'!$B$10,Paramètres!$A$1:$I$89,5,0)</f>
        <v>219.68543999999994</v>
      </c>
      <c r="AK67" s="14">
        <f t="shared" si="35"/>
        <v>54.046511966469559</v>
      </c>
      <c r="AL67" s="22">
        <f t="shared" si="4"/>
        <v>476.74981634160105</v>
      </c>
      <c r="AM67" s="58">
        <f t="shared" si="5"/>
        <v>770.08314967493436</v>
      </c>
      <c r="AN67" s="58">
        <f ca="1">AVERAGE(OFFSET($AM$3,0,0,'Données projet'!$E$10+1,1))-AVERAGE(OFFSET($H$3,0,0,'Données projet'!$E$10+1,1))</f>
        <v>435.7095890216213</v>
      </c>
      <c r="AO67" s="58">
        <f t="shared" si="36"/>
        <v>231.36959598460686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3.8461538461538454</v>
      </c>
      <c r="BD67" s="13">
        <f>IF('Données projet'!$A$88&gt;35,BD66+BC67-BL66,IF(A67&lt;'Données projet'!$A$88,$BA$205^A67,IF(A67='Données projet'!$A$88,'Données projet'!$B$88,BD66+BC67-BL66)))</f>
        <v>153.84615384615375</v>
      </c>
      <c r="BE67" s="14">
        <f>BD67*VLOOKUP('Données projet'!$B$11,Paramètres!$A$1:$I$89,3,0)*VLOOKUP('Données projet'!$B$11,Paramètres!$A$1:$I$89,5,0)</f>
        <v>134.39999999999992</v>
      </c>
      <c r="BF67" s="14">
        <f t="shared" si="37"/>
        <v>35.011092164239834</v>
      </c>
      <c r="BG67" s="22">
        <f t="shared" si="7"/>
        <v>295.05765218605092</v>
      </c>
      <c r="BH67" s="58">
        <f t="shared" si="8"/>
        <v>588.39098551938423</v>
      </c>
      <c r="BI67" s="58">
        <f ca="1">AVERAGE(OFFSET($BH$3,0,0,'Données projet'!$E$11+1,1))-AVERAGE(OFFSET($H$3,0,0,'Données projet'!$E$11+1,1))</f>
        <v>218.76424742311815</v>
      </c>
      <c r="BJ67" s="58">
        <f t="shared" si="38"/>
        <v>264.34598683038593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1.194695221116717</v>
      </c>
      <c r="BQ67" s="23">
        <f>EXP(-LN(2)/25)*BQ66+(1-EXP(-LN(2)/25))/(LN(2)/25)*Calculateur!BL67*Calculateur!BN67*VLOOKUP('Données projet'!$B$11,Paramètres!$A$1:$I$89,3,0)*0.475*44/12</f>
        <v>1.7003626827292111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2.8950579038459283</v>
      </c>
      <c r="BT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5.4</v>
      </c>
      <c r="BY67" s="13">
        <f>IF('Données projet'!$A$114&gt;35,BY66+BX67-CG66,IF(A67&lt;'Données projet'!$A$114,$BV$205^A67,IF(A67='Données projet'!$A$114,'Données projet'!$B$114,BY66+BX67-CG66)))</f>
        <v>169.6</v>
      </c>
      <c r="BZ67" s="14">
        <f>BY67*VLOOKUP('Données projet'!$B$12,Paramètres!$A$1:$I$89,3,0)*VLOOKUP('Données projet'!$B$12,Paramètres!$A$1:$I$89,5,0)</f>
        <v>164.03712000000002</v>
      </c>
      <c r="CA67" s="14">
        <f t="shared" si="39"/>
        <v>41.75177428809652</v>
      </c>
      <c r="CB67" s="22">
        <f t="shared" si="10"/>
        <v>358.41565755176816</v>
      </c>
      <c r="CC67" s="58">
        <f t="shared" si="11"/>
        <v>651.74899088510142</v>
      </c>
      <c r="CD67" s="58">
        <f ca="1">AVERAGE(OFFSET($CC$3,0,0,'Données projet'!$E$12+1,1))-AVERAGE(OFFSET($H$3,0,0,'Données projet'!$E$12+1,1))</f>
        <v>343.86347628565426</v>
      </c>
      <c r="CE67" s="58">
        <f t="shared" si="40"/>
        <v>129.28196646107097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58" t="e">
        <f t="shared" si="14"/>
        <v>#N/A</v>
      </c>
      <c r="CY67" s="58" t="e">
        <f ca="1">AVERAGE(OFFSET($CX$3,0,0,'Données projet'!$E$13+1,1))-AVERAGE(OFFSET($H$3,0,0,'Données projet'!$E$13+1,1))</f>
        <v>#N/A</v>
      </c>
      <c r="CZ67" s="58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4.1212121212121193</v>
      </c>
      <c r="DO67" s="13">
        <f>IF('Données projet'!$A$166&gt;35,DO66+DN67-DW66,IF(A67&lt;'Données projet'!$A$166,$DL$205^A67,IF(A67='Données projet'!$A$166,'Données projet'!$B$166,DO66+DN67-DW66)))</f>
        <v>171.63636363636394</v>
      </c>
      <c r="DP67" s="18">
        <f>DO67*VLOOKUP('Données projet'!$B$14,Paramètres!$A$1:$I$89,3,0)*VLOOKUP('Données projet'!$B$14,Paramètres!$A$1:$I$89,5,0)</f>
        <v>163.32916363636392</v>
      </c>
      <c r="DQ67" s="14">
        <f t="shared" si="43"/>
        <v>41.5925151922293</v>
      </c>
      <c r="DR67" s="22">
        <f t="shared" si="16"/>
        <v>356.90525729313316</v>
      </c>
      <c r="DS67" s="58">
        <f t="shared" si="17"/>
        <v>650.23859062646648</v>
      </c>
      <c r="DT67" s="58">
        <f ca="1">AVERAGE(OFFSET($DS$3,0,0,'Données projet'!$E$14+1,1))-AVERAGE(OFFSET($H$3,0,0,'Données projet'!$E$14+1,1))</f>
        <v>332.49889399440514</v>
      </c>
      <c r="DU67" s="58">
        <f t="shared" si="44"/>
        <v>256.06044006790529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6.0256410256410273</v>
      </c>
      <c r="EJ67" s="13">
        <f>IF('Données projet'!$A$192&gt;35,EJ66+EI67-ER66,IF(A67&lt;'Données projet'!$A$192,$EG$205^A67,IF(A67='Données projet'!$A$192,'Données projet'!$B$192,EJ66+EI67-ER66)))</f>
        <v>285.64102564102586</v>
      </c>
      <c r="EK67" s="18">
        <f>EJ67*VLOOKUP('Données projet'!$B$15,Paramètres!$A$1:$I$89,3,0)*VLOOKUP('Données projet'!$B$15,Paramètres!$A$1:$I$89,5,0)</f>
        <v>298.55200000000025</v>
      </c>
      <c r="EL67" s="14">
        <f t="shared" si="45"/>
        <v>70.872821631198264</v>
      </c>
      <c r="EM67" s="22">
        <f t="shared" si="19"/>
        <v>643.41489767433734</v>
      </c>
      <c r="EN67" s="58">
        <f t="shared" si="20"/>
        <v>936.74823100767071</v>
      </c>
      <c r="EO67" s="58">
        <f ca="1">AVERAGE(OFFSET($EN$3,0,0,'Données projet'!$E$15+1,1))-AVERAGE(OFFSET($H$3,0,0,'Données projet'!$E$15+1,1))</f>
        <v>596.00698505207174</v>
      </c>
      <c r="EP67" s="58">
        <f t="shared" si="46"/>
        <v>378.16197659288338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13.737499999999997</v>
      </c>
      <c r="FE67" s="13">
        <f>IF('Données projet'!$A$218&gt;35,FE66+FD67-FM66,IF(A67&lt;'Données projet'!$A$218,$FB$205^A67,IF(A67='Données projet'!$A$218,'Données projet'!$B$218,FE66+FD67-FM66)))</f>
        <v>317.79134615384601</v>
      </c>
      <c r="FF67" s="18">
        <f>FE67*VLOOKUP('Données projet'!$B$16,Paramètres!$A$1:$I$89,3,0)*VLOOKUP('Données projet'!$B$16,Paramètres!$A$1:$I$89,5,0)</f>
        <v>148.72634999999994</v>
      </c>
      <c r="FG67" s="14">
        <f t="shared" si="47"/>
        <v>38.289000598915791</v>
      </c>
      <c r="FH67" s="22">
        <f t="shared" si="22"/>
        <v>325.71840229311158</v>
      </c>
      <c r="FI67" s="58">
        <f t="shared" si="23"/>
        <v>619.05173562644495</v>
      </c>
      <c r="FJ67" s="58">
        <f ca="1">AVERAGE(OFFSET($FI$3,0,0,'Données projet'!$E$16+1,1))-AVERAGE(OFFSET($H$3,0,0,'Données projet'!$E$16+1,1))</f>
        <v>294.31042006404056</v>
      </c>
      <c r="FK67" s="58">
        <f t="shared" si="48"/>
        <v>260.93767498478502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5.7692307692307683</v>
      </c>
      <c r="FZ67" s="13">
        <f>IF('Données projet'!$A$244&gt;35,FZ66+FY67-GH66,IF(A67&lt;'Données projet'!$A$244,$FW$205^A67,IF(A67='Données projet'!$A$244,'Données projet'!$B$244,FZ66+FY67-GH66)))</f>
        <v>276.92307692307685</v>
      </c>
      <c r="GA67" s="18">
        <f>FZ67*VLOOKUP('Données projet'!$B$17,Paramètres!$A$1:$I$89,3,0)*VLOOKUP('Données projet'!$B$17,Paramètres!$A$1:$I$89,5,0)</f>
        <v>185.75999999999993</v>
      </c>
      <c r="GB67" s="14">
        <f t="shared" si="49"/>
        <v>46.601321339767978</v>
      </c>
      <c r="GC67" s="22">
        <f t="shared" si="25"/>
        <v>404.69596800009577</v>
      </c>
      <c r="GD67" s="58">
        <f t="shared" si="26"/>
        <v>698.02930133342909</v>
      </c>
      <c r="GE67" s="58">
        <f ca="1">AVERAGE(OFFSET($GD$3,0,0,'Données projet'!$E$17+1,1))-AVERAGE(OFFSET($H$3,0,0,'Données projet'!$E$17+1,1))</f>
        <v>362.1372269575329</v>
      </c>
      <c r="GF67" s="58">
        <f t="shared" si="50"/>
        <v>308.1559670593121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58" t="e">
        <f t="shared" si="29"/>
        <v>#N/A</v>
      </c>
      <c r="GZ67" s="58" t="e">
        <f ca="1">AVERAGE(OFFSET($GY$3,0,0,'Données projet'!$E$18+1,1))-AVERAGE(OFFSET($H$3,0,0,'Données projet'!$E$18+1,1))</f>
        <v>#N/A</v>
      </c>
      <c r="HA67" s="58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0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3">
        <f t="shared" ref="H68:H131" si="56">(B68+E68+F68)*44/12+(C68+D68)*0.475*44/12</f>
        <v>256.66666666666669</v>
      </c>
      <c r="I68" s="6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253.49999999999991</v>
      </c>
      <c r="P68" s="14">
        <f t="shared" si="33"/>
        <v>61.334805663162498</v>
      </c>
      <c r="Q68" s="22">
        <f t="shared" si="54"/>
        <v>548.33728653000776</v>
      </c>
      <c r="R68" s="58">
        <f t="shared" si="55"/>
        <v>841.67061986334102</v>
      </c>
      <c r="S68" s="58">
        <f ca="1">AVERAGE(OFFSET($R$3,0,0,'Données projet'!$E$9+1,1))-AVERAGE(OFFSET($H$3,0,0,'Données projet'!$E$9+1,1))</f>
        <v>483.15009705023641</v>
      </c>
      <c r="T68" s="58">
        <f t="shared" si="34"/>
        <v>254.25036207346591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249.99999999999991</v>
      </c>
      <c r="AJ68" s="14">
        <f>AI68*VLOOKUP('Données projet'!$B$10,Paramètres!$A$1:$I$89,3,0)*VLOOKUP('Données projet'!$B$10,Paramètres!$A$1:$I$89,5,0)</f>
        <v>226.19999999999993</v>
      </c>
      <c r="AK68" s="14">
        <f t="shared" si="35"/>
        <v>55.460237717698107</v>
      </c>
      <c r="AL68" s="22">
        <f t="shared" ref="AL68:AL131" si="58">(AJ68+AK68)*0.475*44/12</f>
        <v>490.55824735832402</v>
      </c>
      <c r="AM68" s="58">
        <f t="shared" ref="AM68:AM131" si="59">AL68+(AD68+AE68)*44/12</f>
        <v>783.89158069165728</v>
      </c>
      <c r="AN68" s="58">
        <f ca="1">AVERAGE(OFFSET($AM$3,0,0,'Données projet'!$E$10+1,1))-AVERAGE(OFFSET($H$3,0,0,'Données projet'!$E$10+1,1))</f>
        <v>435.7095890216213</v>
      </c>
      <c r="AO68" s="58">
        <f t="shared" si="36"/>
        <v>231.36959598460686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157.69230769230768</v>
      </c>
      <c r="BB68" s="13">
        <f>VLOOKUP(A68,'Données projet'!$A$87:$I$107,9,0)</f>
        <v>3.8461538461538454</v>
      </c>
      <c r="BC68" s="13">
        <f t="array" ref="BC68">INDEX(BB:BB,MIN(IF(ISNUMBER(BB68:BB264),ROW(BB68:BB264),"")))</f>
        <v>3.8461538461538454</v>
      </c>
      <c r="BD68" s="13">
        <f>IF('Données projet'!$A$88&gt;35,BD67+BC68-BL67,IF(A68&lt;'Données projet'!$A$88,$BA$205^A68,IF(A68='Données projet'!$A$88,'Données projet'!$B$88,BD67+BC68-BL67)))</f>
        <v>157.69230769230759</v>
      </c>
      <c r="BE68" s="14">
        <f>BD68*VLOOKUP('Données projet'!$B$11,Paramètres!$A$1:$I$89,3,0)*VLOOKUP('Données projet'!$B$11,Paramètres!$A$1:$I$89,5,0)</f>
        <v>137.75999999999993</v>
      </c>
      <c r="BF68" s="14">
        <f t="shared" si="37"/>
        <v>35.783372232974429</v>
      </c>
      <c r="BG68" s="22">
        <f t="shared" ref="BG68:BG131" si="61">(BE68+BF68)*0.475*44/12</f>
        <v>302.25470663909704</v>
      </c>
      <c r="BH68" s="58">
        <f t="shared" ref="BH68:BH131" si="62">BG68+(AY68+AZ68)*44/12</f>
        <v>595.58803997243035</v>
      </c>
      <c r="BI68" s="58">
        <f ca="1">AVERAGE(OFFSET($BH$3,0,0,'Données projet'!$E$11+1,1))-AVERAGE(OFFSET($H$3,0,0,'Données projet'!$E$11+1,1))</f>
        <v>218.76424742311815</v>
      </c>
      <c r="BJ68" s="58">
        <f t="shared" si="38"/>
        <v>264.34598683038593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14.743589743589743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1.1712679765227507</v>
      </c>
      <c r="BQ68" s="23">
        <f>EXP(-LN(2)/25)*BQ67+(1-EXP(-LN(2)/25))/(LN(2)/25)*Calculateur!BL68*Calculateur!BN68*VLOOKUP('Données projet'!$B$11,Paramètres!$A$1:$I$89,3,0)*0.475*44/12</f>
        <v>1.6538661757517936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2.8251341522745443</v>
      </c>
      <c r="BT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175</v>
      </c>
      <c r="BW68" s="13">
        <f>VLOOKUP(A68,'Données projet'!$A$113:$I$133,9,0)</f>
        <v>5.4</v>
      </c>
      <c r="BX68" s="13">
        <f t="array" ref="BX68">INDEX(BW:BW,MIN(IF(ISNUMBER(BW68:BW264),ROW(BW68:BW264),"")))</f>
        <v>5.4</v>
      </c>
      <c r="BY68" s="13">
        <f>IF('Données projet'!$A$114&gt;35,BY67+BX68-CG67,IF(A68&lt;'Données projet'!$A$114,$BV$205^A68,IF(A68='Données projet'!$A$114,'Données projet'!$B$114,BY67+BX68-CG67)))</f>
        <v>175</v>
      </c>
      <c r="BZ68" s="14">
        <f>BY68*VLOOKUP('Données projet'!$B$12,Paramètres!$A$1:$I$89,3,0)*VLOOKUP('Données projet'!$B$12,Paramètres!$A$1:$I$89,5,0)</f>
        <v>169.26000000000002</v>
      </c>
      <c r="CA68" s="14">
        <f t="shared" si="39"/>
        <v>42.924246146122272</v>
      </c>
      <c r="CB68" s="22">
        <f t="shared" ref="CB68:CB131" si="64">(BZ68+CA68)*0.475*44/12</f>
        <v>369.55422870449632</v>
      </c>
      <c r="CC68" s="58">
        <f t="shared" ref="CC68:CC131" si="65">CB68+(BT68+BU68)*44/12</f>
        <v>662.88756203782964</v>
      </c>
      <c r="CD68" s="58">
        <f ca="1">AVERAGE(OFFSET($CC$3,0,0,'Données projet'!$E$12+1,1))-AVERAGE(OFFSET($H$3,0,0,'Données projet'!$E$12+1,1))</f>
        <v>343.86347628565426</v>
      </c>
      <c r="CE68" s="58">
        <f t="shared" si="40"/>
        <v>129.28196646107097</v>
      </c>
      <c r="CF68" s="16">
        <f>IF(ISNA(VLOOKUP(A68,'Données projet'!$A$113:$I$133,3,0)),0,VLOOKUP(A68,'Données projet'!$A$113:$I$133,3,0))</f>
        <v>4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58" t="e">
        <f t="shared" ref="CX68:CX131" si="68">CW68+(CO68+CP68)*44/12</f>
        <v>#N/A</v>
      </c>
      <c r="CY68" s="58" t="e">
        <f ca="1">AVERAGE(OFFSET($CX$3,0,0,'Données projet'!$E$13+1,1))-AVERAGE(OFFSET($H$3,0,0,'Données projet'!$E$13+1,1))</f>
        <v>#N/A</v>
      </c>
      <c r="CZ68" s="58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4.1212121212121193</v>
      </c>
      <c r="DO68" s="13">
        <f>IF('Données projet'!$A$166&gt;35,DO67+DN68-DW67,IF(A68&lt;'Données projet'!$A$166,$DL$205^A68,IF(A68='Données projet'!$A$166,'Données projet'!$B$166,DO67+DN68-DW67)))</f>
        <v>175.75757575757606</v>
      </c>
      <c r="DP68" s="18">
        <f>DO68*VLOOKUP('Données projet'!$B$14,Paramètres!$A$1:$I$89,3,0)*VLOOKUP('Données projet'!$B$14,Paramètres!$A$1:$I$89,5,0)</f>
        <v>167.2509090909094</v>
      </c>
      <c r="DQ68" s="14">
        <f t="shared" si="43"/>
        <v>42.473735678200569</v>
      </c>
      <c r="DR68" s="22">
        <f t="shared" ref="DR68:DR131" si="70">(DP68+DQ68)*0.475*44/12</f>
        <v>365.27042297286653</v>
      </c>
      <c r="DS68" s="58">
        <f t="shared" ref="DS68:DS131" si="71">DR68+(DJ68+DK68)*44/12</f>
        <v>658.60375630619978</v>
      </c>
      <c r="DT68" s="58">
        <f ca="1">AVERAGE(OFFSET($DS$3,0,0,'Données projet'!$E$14+1,1))-AVERAGE(OFFSET($H$3,0,0,'Données projet'!$E$14+1,1))</f>
        <v>332.49889399440514</v>
      </c>
      <c r="DU68" s="58">
        <f t="shared" si="44"/>
        <v>256.06044006790529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291.66666666666663</v>
      </c>
      <c r="EH68" s="13">
        <f>VLOOKUP(A68,'Données projet'!$A$191:$I$211,9,0)</f>
        <v>6.0256410256410273</v>
      </c>
      <c r="EI68" s="13">
        <f t="array" ref="EI68">INDEX(EH:EH,MIN(IF(ISNUMBER(EH68:EH264),ROW(EH68:EH264),"")))</f>
        <v>6.0256410256410273</v>
      </c>
      <c r="EJ68" s="13">
        <f>IF('Données projet'!$A$192&gt;35,EJ67+EI68-ER67,IF(A68&lt;'Données projet'!$A$192,$EG$205^A68,IF(A68='Données projet'!$A$192,'Données projet'!$B$192,EJ67+EI68-ER67)))</f>
        <v>291.66666666666691</v>
      </c>
      <c r="EK68" s="18">
        <f>EJ68*VLOOKUP('Données projet'!$B$15,Paramètres!$A$1:$I$89,3,0)*VLOOKUP('Données projet'!$B$15,Paramètres!$A$1:$I$89,5,0)</f>
        <v>304.85000000000031</v>
      </c>
      <c r="EL68" s="14">
        <f t="shared" si="45"/>
        <v>72.192258816313696</v>
      </c>
      <c r="EM68" s="22">
        <f t="shared" ref="EM68:EM131" si="73">(EK68+EL68)*0.475*44/12</f>
        <v>656.68193410508013</v>
      </c>
      <c r="EN68" s="58">
        <f t="shared" ref="EN68:EN131" si="74">EM68+(EE68+EF68)*44/12</f>
        <v>950.0152674384135</v>
      </c>
      <c r="EO68" s="58">
        <f ca="1">AVERAGE(OFFSET($EN$3,0,0,'Données projet'!$E$15+1,1))-AVERAGE(OFFSET($H$3,0,0,'Données projet'!$E$15+1,1))</f>
        <v>596.00698505207174</v>
      </c>
      <c r="EP68" s="58">
        <f t="shared" si="46"/>
        <v>378.16197659288338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13.737499999999997</v>
      </c>
      <c r="FE68" s="13">
        <f>IF('Données projet'!$A$218&gt;35,FE67+FD68-FM67,IF(A68&lt;'Données projet'!$A$218,$FB$205^A68,IF(A68='Données projet'!$A$218,'Données projet'!$B$218,FE67+FD68-FM67)))</f>
        <v>331.52884615384602</v>
      </c>
      <c r="FF68" s="18">
        <f>FE68*VLOOKUP('Données projet'!$B$16,Paramètres!$A$1:$I$89,3,0)*VLOOKUP('Données projet'!$B$16,Paramètres!$A$1:$I$89,5,0)</f>
        <v>155.15549999999993</v>
      </c>
      <c r="FG68" s="14">
        <f t="shared" si="47"/>
        <v>39.747877334107415</v>
      </c>
      <c r="FH68" s="22">
        <f t="shared" ref="FH68:FH131" si="76">(FF68+FG68)*0.475*44/12</f>
        <v>339.45671552357027</v>
      </c>
      <c r="FI68" s="58">
        <f t="shared" ref="FI68:FI131" si="77">FH68+(EZ68+FA68)*44/12</f>
        <v>632.79004885690358</v>
      </c>
      <c r="FJ68" s="58">
        <f ca="1">AVERAGE(OFFSET($FI$3,0,0,'Données projet'!$E$16+1,1))-AVERAGE(OFFSET($H$3,0,0,'Données projet'!$E$16+1,1))</f>
        <v>294.31042006404056</v>
      </c>
      <c r="FK68" s="58">
        <f t="shared" si="48"/>
        <v>260.93767498478502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282.69230769230768</v>
      </c>
      <c r="FX68" s="13">
        <f>VLOOKUP(A68,'Données projet'!$A$243:$I$263,9,0)</f>
        <v>5.7692307692307683</v>
      </c>
      <c r="FY68" s="13">
        <f t="array" ref="FY68">INDEX(FX:FX,MIN(IF(ISNUMBER(FX68:FX264),ROW(FX68:FX264),"")))</f>
        <v>5.7692307692307683</v>
      </c>
      <c r="FZ68" s="13">
        <f>IF('Données projet'!$A$244&gt;35,FZ67+FY68-GH67,IF(A68&lt;'Données projet'!$A$244,$FW$205^A68,IF(A68='Données projet'!$A$244,'Données projet'!$B$244,FZ67+FY68-GH67)))</f>
        <v>282.69230769230762</v>
      </c>
      <c r="GA68" s="18">
        <f>FZ68*VLOOKUP('Données projet'!$B$17,Paramètres!$A$1:$I$89,3,0)*VLOOKUP('Données projet'!$B$17,Paramètres!$A$1:$I$89,5,0)</f>
        <v>189.62999999999997</v>
      </c>
      <c r="GB68" s="14">
        <f t="shared" si="49"/>
        <v>47.458141826690017</v>
      </c>
      <c r="GC68" s="22">
        <f t="shared" ref="GC68:GC131" si="79">(GA68+GB68)*0.475*44/12</f>
        <v>412.92851368148507</v>
      </c>
      <c r="GD68" s="58">
        <f t="shared" ref="GD68:GD131" si="80">GC68+(FU68+FV68)*44/12</f>
        <v>706.26184701481839</v>
      </c>
      <c r="GE68" s="58">
        <f ca="1">AVERAGE(OFFSET($GD$3,0,0,'Données projet'!$E$17+1,1))-AVERAGE(OFFSET($H$3,0,0,'Données projet'!$E$17+1,1))</f>
        <v>362.1372269575329</v>
      </c>
      <c r="GF68" s="58">
        <f t="shared" si="50"/>
        <v>308.1559670593121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58" t="e">
        <f t="shared" ref="GY68:GY131" si="83">GX68+(GP68+GQ68)*44/12</f>
        <v>#N/A</v>
      </c>
      <c r="GZ68" s="58" t="e">
        <f ca="1">AVERAGE(OFFSET($GY$3,0,0,'Données projet'!$E$18+1,1))-AVERAGE(OFFSET($H$3,0,0,'Données projet'!$E$18+1,1))</f>
        <v>#N/A</v>
      </c>
      <c r="HA68" s="58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0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3">
        <f t="shared" si="56"/>
        <v>256.66666666666669</v>
      </c>
      <c r="I69" s="6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58">
        <f t="shared" si="55"/>
        <v>766.10041433772585</v>
      </c>
      <c r="S69" s="58">
        <f ca="1">AVERAGE(OFFSET($R$3,0,0,'Données projet'!$E$9+1,1))-AVERAGE(OFFSET($H$3,0,0,'Données projet'!$E$9+1,1))</f>
        <v>483.15009705023641</v>
      </c>
      <c r="T69" s="58">
        <f t="shared" ref="T69:T132" si="88">$T$3</f>
        <v>254.25036207346591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projet'!$B$10,Paramètres!$A$1:$I$89,3,0)*VLOOKUP('Données projet'!$B$10,Paramètres!$A$1:$I$89,5,0)</f>
        <v>194.3510399999999</v>
      </c>
      <c r="AK69" s="14">
        <f t="shared" ref="AK69:AK132" si="89">EXP(-1.0587+0.8836*LN(AJ69)+0.284)</f>
        <v>48.500634729810116</v>
      </c>
      <c r="AL69" s="22">
        <f t="shared" si="58"/>
        <v>422.96666682108577</v>
      </c>
      <c r="AM69" s="58">
        <f t="shared" si="59"/>
        <v>716.30000015441908</v>
      </c>
      <c r="AN69" s="58">
        <f ca="1">AVERAGE(OFFSET($AM$3,0,0,'Données projet'!$E$10+1,1))-AVERAGE(OFFSET($H$3,0,0,'Données projet'!$E$10+1,1))</f>
        <v>435.7095890216213</v>
      </c>
      <c r="AO69" s="58">
        <f t="shared" ref="AO69:AO132" si="90">$AO$3</f>
        <v>231.36959598460686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3.333333333333337</v>
      </c>
      <c r="BD69" s="13">
        <f>IF('Données projet'!$A$88&gt;35,BD68+BC69-BL68,IF(A69&lt;'Données projet'!$A$88,$BA$205^A69,IF(A69='Données projet'!$A$88,'Données projet'!$B$88,BD68+BC69-BL68)))</f>
        <v>146.28205128205119</v>
      </c>
      <c r="BE69" s="14">
        <f>BD69*VLOOKUP('Données projet'!$B$11,Paramètres!$A$1:$I$89,3,0)*VLOOKUP('Données projet'!$B$11,Paramètres!$A$1:$I$89,5,0)</f>
        <v>127.79199999999994</v>
      </c>
      <c r="BF69" s="14">
        <f t="shared" ref="BF69:BF132" si="91">EXP(-1.0587+0.8836*LN(BE69)+0.284)</f>
        <v>33.485647805195867</v>
      </c>
      <c r="BG69" s="22">
        <f t="shared" si="61"/>
        <v>280.89190326071599</v>
      </c>
      <c r="BH69" s="58">
        <f t="shared" si="62"/>
        <v>574.22523659404931</v>
      </c>
      <c r="BI69" s="58">
        <f ca="1">AVERAGE(OFFSET($BH$3,0,0,'Données projet'!$E$11+1,1))-AVERAGE(OFFSET($H$3,0,0,'Données projet'!$E$11+1,1))</f>
        <v>218.76424742311815</v>
      </c>
      <c r="BJ69" s="58">
        <f t="shared" ref="BJ69:BJ132" si="92">$BJ$3</f>
        <v>264.34598683038593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1.1483001259060639</v>
      </c>
      <c r="BQ69" s="23">
        <f>EXP(-LN(2)/25)*BQ68+(1-EXP(-LN(2)/25))/(LN(2)/25)*Calculateur!BL69*Calculateur!BN69*VLOOKUP('Données projet'!$B$11,Paramètres!$A$1:$I$89,3,0)*0.475*44/12</f>
        <v>1.6086411182028186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2.7569412441088827</v>
      </c>
      <c r="BT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</v>
      </c>
      <c r="BY69" s="13">
        <f>IF('Données projet'!$A$114&gt;35,BY68+BX69-CG68,IF(A69&lt;'Données projet'!$A$114,$BV$205^A69,IF(A69='Données projet'!$A$114,'Données projet'!$B$114,BY68+BX69-CG68)))</f>
        <v>152</v>
      </c>
      <c r="BZ69" s="14">
        <f>BY69*VLOOKUP('Données projet'!$B$12,Paramètres!$A$1:$I$89,3,0)*VLOOKUP('Données projet'!$B$12,Paramètres!$A$1:$I$89,5,0)</f>
        <v>147.01439999999999</v>
      </c>
      <c r="CA69" s="14">
        <f t="shared" ref="CA69:CA132" si="93">EXP(-1.0587+0.8836*LN(BZ69)+0.284)</f>
        <v>37.899305454176826</v>
      </c>
      <c r="CB69" s="22">
        <f t="shared" si="64"/>
        <v>322.05803699935797</v>
      </c>
      <c r="CC69" s="58">
        <f t="shared" si="65"/>
        <v>615.39137033269128</v>
      </c>
      <c r="CD69" s="58">
        <f ca="1">AVERAGE(OFFSET($CC$3,0,0,'Données projet'!$E$12+1,1))-AVERAGE(OFFSET($H$3,0,0,'Données projet'!$E$12+1,1))</f>
        <v>343.86347628565426</v>
      </c>
      <c r="CE69" s="58">
        <f t="shared" ref="CE69:CE132" si="94">$CE$3</f>
        <v>129.28196646107097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58" t="e">
        <f t="shared" si="68"/>
        <v>#N/A</v>
      </c>
      <c r="CY69" s="58" t="e">
        <f ca="1">AVERAGE(OFFSET($CX$3,0,0,'Données projet'!$E$13+1,1))-AVERAGE(OFFSET($H$3,0,0,'Données projet'!$E$13+1,1))</f>
        <v>#N/A</v>
      </c>
      <c r="CZ69" s="58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4.1212121212121193</v>
      </c>
      <c r="DO69" s="13">
        <f>IF('Données projet'!$A$166&gt;35,DO68+DN69-DW68,IF(A69&lt;'Données projet'!$A$166,$DL$205^A69,IF(A69='Données projet'!$A$166,'Données projet'!$B$166,DO68+DN69-DW68)))</f>
        <v>179.87878787878819</v>
      </c>
      <c r="DP69" s="18">
        <f>DO69*VLOOKUP('Données projet'!$B$14,Paramètres!$A$1:$I$89,3,0)*VLOOKUP('Données projet'!$B$14,Paramètres!$A$1:$I$89,5,0)</f>
        <v>171.17265454545486</v>
      </c>
      <c r="DQ69" s="14">
        <f t="shared" ref="DQ69:DQ132" si="97">EXP(-1.0587+0.8836*LN(DP69)+0.284)</f>
        <v>43.352554025907317</v>
      </c>
      <c r="DR69" s="22">
        <f t="shared" si="70"/>
        <v>373.63140492845582</v>
      </c>
      <c r="DS69" s="58">
        <f t="shared" si="71"/>
        <v>666.96473826178908</v>
      </c>
      <c r="DT69" s="58">
        <f ca="1">AVERAGE(OFFSET($DS$3,0,0,'Données projet'!$E$14+1,1))-AVERAGE(OFFSET($H$3,0,0,'Données projet'!$E$14+1,1))</f>
        <v>332.49889399440514</v>
      </c>
      <c r="DU69" s="58">
        <f t="shared" ref="DU69:DU132" si="98">$DU$3</f>
        <v>256.06044006790529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5.6410256410256467</v>
      </c>
      <c r="EJ69" s="13">
        <f>IF('Données projet'!$A$192&gt;35,EJ68+EI69-ER68,IF(A69&lt;'Données projet'!$A$192,$EG$205^A69,IF(A69='Données projet'!$A$192,'Données projet'!$B$192,EJ68+EI69-ER68)))</f>
        <v>297.30769230769255</v>
      </c>
      <c r="EK69" s="18">
        <f>EJ69*VLOOKUP('Données projet'!$B$15,Paramètres!$A$1:$I$89,3,0)*VLOOKUP('Données projet'!$B$15,Paramètres!$A$1:$I$89,5,0)</f>
        <v>310.74600000000032</v>
      </c>
      <c r="EL69" s="14">
        <f t="shared" ref="EL69:EL132" si="99">EXP(-1.0587+0.8836*LN(EK69)+0.284)</f>
        <v>73.424602863040889</v>
      </c>
      <c r="EM69" s="22">
        <f t="shared" si="73"/>
        <v>669.09713331979674</v>
      </c>
      <c r="EN69" s="58">
        <f t="shared" si="74"/>
        <v>962.43046665313</v>
      </c>
      <c r="EO69" s="58">
        <f ca="1">AVERAGE(OFFSET($EN$3,0,0,'Données projet'!$E$15+1,1))-AVERAGE(OFFSET($H$3,0,0,'Données projet'!$E$15+1,1))</f>
        <v>596.00698505207174</v>
      </c>
      <c r="EP69" s="58">
        <f t="shared" ref="EP69:EP132" si="100">$EP$3</f>
        <v>378.16197659288338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13.737499999999997</v>
      </c>
      <c r="FE69" s="13">
        <f>IF('Données projet'!$A$218&gt;35,FE68+FD69-FM68,IF(A69&lt;'Données projet'!$A$218,$FB$205^A69,IF(A69='Données projet'!$A$218,'Données projet'!$B$218,FE68+FD69-FM68)))</f>
        <v>345.26634615384603</v>
      </c>
      <c r="FF69" s="18">
        <f>FE69*VLOOKUP('Données projet'!$B$16,Paramètres!$A$1:$I$89,3,0)*VLOOKUP('Données projet'!$B$16,Paramètres!$A$1:$I$89,5,0)</f>
        <v>161.58464999999995</v>
      </c>
      <c r="FG69" s="14">
        <f t="shared" ref="FG69:FG132" si="101">EXP(-1.0587+0.8836*LN(FF69)+0.284)</f>
        <v>41.199732368807574</v>
      </c>
      <c r="FH69" s="22">
        <f t="shared" si="76"/>
        <v>353.18279929233978</v>
      </c>
      <c r="FI69" s="58">
        <f t="shared" si="77"/>
        <v>646.51613262567309</v>
      </c>
      <c r="FJ69" s="58">
        <f ca="1">AVERAGE(OFFSET($FI$3,0,0,'Données projet'!$E$16+1,1))-AVERAGE(OFFSET($H$3,0,0,'Données projet'!$E$16+1,1))</f>
        <v>294.31042006404056</v>
      </c>
      <c r="FK69" s="58">
        <f t="shared" ref="FK69:FK132" si="102">$FK$3</f>
        <v>260.93767498478502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5.2564102564102537</v>
      </c>
      <c r="FZ69" s="13">
        <f>IF('Données projet'!$A$244&gt;35,FZ68+FY69-GH68,IF(A69&lt;'Données projet'!$A$244,$FW$205^A69,IF(A69='Données projet'!$A$244,'Données projet'!$B$244,FZ68+FY69-GH68)))</f>
        <v>287.9487179487179</v>
      </c>
      <c r="GA69" s="18">
        <f>FZ69*VLOOKUP('Données projet'!$B$17,Paramètres!$A$1:$I$89,3,0)*VLOOKUP('Données projet'!$B$17,Paramètres!$A$1:$I$89,5,0)</f>
        <v>193.15599999999998</v>
      </c>
      <c r="GB69" s="14">
        <f t="shared" ref="GB69:GB132" si="103">EXP(-1.0587+0.8836*LN(GA69)+0.284)</f>
        <v>48.237029240325811</v>
      </c>
      <c r="GC69" s="22">
        <f t="shared" si="79"/>
        <v>420.42619259356735</v>
      </c>
      <c r="GD69" s="58">
        <f t="shared" si="80"/>
        <v>713.75952592690066</v>
      </c>
      <c r="GE69" s="58">
        <f ca="1">AVERAGE(OFFSET($GD$3,0,0,'Données projet'!$E$17+1,1))-AVERAGE(OFFSET($H$3,0,0,'Données projet'!$E$17+1,1))</f>
        <v>362.1372269575329</v>
      </c>
      <c r="GF69" s="58">
        <f t="shared" ref="GF69:GF132" si="104">$GF$3</f>
        <v>308.1559670593121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58" t="e">
        <f t="shared" si="83"/>
        <v>#N/A</v>
      </c>
      <c r="GZ69" s="58" t="e">
        <f ca="1">AVERAGE(OFFSET($GY$3,0,0,'Données projet'!$E$18+1,1))-AVERAGE(OFFSET($H$3,0,0,'Données projet'!$E$18+1,1))</f>
        <v>#N/A</v>
      </c>
      <c r="HA69" s="58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0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3">
        <f t="shared" si="56"/>
        <v>256.66666666666669</v>
      </c>
      <c r="I70" s="6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224.7023999999999</v>
      </c>
      <c r="P70" s="14">
        <f t="shared" si="87"/>
        <v>55.135667706678262</v>
      </c>
      <c r="Q70" s="22">
        <f t="shared" si="54"/>
        <v>487.38463458913111</v>
      </c>
      <c r="R70" s="58">
        <f t="shared" si="55"/>
        <v>780.71796792246437</v>
      </c>
      <c r="S70" s="58">
        <f ca="1">AVERAGE(OFFSET($R$3,0,0,'Données projet'!$E$9+1,1))-AVERAGE(OFFSET($H$3,0,0,'Données projet'!$E$9+1,1))</f>
        <v>483.15009705023641</v>
      </c>
      <c r="T70" s="58">
        <f t="shared" si="88"/>
        <v>254.25036207346591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projet'!$B$10,Paramètres!$A$1:$I$89,3,0)*VLOOKUP('Données projet'!$B$10,Paramètres!$A$1:$I$89,5,0)</f>
        <v>200.50367999999992</v>
      </c>
      <c r="AK70" s="14">
        <f t="shared" si="89"/>
        <v>49.854845135229887</v>
      </c>
      <c r="AL70" s="22">
        <f t="shared" si="58"/>
        <v>436.04109794385857</v>
      </c>
      <c r="AM70" s="58">
        <f t="shared" si="59"/>
        <v>729.37443127719189</v>
      </c>
      <c r="AN70" s="58">
        <f ca="1">AVERAGE(OFFSET($AM$3,0,0,'Données projet'!$E$10+1,1))-AVERAGE(OFFSET($H$3,0,0,'Données projet'!$E$10+1,1))</f>
        <v>435.7095890216213</v>
      </c>
      <c r="AO70" s="58">
        <f t="shared" si="90"/>
        <v>231.36959598460686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3.333333333333337</v>
      </c>
      <c r="BD70" s="13">
        <f>IF('Données projet'!$A$88&gt;35,BD69+BC70-BL69,IF(A70&lt;'Données projet'!$A$88,$BA$205^A70,IF(A70='Données projet'!$A$88,'Données projet'!$B$88,BD69+BC70-BL69)))</f>
        <v>149.61538461538453</v>
      </c>
      <c r="BE70" s="14">
        <f>BD70*VLOOKUP('Données projet'!$B$11,Paramètres!$A$1:$I$89,3,0)*VLOOKUP('Données projet'!$B$11,Paramètres!$A$1:$I$89,5,0)</f>
        <v>130.70399999999995</v>
      </c>
      <c r="BF70" s="14">
        <f t="shared" si="91"/>
        <v>34.158981894673722</v>
      </c>
      <c r="BG70" s="22">
        <f t="shared" si="61"/>
        <v>287.13636013322332</v>
      </c>
      <c r="BH70" s="58">
        <f t="shared" si="62"/>
        <v>580.46969346655669</v>
      </c>
      <c r="BI70" s="58">
        <f ca="1">AVERAGE(OFFSET($BH$3,0,0,'Données projet'!$E$11+1,1))-AVERAGE(OFFSET($H$3,0,0,'Données projet'!$E$11+1,1))</f>
        <v>218.76424742311815</v>
      </c>
      <c r="BJ70" s="58">
        <f t="shared" si="92"/>
        <v>264.34598683038593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1.1257826608309647</v>
      </c>
      <c r="BQ70" s="23">
        <f>EXP(-LN(2)/25)*BQ69+(1-EXP(-LN(2)/25))/(LN(2)/25)*Calculateur!BL70*Calculateur!BN70*VLOOKUP('Données projet'!$B$11,Paramètres!$A$1:$I$89,3,0)*0.475*44/12</f>
        <v>1.5646527422308028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2.6904354030617674</v>
      </c>
      <c r="BT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</v>
      </c>
      <c r="BY70" s="13">
        <f>IF('Données projet'!$A$114&gt;35,BY69+BX70-CG69,IF(A70&lt;'Données projet'!$A$114,$BV$205^A70,IF(A70='Données projet'!$A$114,'Données projet'!$B$114,BY69+BX70-CG69)))</f>
        <v>157</v>
      </c>
      <c r="BZ70" s="14">
        <f>BY70*VLOOKUP('Données projet'!$B$12,Paramètres!$A$1:$I$89,3,0)*VLOOKUP('Données projet'!$B$12,Paramètres!$A$1:$I$89,5,0)</f>
        <v>151.85040000000001</v>
      </c>
      <c r="CA70" s="14">
        <f t="shared" si="93"/>
        <v>38.998795130362446</v>
      </c>
      <c r="CB70" s="22">
        <f t="shared" si="64"/>
        <v>332.39568151871464</v>
      </c>
      <c r="CC70" s="58">
        <f t="shared" si="65"/>
        <v>625.72901485204795</v>
      </c>
      <c r="CD70" s="58">
        <f ca="1">AVERAGE(OFFSET($CC$3,0,0,'Données projet'!$E$12+1,1))-AVERAGE(OFFSET($H$3,0,0,'Données projet'!$E$12+1,1))</f>
        <v>343.86347628565426</v>
      </c>
      <c r="CE70" s="58">
        <f t="shared" si="94"/>
        <v>129.28196646107097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58" t="e">
        <f t="shared" si="68"/>
        <v>#N/A</v>
      </c>
      <c r="CY70" s="58" t="e">
        <f ca="1">AVERAGE(OFFSET($CX$3,0,0,'Données projet'!$E$13+1,1))-AVERAGE(OFFSET($H$3,0,0,'Données projet'!$E$13+1,1))</f>
        <v>#N/A</v>
      </c>
      <c r="CZ70" s="58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4.1212121212121193</v>
      </c>
      <c r="DO70" s="13">
        <f>IF('Données projet'!$A$166&gt;35,DO69+DN70-DW69,IF(A70&lt;'Données projet'!$A$166,$DL$205^A70,IF(A70='Données projet'!$A$166,'Données projet'!$B$166,DO69+DN70-DW69)))</f>
        <v>184.00000000000031</v>
      </c>
      <c r="DP70" s="18">
        <f>DO70*VLOOKUP('Données projet'!$B$14,Paramètres!$A$1:$I$89,3,0)*VLOOKUP('Données projet'!$B$14,Paramètres!$A$1:$I$89,5,0)</f>
        <v>175.09440000000032</v>
      </c>
      <c r="DQ70" s="14">
        <f t="shared" si="97"/>
        <v>44.229031605992034</v>
      </c>
      <c r="DR70" s="22">
        <f t="shared" si="70"/>
        <v>381.98831004710337</v>
      </c>
      <c r="DS70" s="58">
        <f t="shared" si="71"/>
        <v>675.32164338043663</v>
      </c>
      <c r="DT70" s="58">
        <f ca="1">AVERAGE(OFFSET($DS$3,0,0,'Données projet'!$E$14+1,1))-AVERAGE(OFFSET($H$3,0,0,'Données projet'!$E$14+1,1))</f>
        <v>332.49889399440514</v>
      </c>
      <c r="DU70" s="58">
        <f t="shared" si="98"/>
        <v>256.06044006790529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5.6410256410256467</v>
      </c>
      <c r="EJ70" s="13">
        <f>IF('Données projet'!$A$192&gt;35,EJ69+EI70-ER69,IF(A70&lt;'Données projet'!$A$192,$EG$205^A70,IF(A70='Données projet'!$A$192,'Données projet'!$B$192,EJ69+EI70-ER69)))</f>
        <v>302.94871794871818</v>
      </c>
      <c r="EK70" s="18">
        <f>EJ70*VLOOKUP('Données projet'!$B$15,Paramètres!$A$1:$I$89,3,0)*VLOOKUP('Données projet'!$B$15,Paramètres!$A$1:$I$89,5,0)</f>
        <v>316.64200000000028</v>
      </c>
      <c r="EL70" s="14">
        <f t="shared" si="99"/>
        <v>74.654228061715287</v>
      </c>
      <c r="EM70" s="22">
        <f t="shared" si="73"/>
        <v>681.50759720748795</v>
      </c>
      <c r="EN70" s="58">
        <f t="shared" si="74"/>
        <v>974.84093054082132</v>
      </c>
      <c r="EO70" s="58">
        <f ca="1">AVERAGE(OFFSET($EN$3,0,0,'Données projet'!$E$15+1,1))-AVERAGE(OFFSET($H$3,0,0,'Données projet'!$E$15+1,1))</f>
        <v>596.00698505207174</v>
      </c>
      <c r="EP70" s="58">
        <f t="shared" si="100"/>
        <v>378.16197659288338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13.737499999999997</v>
      </c>
      <c r="FE70" s="13">
        <f>IF('Données projet'!$A$218&gt;35,FE69+FD70-FM69,IF(A70&lt;'Données projet'!$A$218,$FB$205^A70,IF(A70='Données projet'!$A$218,'Données projet'!$B$218,FE69+FD70-FM69)))</f>
        <v>359.00384615384604</v>
      </c>
      <c r="FF70" s="18">
        <f>FE70*VLOOKUP('Données projet'!$B$16,Paramètres!$A$1:$I$89,3,0)*VLOOKUP('Données projet'!$B$16,Paramètres!$A$1:$I$89,5,0)</f>
        <v>168.01379999999995</v>
      </c>
      <c r="FG70" s="14">
        <f t="shared" si="101"/>
        <v>42.644877049412187</v>
      </c>
      <c r="FH70" s="22">
        <f t="shared" si="76"/>
        <v>366.8971958610594</v>
      </c>
      <c r="FI70" s="58">
        <f t="shared" si="77"/>
        <v>660.23052919439272</v>
      </c>
      <c r="FJ70" s="58">
        <f ca="1">AVERAGE(OFFSET($FI$3,0,0,'Données projet'!$E$16+1,1))-AVERAGE(OFFSET($H$3,0,0,'Données projet'!$E$16+1,1))</f>
        <v>294.31042006404056</v>
      </c>
      <c r="FK70" s="58">
        <f t="shared" si="102"/>
        <v>260.93767498478502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5.2564102564102537</v>
      </c>
      <c r="FZ70" s="13">
        <f>IF('Données projet'!$A$244&gt;35,FZ69+FY70-GH69,IF(A70&lt;'Données projet'!$A$244,$FW$205^A70,IF(A70='Données projet'!$A$244,'Données projet'!$B$244,FZ69+FY70-GH69)))</f>
        <v>293.20512820512818</v>
      </c>
      <c r="GA70" s="18">
        <f>FZ70*VLOOKUP('Données projet'!$B$17,Paramètres!$A$1:$I$89,3,0)*VLOOKUP('Données projet'!$B$17,Paramètres!$A$1:$I$89,5,0)</f>
        <v>196.68199999999999</v>
      </c>
      <c r="GB70" s="14">
        <f t="shared" si="103"/>
        <v>49.014263299588542</v>
      </c>
      <c r="GC70" s="22">
        <f t="shared" si="79"/>
        <v>427.92099191345005</v>
      </c>
      <c r="GD70" s="58">
        <f t="shared" si="80"/>
        <v>721.25432524678331</v>
      </c>
      <c r="GE70" s="58">
        <f ca="1">AVERAGE(OFFSET($GD$3,0,0,'Données projet'!$E$17+1,1))-AVERAGE(OFFSET($H$3,0,0,'Données projet'!$E$17+1,1))</f>
        <v>362.1372269575329</v>
      </c>
      <c r="GF70" s="58">
        <f t="shared" si="104"/>
        <v>308.1559670593121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58" t="e">
        <f t="shared" si="83"/>
        <v>#N/A</v>
      </c>
      <c r="GZ70" s="58" t="e">
        <f ca="1">AVERAGE(OFFSET($GY$3,0,0,'Données projet'!$E$18+1,1))-AVERAGE(OFFSET($H$3,0,0,'Données projet'!$E$18+1,1))</f>
        <v>#N/A</v>
      </c>
      <c r="HA70" s="58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0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3">
        <f t="shared" si="56"/>
        <v>256.66666666666669</v>
      </c>
      <c r="I71" s="6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231.59759999999994</v>
      </c>
      <c r="P71" s="14">
        <f t="shared" si="87"/>
        <v>56.627980714948151</v>
      </c>
      <c r="Q71" s="22">
        <f t="shared" si="54"/>
        <v>501.99288641186786</v>
      </c>
      <c r="R71" s="58">
        <f t="shared" si="55"/>
        <v>795.32621974520112</v>
      </c>
      <c r="S71" s="58">
        <f ca="1">AVERAGE(OFFSET($R$3,0,0,'Données projet'!$E$9+1,1))-AVERAGE(OFFSET($H$3,0,0,'Données projet'!$E$9+1,1))</f>
        <v>483.15009705023641</v>
      </c>
      <c r="T71" s="58">
        <f t="shared" si="88"/>
        <v>254.25036207346591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58">
        <f t="shared" si="59"/>
        <v>742.44045154863397</v>
      </c>
      <c r="AN71" s="58">
        <f ca="1">AVERAGE(OFFSET($AM$3,0,0,'Données projet'!$E$10+1,1))-AVERAGE(OFFSET($H$3,0,0,'Données projet'!$E$10+1,1))</f>
        <v>435.7095890216213</v>
      </c>
      <c r="AO71" s="58">
        <f t="shared" si="90"/>
        <v>231.36959598460686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3.333333333333337</v>
      </c>
      <c r="BD71" s="13">
        <f>IF('Données projet'!$A$88&gt;35,BD70+BC71-BL70,IF(A71&lt;'Données projet'!$A$88,$BA$205^A71,IF(A71='Données projet'!$A$88,'Données projet'!$B$88,BD70+BC71-BL70)))</f>
        <v>152.94871794871787</v>
      </c>
      <c r="BE71" s="14">
        <f>BD71*VLOOKUP('Données projet'!$B$11,Paramètres!$A$1:$I$89,3,0)*VLOOKUP('Données projet'!$B$11,Paramètres!$A$1:$I$89,5,0)</f>
        <v>133.61599999999993</v>
      </c>
      <c r="BF71" s="14">
        <f t="shared" si="91"/>
        <v>34.830571925678981</v>
      </c>
      <c r="BG71" s="22">
        <f t="shared" si="61"/>
        <v>293.37777943722409</v>
      </c>
      <c r="BH71" s="58">
        <f t="shared" si="62"/>
        <v>586.71111277055741</v>
      </c>
      <c r="BI71" s="58">
        <f ca="1">AVERAGE(OFFSET($BH$3,0,0,'Données projet'!$E$11+1,1))-AVERAGE(OFFSET($H$3,0,0,'Données projet'!$E$11+1,1))</f>
        <v>218.76424742311815</v>
      </c>
      <c r="BJ71" s="58">
        <f t="shared" si="92"/>
        <v>264.34598683038593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1.1037067495116906</v>
      </c>
      <c r="BQ71" s="23">
        <f>EXP(-LN(2)/25)*BQ70+(1-EXP(-LN(2)/25))/(LN(2)/25)*Calculateur!BL71*Calculateur!BN71*VLOOKUP('Données projet'!$B$11,Paramètres!$A$1:$I$89,3,0)*0.475*44/12</f>
        <v>1.5218672307129899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2.6255739802246802</v>
      </c>
      <c r="BT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</v>
      </c>
      <c r="BY71" s="13">
        <f>IF('Données projet'!$A$114&gt;35,BY70+BX71-CG70,IF(A71&lt;'Données projet'!$A$114,$BV$205^A71,IF(A71='Données projet'!$A$114,'Données projet'!$B$114,BY70+BX71-CG70)))</f>
        <v>162</v>
      </c>
      <c r="BZ71" s="14">
        <f>BY71*VLOOKUP('Données projet'!$B$12,Paramètres!$A$1:$I$89,3,0)*VLOOKUP('Données projet'!$B$12,Paramètres!$A$1:$I$89,5,0)</f>
        <v>156.68639999999999</v>
      </c>
      <c r="CA71" s="14">
        <f t="shared" si="93"/>
        <v>40.094215809840712</v>
      </c>
      <c r="CB71" s="22">
        <f t="shared" si="64"/>
        <v>342.7262392021392</v>
      </c>
      <c r="CC71" s="58">
        <f t="shared" si="65"/>
        <v>636.05957253547251</v>
      </c>
      <c r="CD71" s="58">
        <f ca="1">AVERAGE(OFFSET($CC$3,0,0,'Données projet'!$E$12+1,1))-AVERAGE(OFFSET($H$3,0,0,'Données projet'!$E$12+1,1))</f>
        <v>343.86347628565426</v>
      </c>
      <c r="CE71" s="58">
        <f t="shared" si="94"/>
        <v>129.28196646107097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58" t="e">
        <f t="shared" si="68"/>
        <v>#N/A</v>
      </c>
      <c r="CY71" s="58" t="e">
        <f ca="1">AVERAGE(OFFSET($CX$3,0,0,'Données projet'!$E$13+1,1))-AVERAGE(OFFSET($H$3,0,0,'Données projet'!$E$13+1,1))</f>
        <v>#N/A</v>
      </c>
      <c r="CZ71" s="58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4.1212121212121193</v>
      </c>
      <c r="DO71" s="13">
        <f>IF('Données projet'!$A$166&gt;35,DO70+DN71-DW70,IF(A71&lt;'Données projet'!$A$166,$DL$205^A71,IF(A71='Données projet'!$A$166,'Données projet'!$B$166,DO70+DN71-DW70)))</f>
        <v>188.12121212121244</v>
      </c>
      <c r="DP71" s="18">
        <f>DO71*VLOOKUP('Données projet'!$B$14,Paramètres!$A$1:$I$89,3,0)*VLOOKUP('Données projet'!$B$14,Paramètres!$A$1:$I$89,5,0)</f>
        <v>179.01614545454578</v>
      </c>
      <c r="DQ71" s="14">
        <f t="shared" si="97"/>
        <v>45.103226883009235</v>
      </c>
      <c r="DR71" s="22">
        <f t="shared" si="70"/>
        <v>390.34124015457496</v>
      </c>
      <c r="DS71" s="58">
        <f t="shared" si="71"/>
        <v>683.67457348790822</v>
      </c>
      <c r="DT71" s="58">
        <f ca="1">AVERAGE(OFFSET($DS$3,0,0,'Données projet'!$E$14+1,1))-AVERAGE(OFFSET($H$3,0,0,'Données projet'!$E$14+1,1))</f>
        <v>332.49889399440514</v>
      </c>
      <c r="DU71" s="58">
        <f t="shared" si="98"/>
        <v>256.06044006790529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5.6410256410256467</v>
      </c>
      <c r="EJ71" s="13">
        <f>IF('Données projet'!$A$192&gt;35,EJ70+EI71-ER70,IF(A71&lt;'Données projet'!$A$192,$EG$205^A71,IF(A71='Données projet'!$A$192,'Données projet'!$B$192,EJ70+EI71-ER70)))</f>
        <v>308.58974358974382</v>
      </c>
      <c r="EK71" s="18">
        <f>EJ71*VLOOKUP('Données projet'!$B$15,Paramètres!$A$1:$I$89,3,0)*VLOOKUP('Données projet'!$B$15,Paramètres!$A$1:$I$89,5,0)</f>
        <v>322.53800000000024</v>
      </c>
      <c r="EL71" s="14">
        <f t="shared" si="99"/>
        <v>75.881190876614681</v>
      </c>
      <c r="EM71" s="22">
        <f t="shared" si="73"/>
        <v>693.9134241101043</v>
      </c>
      <c r="EN71" s="58">
        <f t="shared" si="74"/>
        <v>987.24675744343767</v>
      </c>
      <c r="EO71" s="58">
        <f ca="1">AVERAGE(OFFSET($EN$3,0,0,'Données projet'!$E$15+1,1))-AVERAGE(OFFSET($H$3,0,0,'Données projet'!$E$15+1,1))</f>
        <v>596.00698505207174</v>
      </c>
      <c r="EP71" s="58">
        <f t="shared" si="100"/>
        <v>378.16197659288338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13.737499999999997</v>
      </c>
      <c r="FE71" s="13">
        <f>IF('Données projet'!$A$218&gt;35,FE70+FD71-FM70,IF(A71&lt;'Données projet'!$A$218,$FB$205^A71,IF(A71='Données projet'!$A$218,'Données projet'!$B$218,FE70+FD71-FM70)))</f>
        <v>372.74134615384605</v>
      </c>
      <c r="FF71" s="18">
        <f>FE71*VLOOKUP('Données projet'!$B$16,Paramètres!$A$1:$I$89,3,0)*VLOOKUP('Données projet'!$B$16,Paramètres!$A$1:$I$89,5,0)</f>
        <v>174.44294999999994</v>
      </c>
      <c r="FG71" s="14">
        <f t="shared" si="101"/>
        <v>44.083597545116028</v>
      </c>
      <c r="FH71" s="22">
        <f t="shared" si="76"/>
        <v>380.60040364107698</v>
      </c>
      <c r="FI71" s="58">
        <f t="shared" si="77"/>
        <v>673.93373697441029</v>
      </c>
      <c r="FJ71" s="58">
        <f ca="1">AVERAGE(OFFSET($FI$3,0,0,'Données projet'!$E$16+1,1))-AVERAGE(OFFSET($H$3,0,0,'Données projet'!$E$16+1,1))</f>
        <v>294.31042006404056</v>
      </c>
      <c r="FK71" s="58">
        <f t="shared" si="102"/>
        <v>260.93767498478502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5.2564102564102537</v>
      </c>
      <c r="FZ71" s="13">
        <f>IF('Données projet'!$A$244&gt;35,FZ70+FY71-GH70,IF(A71&lt;'Données projet'!$A$244,$FW$205^A71,IF(A71='Données projet'!$A$244,'Données projet'!$B$244,FZ70+FY71-GH70)))</f>
        <v>298.46153846153845</v>
      </c>
      <c r="GA71" s="18">
        <f>FZ71*VLOOKUP('Données projet'!$B$17,Paramètres!$A$1:$I$89,3,0)*VLOOKUP('Données projet'!$B$17,Paramètres!$A$1:$I$89,5,0)</f>
        <v>200.208</v>
      </c>
      <c r="GB71" s="14">
        <f t="shared" si="103"/>
        <v>49.789877064057393</v>
      </c>
      <c r="GC71" s="22">
        <f t="shared" si="79"/>
        <v>435.41296921989988</v>
      </c>
      <c r="GD71" s="58">
        <f t="shared" si="80"/>
        <v>728.74630255323314</v>
      </c>
      <c r="GE71" s="58">
        <f ca="1">AVERAGE(OFFSET($GD$3,0,0,'Données projet'!$E$17+1,1))-AVERAGE(OFFSET($H$3,0,0,'Données projet'!$E$17+1,1))</f>
        <v>362.1372269575329</v>
      </c>
      <c r="GF71" s="58">
        <f t="shared" si="104"/>
        <v>308.1559670593121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58" t="e">
        <f t="shared" si="83"/>
        <v>#N/A</v>
      </c>
      <c r="GZ71" s="58" t="e">
        <f ca="1">AVERAGE(OFFSET($GY$3,0,0,'Données projet'!$E$18+1,1))-AVERAGE(OFFSET($H$3,0,0,'Données projet'!$E$18+1,1))</f>
        <v>#N/A</v>
      </c>
      <c r="HA71" s="58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0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3">
        <f t="shared" si="56"/>
        <v>256.66666666666669</v>
      </c>
      <c r="I72" s="6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238.49279999999996</v>
      </c>
      <c r="P72" s="14">
        <f t="shared" si="87"/>
        <v>58.115130258576542</v>
      </c>
      <c r="Q72" s="22">
        <f t="shared" si="54"/>
        <v>516.59214520035414</v>
      </c>
      <c r="R72" s="58">
        <f t="shared" si="55"/>
        <v>809.92547853368751</v>
      </c>
      <c r="S72" s="58">
        <f ca="1">AVERAGE(OFFSET($R$3,0,0,'Données projet'!$E$9+1,1))-AVERAGE(OFFSET($H$3,0,0,'Données projet'!$E$9+1,1))</f>
        <v>483.15009705023641</v>
      </c>
      <c r="T72" s="58">
        <f t="shared" si="88"/>
        <v>254.25036207346591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projet'!$B$10,Paramètres!$A$1:$I$89,3,0)*VLOOKUP('Données projet'!$B$10,Paramètres!$A$1:$I$89,5,0)</f>
        <v>212.8089599999999</v>
      </c>
      <c r="AK72" s="14">
        <f t="shared" si="89"/>
        <v>52.548938637485847</v>
      </c>
      <c r="AL72" s="22">
        <f t="shared" si="58"/>
        <v>462.16500679362093</v>
      </c>
      <c r="AM72" s="58">
        <f t="shared" si="59"/>
        <v>755.49834012695419</v>
      </c>
      <c r="AN72" s="58">
        <f ca="1">AVERAGE(OFFSET($AM$3,0,0,'Données projet'!$E$10+1,1))-AVERAGE(OFFSET($H$3,0,0,'Données projet'!$E$10+1,1))</f>
        <v>435.7095890216213</v>
      </c>
      <c r="AO72" s="58">
        <f t="shared" si="90"/>
        <v>231.36959598460686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3.333333333333337</v>
      </c>
      <c r="BD72" s="13">
        <f>IF('Données projet'!$A$88&gt;35,BD71+BC72-BL71,IF(A72&lt;'Données projet'!$A$88,$BA$205^A72,IF(A72='Données projet'!$A$88,'Données projet'!$B$88,BD71+BC72-BL71)))</f>
        <v>156.28205128205121</v>
      </c>
      <c r="BE72" s="14">
        <f>BD72*VLOOKUP('Données projet'!$B$11,Paramètres!$A$1:$I$89,3,0)*VLOOKUP('Données projet'!$B$11,Paramètres!$A$1:$I$89,5,0)</f>
        <v>136.52799999999996</v>
      </c>
      <c r="BF72" s="14">
        <f t="shared" si="91"/>
        <v>35.500460285192311</v>
      </c>
      <c r="BG72" s="22">
        <f t="shared" si="61"/>
        <v>299.61623499670986</v>
      </c>
      <c r="BH72" s="58">
        <f t="shared" si="62"/>
        <v>592.94956833004312</v>
      </c>
      <c r="BI72" s="58">
        <f ca="1">AVERAGE(OFFSET($BH$3,0,0,'Données projet'!$E$11+1,1))-AVERAGE(OFFSET($H$3,0,0,'Données projet'!$E$11+1,1))</f>
        <v>218.76424742311815</v>
      </c>
      <c r="BJ72" s="58">
        <f t="shared" si="92"/>
        <v>264.34598683038593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1.0820637333484111</v>
      </c>
      <c r="BQ72" s="23">
        <f>EXP(-LN(2)/25)*BQ71+(1-EXP(-LN(2)/25))/(LN(2)/25)*Calculateur!BL72*Calculateur!BN72*VLOOKUP('Données projet'!$B$11,Paramètres!$A$1:$I$89,3,0)*0.475*44/12</f>
        <v>1.4802516912576238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2.5623154246060347</v>
      </c>
      <c r="BT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</v>
      </c>
      <c r="BY72" s="13">
        <f>IF('Données projet'!$A$114&gt;35,BY71+BX72-CG71,IF(A72&lt;'Données projet'!$A$114,$BV$205^A72,IF(A72='Données projet'!$A$114,'Données projet'!$B$114,BY71+BX72-CG71)))</f>
        <v>167</v>
      </c>
      <c r="BZ72" s="14">
        <f>BY72*VLOOKUP('Données projet'!$B$12,Paramètres!$A$1:$I$89,3,0)*VLOOKUP('Données projet'!$B$12,Paramètres!$A$1:$I$89,5,0)</f>
        <v>161.5224</v>
      </c>
      <c r="CA72" s="14">
        <f t="shared" si="93"/>
        <v>41.185707490721896</v>
      </c>
      <c r="CB72" s="22">
        <f t="shared" si="64"/>
        <v>353.04995387967392</v>
      </c>
      <c r="CC72" s="58">
        <f t="shared" si="65"/>
        <v>646.38328721300718</v>
      </c>
      <c r="CD72" s="58">
        <f ca="1">AVERAGE(OFFSET($CC$3,0,0,'Données projet'!$E$12+1,1))-AVERAGE(OFFSET($H$3,0,0,'Données projet'!$E$12+1,1))</f>
        <v>343.86347628565426</v>
      </c>
      <c r="CE72" s="58">
        <f t="shared" si="94"/>
        <v>129.28196646107097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58" t="e">
        <f t="shared" si="68"/>
        <v>#N/A</v>
      </c>
      <c r="CY72" s="58" t="e">
        <f ca="1">AVERAGE(OFFSET($CX$3,0,0,'Données projet'!$E$13+1,1))-AVERAGE(OFFSET($H$3,0,0,'Données projet'!$E$13+1,1))</f>
        <v>#N/A</v>
      </c>
      <c r="CZ72" s="58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4.1212121212121193</v>
      </c>
      <c r="DO72" s="13">
        <f>IF('Données projet'!$A$166&gt;35,DO71+DN72-DW71,IF(A72&lt;'Données projet'!$A$166,$DL$205^A72,IF(A72='Données projet'!$A$166,'Données projet'!$B$166,DO71+DN72-DW71)))</f>
        <v>192.24242424242456</v>
      </c>
      <c r="DP72" s="18">
        <f>DO72*VLOOKUP('Données projet'!$B$14,Paramètres!$A$1:$I$89,3,0)*VLOOKUP('Données projet'!$B$14,Paramètres!$A$1:$I$89,5,0)</f>
        <v>182.93789090909121</v>
      </c>
      <c r="DQ72" s="14">
        <f t="shared" si="97"/>
        <v>45.97519561363989</v>
      </c>
      <c r="DR72" s="22">
        <f t="shared" si="70"/>
        <v>398.69029236042326</v>
      </c>
      <c r="DS72" s="58">
        <f t="shared" si="71"/>
        <v>692.02362569375657</v>
      </c>
      <c r="DT72" s="58">
        <f ca="1">AVERAGE(OFFSET($DS$3,0,0,'Données projet'!$E$14+1,1))-AVERAGE(OFFSET($H$3,0,0,'Données projet'!$E$14+1,1))</f>
        <v>332.49889399440514</v>
      </c>
      <c r="DU72" s="58">
        <f t="shared" si="98"/>
        <v>256.06044006790529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5.6410256410256467</v>
      </c>
      <c r="EJ72" s="13">
        <f>IF('Données projet'!$A$192&gt;35,EJ71+EI72-ER71,IF(A72&lt;'Données projet'!$A$192,$EG$205^A72,IF(A72='Données projet'!$A$192,'Données projet'!$B$192,EJ71+EI72-ER71)))</f>
        <v>314.23076923076945</v>
      </c>
      <c r="EK72" s="18">
        <f>EJ72*VLOOKUP('Données projet'!$B$15,Paramètres!$A$1:$I$89,3,0)*VLOOKUP('Données projet'!$B$15,Paramètres!$A$1:$I$89,5,0)</f>
        <v>328.43400000000025</v>
      </c>
      <c r="EL72" s="14">
        <f t="shared" si="99"/>
        <v>77.105545589495094</v>
      </c>
      <c r="EM72" s="22">
        <f t="shared" si="73"/>
        <v>706.31470856837097</v>
      </c>
      <c r="EN72" s="58">
        <f t="shared" si="74"/>
        <v>999.64804190170435</v>
      </c>
      <c r="EO72" s="58">
        <f ca="1">AVERAGE(OFFSET($EN$3,0,0,'Données projet'!$E$15+1,1))-AVERAGE(OFFSET($H$3,0,0,'Données projet'!$E$15+1,1))</f>
        <v>596.00698505207174</v>
      </c>
      <c r="EP72" s="58">
        <f t="shared" si="100"/>
        <v>378.16197659288338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13.737499999999997</v>
      </c>
      <c r="FE72" s="13">
        <f>IF('Données projet'!$A$218&gt;35,FE71+FD72-FM71,IF(A72&lt;'Données projet'!$A$218,$FB$205^A72,IF(A72='Données projet'!$A$218,'Données projet'!$B$218,FE71+FD72-FM71)))</f>
        <v>386.47884615384606</v>
      </c>
      <c r="FF72" s="18">
        <f>FE72*VLOOKUP('Données projet'!$B$16,Paramètres!$A$1:$I$89,3,0)*VLOOKUP('Données projet'!$B$16,Paramètres!$A$1:$I$89,5,0)</f>
        <v>180.87209999999996</v>
      </c>
      <c r="FG72" s="14">
        <f t="shared" si="101"/>
        <v>45.516157736157588</v>
      </c>
      <c r="FH72" s="22">
        <f t="shared" si="76"/>
        <v>394.29288222380774</v>
      </c>
      <c r="FI72" s="58">
        <f t="shared" si="77"/>
        <v>687.62621555714099</v>
      </c>
      <c r="FJ72" s="58">
        <f ca="1">AVERAGE(OFFSET($FI$3,0,0,'Données projet'!$E$16+1,1))-AVERAGE(OFFSET($H$3,0,0,'Données projet'!$E$16+1,1))</f>
        <v>294.31042006404056</v>
      </c>
      <c r="FK72" s="58">
        <f t="shared" si="102"/>
        <v>260.93767498478502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5.2564102564102537</v>
      </c>
      <c r="FZ72" s="13">
        <f>IF('Données projet'!$A$244&gt;35,FZ71+FY72-GH71,IF(A72&lt;'Données projet'!$A$244,$FW$205^A72,IF(A72='Données projet'!$A$244,'Données projet'!$B$244,FZ71+FY72-GH71)))</f>
        <v>303.71794871794873</v>
      </c>
      <c r="GA72" s="18">
        <f>FZ72*VLOOKUP('Données projet'!$B$17,Paramètres!$A$1:$I$89,3,0)*VLOOKUP('Données projet'!$B$17,Paramètres!$A$1:$I$89,5,0)</f>
        <v>203.73400000000004</v>
      </c>
      <c r="GB72" s="14">
        <f t="shared" si="103"/>
        <v>50.563902362141633</v>
      </c>
      <c r="GC72" s="22">
        <f t="shared" si="79"/>
        <v>442.90217994739669</v>
      </c>
      <c r="GD72" s="58">
        <f t="shared" si="80"/>
        <v>736.23551328072995</v>
      </c>
      <c r="GE72" s="58">
        <f ca="1">AVERAGE(OFFSET($GD$3,0,0,'Données projet'!$E$17+1,1))-AVERAGE(OFFSET($H$3,0,0,'Données projet'!$E$17+1,1))</f>
        <v>362.1372269575329</v>
      </c>
      <c r="GF72" s="58">
        <f t="shared" si="104"/>
        <v>308.1559670593121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58" t="e">
        <f t="shared" si="83"/>
        <v>#N/A</v>
      </c>
      <c r="GZ72" s="58" t="e">
        <f ca="1">AVERAGE(OFFSET($GY$3,0,0,'Données projet'!$E$18+1,1))-AVERAGE(OFFSET($H$3,0,0,'Données projet'!$E$18+1,1))</f>
        <v>#N/A</v>
      </c>
      <c r="HA72" s="58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0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3">
        <f t="shared" si="56"/>
        <v>256.66666666666669</v>
      </c>
      <c r="I73" s="6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245.38799999999995</v>
      </c>
      <c r="P73" s="14">
        <f t="shared" si="87"/>
        <v>59.597282764919569</v>
      </c>
      <c r="Q73" s="22">
        <f t="shared" si="54"/>
        <v>531.18270081556818</v>
      </c>
      <c r="R73" s="58">
        <f t="shared" si="55"/>
        <v>824.51603414890155</v>
      </c>
      <c r="S73" s="58">
        <f ca="1">AVERAGE(OFFSET($R$3,0,0,'Données projet'!$E$9+1,1))-AVERAGE(OFFSET($H$3,0,0,'Données projet'!$E$9+1,1))</f>
        <v>483.15009705023641</v>
      </c>
      <c r="T73" s="58">
        <f t="shared" si="88"/>
        <v>254.25036207346591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projet'!$B$10,Paramètres!$A$1:$I$89,3,0)*VLOOKUP('Données projet'!$B$10,Paramètres!$A$1:$I$89,5,0)</f>
        <v>218.96159999999995</v>
      </c>
      <c r="AK73" s="14">
        <f t="shared" si="89"/>
        <v>53.88913250370743</v>
      </c>
      <c r="AL73" s="22">
        <f t="shared" si="58"/>
        <v>475.21502577729035</v>
      </c>
      <c r="AM73" s="58">
        <f t="shared" si="59"/>
        <v>768.54835911062366</v>
      </c>
      <c r="AN73" s="58">
        <f ca="1">AVERAGE(OFFSET($AM$3,0,0,'Données projet'!$E$10+1,1))-AVERAGE(OFFSET($H$3,0,0,'Données projet'!$E$10+1,1))</f>
        <v>435.7095890216213</v>
      </c>
      <c r="AO73" s="58">
        <f t="shared" si="90"/>
        <v>231.36959598460686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159.61538461538461</v>
      </c>
      <c r="BB73" s="13">
        <f>VLOOKUP(A73,'Données projet'!$A$87:$I$107,9,0)</f>
        <v>3.333333333333337</v>
      </c>
      <c r="BC73" s="13">
        <f t="array" ref="BC73">INDEX(BB:BB,MIN(IF(ISNUMBER(BB73:BB269),ROW(BB73:BB269),"")))</f>
        <v>3.333333333333337</v>
      </c>
      <c r="BD73" s="13">
        <f>IF('Données projet'!$A$88&gt;35,BD72+BC73-BL72,IF(A73&lt;'Données projet'!$A$88,$BA$205^A73,IF(A73='Données projet'!$A$88,'Données projet'!$B$88,BD72+BC73-BL72)))</f>
        <v>159.61538461538456</v>
      </c>
      <c r="BE73" s="14">
        <f>BD73*VLOOKUP('Données projet'!$B$11,Paramètres!$A$1:$I$89,3,0)*VLOOKUP('Données projet'!$B$11,Paramètres!$A$1:$I$89,5,0)</f>
        <v>139.43999999999997</v>
      </c>
      <c r="BF73" s="14">
        <f t="shared" si="91"/>
        <v>36.168687448758241</v>
      </c>
      <c r="BG73" s="22">
        <f t="shared" si="61"/>
        <v>305.85179730658723</v>
      </c>
      <c r="BH73" s="58">
        <f t="shared" si="62"/>
        <v>599.18513063992054</v>
      </c>
      <c r="BI73" s="58">
        <f ca="1">AVERAGE(OFFSET($BH$3,0,0,'Données projet'!$E$11+1,1))-AVERAGE(OFFSET($H$3,0,0,'Données projet'!$E$11+1,1))</f>
        <v>218.76424742311815</v>
      </c>
      <c r="BJ73" s="58">
        <f t="shared" si="92"/>
        <v>264.34598683038593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159.61538461538461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1.0608451235311571</v>
      </c>
      <c r="BQ73" s="23">
        <f>EXP(-LN(2)/25)*BQ72+(1-EXP(-LN(2)/25))/(LN(2)/25)*Calculateur!BL73*Calculateur!BN73*VLOOKUP('Données projet'!$B$11,Paramètres!$A$1:$I$89,3,0)*0.475*44/12</f>
        <v>1.4397741309171308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2.5006192544482877</v>
      </c>
      <c r="BT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5</v>
      </c>
      <c r="BY73" s="13">
        <f>IF('Données projet'!$A$114&gt;35,BY72+BX73-CG72,IF(A73&lt;'Données projet'!$A$114,$BV$205^A73,IF(A73='Données projet'!$A$114,'Données projet'!$B$114,BY72+BX73-CG72)))</f>
        <v>172</v>
      </c>
      <c r="BZ73" s="14">
        <f>BY73*VLOOKUP('Données projet'!$B$12,Paramètres!$A$1:$I$89,3,0)*VLOOKUP('Données projet'!$B$12,Paramètres!$A$1:$I$89,5,0)</f>
        <v>166.35840000000002</v>
      </c>
      <c r="CA73" s="14">
        <f t="shared" si="93"/>
        <v>42.27340131152765</v>
      </c>
      <c r="CB73" s="22">
        <f t="shared" si="64"/>
        <v>363.3670539509107</v>
      </c>
      <c r="CC73" s="58">
        <f t="shared" si="65"/>
        <v>656.70038728424402</v>
      </c>
      <c r="CD73" s="58">
        <f ca="1">AVERAGE(OFFSET($CC$3,0,0,'Données projet'!$E$12+1,1))-AVERAGE(OFFSET($H$3,0,0,'Données projet'!$E$12+1,1))</f>
        <v>343.86347628565426</v>
      </c>
      <c r="CE73" s="58">
        <f t="shared" si="94"/>
        <v>129.28196646107097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58" t="e">
        <f t="shared" si="68"/>
        <v>#N/A</v>
      </c>
      <c r="CY73" s="58" t="e">
        <f ca="1">AVERAGE(OFFSET($CX$3,0,0,'Données projet'!$E$13+1,1))-AVERAGE(OFFSET($H$3,0,0,'Données projet'!$E$13+1,1))</f>
        <v>#N/A</v>
      </c>
      <c r="CZ73" s="58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196.36363636363637</v>
      </c>
      <c r="DM73" s="13">
        <f>VLOOKUP(A73,'Données projet'!$A$165:$I$185,9,0)</f>
        <v>4.1212121212121193</v>
      </c>
      <c r="DN73" s="13">
        <f t="array" ref="DN73">INDEX(DM:DM,MIN(IF(ISNUMBER(DM73:DM269),ROW(DM73:DM269),"")))</f>
        <v>4.1212121212121193</v>
      </c>
      <c r="DO73" s="13">
        <f>IF('Données projet'!$A$166&gt;35,DO72+DN73-DW72,IF(A73&lt;'Données projet'!$A$166,$DL$205^A73,IF(A73='Données projet'!$A$166,'Données projet'!$B$166,DO72+DN73-DW72)))</f>
        <v>196.36363636363669</v>
      </c>
      <c r="DP73" s="18">
        <f>DO73*VLOOKUP('Données projet'!$B$14,Paramètres!$A$1:$I$89,3,0)*VLOOKUP('Données projet'!$B$14,Paramètres!$A$1:$I$89,5,0)</f>
        <v>186.85963636363667</v>
      </c>
      <c r="DQ73" s="14">
        <f t="shared" si="97"/>
        <v>46.844991027429046</v>
      </c>
      <c r="DR73" s="22">
        <f t="shared" si="70"/>
        <v>407.03555937277275</v>
      </c>
      <c r="DS73" s="58">
        <f t="shared" si="71"/>
        <v>700.36889270610607</v>
      </c>
      <c r="DT73" s="58">
        <f ca="1">AVERAGE(OFFSET($DS$3,0,0,'Données projet'!$E$14+1,1))-AVERAGE(OFFSET($H$3,0,0,'Données projet'!$E$14+1,1))</f>
        <v>332.49889399440514</v>
      </c>
      <c r="DU73" s="58">
        <f t="shared" si="98"/>
        <v>256.06044006790529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26.060606060606062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319.87179487179486</v>
      </c>
      <c r="EH73" s="13">
        <f>VLOOKUP(A73,'Données projet'!$A$191:$I$211,9,0)</f>
        <v>5.6410256410256467</v>
      </c>
      <c r="EI73" s="13">
        <f t="array" ref="EI73">INDEX(EH:EH,MIN(IF(ISNUMBER(EH73:EH269),ROW(EH73:EH269),"")))</f>
        <v>5.6410256410256467</v>
      </c>
      <c r="EJ73" s="13">
        <f>IF('Données projet'!$A$192&gt;35,EJ72+EI73-ER72,IF(A73&lt;'Données projet'!$A$192,$EG$205^A73,IF(A73='Données projet'!$A$192,'Données projet'!$B$192,EJ72+EI73-ER72)))</f>
        <v>319.87179487179509</v>
      </c>
      <c r="EK73" s="18">
        <f>EJ73*VLOOKUP('Données projet'!$B$15,Paramètres!$A$1:$I$89,3,0)*VLOOKUP('Données projet'!$B$15,Paramètres!$A$1:$I$89,5,0)</f>
        <v>334.33000000000027</v>
      </c>
      <c r="EL73" s="14">
        <f t="shared" si="99"/>
        <v>78.327344421591008</v>
      </c>
      <c r="EM73" s="22">
        <f t="shared" si="73"/>
        <v>718.71154153427142</v>
      </c>
      <c r="EN73" s="58">
        <f t="shared" si="74"/>
        <v>1012.0448748676047</v>
      </c>
      <c r="EO73" s="58">
        <f ca="1">AVERAGE(OFFSET($EN$3,0,0,'Données projet'!$E$15+1,1))-AVERAGE(OFFSET($H$3,0,0,'Données projet'!$E$15+1,1))</f>
        <v>596.00698505207174</v>
      </c>
      <c r="EP73" s="58">
        <f t="shared" si="100"/>
        <v>378.16197659288338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28.846153846153847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13.737499999999997</v>
      </c>
      <c r="FE73" s="13">
        <f>IF('Données projet'!$A$218&gt;35,FE72+FD73-FM72,IF(A73&lt;'Données projet'!$A$218,$FB$205^A73,IF(A73='Données projet'!$A$218,'Données projet'!$B$218,FE72+FD73-FM72)))</f>
        <v>400.21634615384608</v>
      </c>
      <c r="FF73" s="18">
        <f>FE73*VLOOKUP('Données projet'!$B$16,Paramètres!$A$1:$I$89,3,0)*VLOOKUP('Données projet'!$B$16,Paramètres!$A$1:$I$89,5,0)</f>
        <v>187.30124999999998</v>
      </c>
      <c r="FG73" s="14">
        <f t="shared" si="101"/>
        <v>46.942801679870392</v>
      </c>
      <c r="FH73" s="22">
        <f t="shared" si="76"/>
        <v>407.97505667577417</v>
      </c>
      <c r="FI73" s="58">
        <f t="shared" si="77"/>
        <v>701.30839000910748</v>
      </c>
      <c r="FJ73" s="58">
        <f ca="1">AVERAGE(OFFSET($FI$3,0,0,'Données projet'!$E$16+1,1))-AVERAGE(OFFSET($H$3,0,0,'Données projet'!$E$16+1,1))</f>
        <v>294.31042006404056</v>
      </c>
      <c r="FK73" s="58">
        <f t="shared" si="102"/>
        <v>260.93767498478502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308.97435897435895</v>
      </c>
      <c r="FX73" s="13">
        <f>VLOOKUP(A73,'Données projet'!$A$243:$I$263,9,0)</f>
        <v>5.2564102564102537</v>
      </c>
      <c r="FY73" s="13">
        <f t="array" ref="FY73">INDEX(FX:FX,MIN(IF(ISNUMBER(FX73:FX269),ROW(FX73:FX269),"")))</f>
        <v>5.2564102564102537</v>
      </c>
      <c r="FZ73" s="13">
        <f>IF('Données projet'!$A$244&gt;35,FZ72+FY73-GH72,IF(A73&lt;'Données projet'!$A$244,$FW$205^A73,IF(A73='Données projet'!$A$244,'Données projet'!$B$244,FZ72+FY73-GH72)))</f>
        <v>308.97435897435901</v>
      </c>
      <c r="GA73" s="18">
        <f>FZ73*VLOOKUP('Données projet'!$B$17,Paramètres!$A$1:$I$89,3,0)*VLOOKUP('Données projet'!$B$17,Paramètres!$A$1:$I$89,5,0)</f>
        <v>207.26000000000002</v>
      </c>
      <c r="GB73" s="14">
        <f t="shared" si="103"/>
        <v>51.336369857430014</v>
      </c>
      <c r="GC73" s="22">
        <f t="shared" si="79"/>
        <v>450.38867750169061</v>
      </c>
      <c r="GD73" s="58">
        <f t="shared" si="80"/>
        <v>743.72201083502387</v>
      </c>
      <c r="GE73" s="58">
        <f ca="1">AVERAGE(OFFSET($GD$3,0,0,'Données projet'!$E$17+1,1))-AVERAGE(OFFSET($H$3,0,0,'Données projet'!$E$17+1,1))</f>
        <v>362.1372269575329</v>
      </c>
      <c r="GF73" s="58">
        <f t="shared" si="104"/>
        <v>308.1559670593121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31.410256410256409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58" t="e">
        <f t="shared" si="83"/>
        <v>#N/A</v>
      </c>
      <c r="GZ73" s="58" t="e">
        <f ca="1">AVERAGE(OFFSET($GY$3,0,0,'Données projet'!$E$18+1,1))-AVERAGE(OFFSET($H$3,0,0,'Données projet'!$E$18+1,1))</f>
        <v>#N/A</v>
      </c>
      <c r="HA73" s="58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0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3">
        <f t="shared" si="56"/>
        <v>256.66666666666669</v>
      </c>
      <c r="I74" s="6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251.67479999999995</v>
      </c>
      <c r="P74" s="14">
        <f t="shared" si="87"/>
        <v>60.944434584138449</v>
      </c>
      <c r="Q74" s="22">
        <f t="shared" si="54"/>
        <v>544.47850023404101</v>
      </c>
      <c r="R74" s="58">
        <f t="shared" si="55"/>
        <v>837.81183356737438</v>
      </c>
      <c r="S74" s="58">
        <f ca="1">AVERAGE(OFFSET($R$3,0,0,'Données projet'!$E$9+1,1))-AVERAGE(OFFSET($H$3,0,0,'Données projet'!$E$9+1,1))</f>
        <v>483.15009705023641</v>
      </c>
      <c r="T74" s="58">
        <f t="shared" si="88"/>
        <v>254.25036207346591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projet'!$B$10,Paramètres!$A$1:$I$89,3,0)*VLOOKUP('Données projet'!$B$10,Paramètres!$A$1:$I$89,5,0)</f>
        <v>224.57135999999994</v>
      </c>
      <c r="AK74" s="14">
        <f t="shared" si="89"/>
        <v>55.107255873104265</v>
      </c>
      <c r="AL74" s="22">
        <f t="shared" si="58"/>
        <v>487.10692264565643</v>
      </c>
      <c r="AM74" s="58">
        <f t="shared" si="59"/>
        <v>780.44025597898974</v>
      </c>
      <c r="AN74" s="58">
        <f ca="1">AVERAGE(OFFSET($AM$3,0,0,'Données projet'!$E$10+1,1))-AVERAGE(OFFSET($H$3,0,0,'Données projet'!$E$10+1,1))</f>
        <v>435.7095890216213</v>
      </c>
      <c r="AO74" s="58">
        <f t="shared" si="90"/>
        <v>231.36959598460686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-5.6843418860808015E-14</v>
      </c>
      <c r="BE74" s="14">
        <f>BD74*VLOOKUP('Données projet'!$B$11,Paramètres!$A$1:$I$89,3,0)*VLOOKUP('Données projet'!$B$11,Paramètres!$A$1:$I$89,5,0)</f>
        <v>-4.9658410716801891E-14</v>
      </c>
      <c r="BF74" s="14" t="e">
        <f t="shared" si="91"/>
        <v>#NUM!</v>
      </c>
      <c r="BG74" s="22" t="e">
        <f t="shared" si="61"/>
        <v>#NUM!</v>
      </c>
      <c r="BH74" s="58" t="e">
        <f t="shared" si="62"/>
        <v>#NUM!</v>
      </c>
      <c r="BI74" s="58">
        <f ca="1">AVERAGE(OFFSET($BH$3,0,0,'Données projet'!$E$11+1,1))-AVERAGE(OFFSET($H$3,0,0,'Données projet'!$E$11+1,1))</f>
        <v>218.76424742311815</v>
      </c>
      <c r="BJ74" s="58">
        <f t="shared" si="92"/>
        <v>264.34598683038593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1.0400425977103454</v>
      </c>
      <c r="BQ74" s="23">
        <f>EXP(-LN(2)/25)*BQ73+(1-EXP(-LN(2)/25))/(LN(2)/25)*Calculateur!BL74*Calculateur!BN74*VLOOKUP('Données projet'!$B$11,Paramètres!$A$1:$I$89,3,0)*0.475*44/12</f>
        <v>1.4004034315927709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2.440446029303116</v>
      </c>
      <c r="BT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</v>
      </c>
      <c r="BY74" s="13">
        <f>IF('Données projet'!$A$114&gt;35,BY73+BX74-CG73,IF(A74&lt;'Données projet'!$A$114,$BV$205^A74,IF(A74='Données projet'!$A$114,'Données projet'!$B$114,BY73+BX74-CG73)))</f>
        <v>177</v>
      </c>
      <c r="BZ74" s="14">
        <f>BY74*VLOOKUP('Données projet'!$B$12,Paramètres!$A$1:$I$89,3,0)*VLOOKUP('Données projet'!$B$12,Paramètres!$A$1:$I$89,5,0)</f>
        <v>171.1944</v>
      </c>
      <c r="CA74" s="14">
        <f t="shared" si="93"/>
        <v>43.35742035290977</v>
      </c>
      <c r="CB74" s="22">
        <f t="shared" si="64"/>
        <v>373.67775378131779</v>
      </c>
      <c r="CC74" s="58">
        <f t="shared" si="65"/>
        <v>667.0110871146511</v>
      </c>
      <c r="CD74" s="58">
        <f ca="1">AVERAGE(OFFSET($CC$3,0,0,'Données projet'!$E$12+1,1))-AVERAGE(OFFSET($H$3,0,0,'Données projet'!$E$12+1,1))</f>
        <v>343.86347628565426</v>
      </c>
      <c r="CE74" s="58">
        <f t="shared" si="94"/>
        <v>129.28196646107097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58" t="e">
        <f t="shared" si="68"/>
        <v>#N/A</v>
      </c>
      <c r="CY74" s="58" t="e">
        <f ca="1">AVERAGE(OFFSET($CX$3,0,0,'Données projet'!$E$13+1,1))-AVERAGE(OFFSET($H$3,0,0,'Données projet'!$E$13+1,1))</f>
        <v>#N/A</v>
      </c>
      <c r="CZ74" s="58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3.7575757575757591</v>
      </c>
      <c r="DO74" s="13">
        <f>IF('Données projet'!$A$166&gt;35,DO73+DN74-DW73,IF(A74&lt;'Données projet'!$A$166,$DL$205^A74,IF(A74='Données projet'!$A$166,'Données projet'!$B$166,DO73+DN74-DW73)))</f>
        <v>174.06060606060637</v>
      </c>
      <c r="DP74" s="18">
        <f>DO74*VLOOKUP('Données projet'!$B$14,Paramètres!$A$1:$I$89,3,0)*VLOOKUP('Données projet'!$B$14,Paramètres!$A$1:$I$89,5,0)</f>
        <v>165.63607272727305</v>
      </c>
      <c r="DQ74" s="14">
        <f t="shared" si="97"/>
        <v>42.111174702827959</v>
      </c>
      <c r="DR74" s="22">
        <f t="shared" si="70"/>
        <v>361.82645594075922</v>
      </c>
      <c r="DS74" s="58">
        <f t="shared" si="71"/>
        <v>655.15978927409253</v>
      </c>
      <c r="DT74" s="58">
        <f ca="1">AVERAGE(OFFSET($DS$3,0,0,'Données projet'!$E$14+1,1))-AVERAGE(OFFSET($H$3,0,0,'Données projet'!$E$14+1,1))</f>
        <v>332.49889399440514</v>
      </c>
      <c r="DU74" s="58">
        <f t="shared" si="98"/>
        <v>256.06044006790529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5.2564102564102653</v>
      </c>
      <c r="EJ74" s="13">
        <f>IF('Données projet'!$A$192&gt;35,EJ73+EI74-ER73,IF(A74&lt;'Données projet'!$A$192,$EG$205^A74,IF(A74='Données projet'!$A$192,'Données projet'!$B$192,EJ73+EI74-ER73)))</f>
        <v>296.2820512820515</v>
      </c>
      <c r="EK74" s="18">
        <f>EJ74*VLOOKUP('Données projet'!$B$15,Paramètres!$A$1:$I$89,3,0)*VLOOKUP('Données projet'!$B$15,Paramètres!$A$1:$I$89,5,0)</f>
        <v>309.67400000000026</v>
      </c>
      <c r="EL74" s="14">
        <f t="shared" si="99"/>
        <v>73.200744228123753</v>
      </c>
      <c r="EM74" s="22">
        <f t="shared" si="73"/>
        <v>666.84017953064927</v>
      </c>
      <c r="EN74" s="58">
        <f t="shared" si="74"/>
        <v>960.17351286398252</v>
      </c>
      <c r="EO74" s="58">
        <f ca="1">AVERAGE(OFFSET($EN$3,0,0,'Données projet'!$E$15+1,1))-AVERAGE(OFFSET($H$3,0,0,'Données projet'!$E$15+1,1))</f>
        <v>596.00698505207174</v>
      </c>
      <c r="EP74" s="58">
        <f t="shared" si="100"/>
        <v>378.16197659288338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>
        <f>VLOOKUP(A74,'Données projet'!$A$217:$I$237,2,0)</f>
        <v>413.95384615384614</v>
      </c>
      <c r="FC74" s="13">
        <f>VLOOKUP(A74,'Données projet'!$A$217:$I$237,9,0)</f>
        <v>13.737499999999997</v>
      </c>
      <c r="FD74" s="13">
        <f t="array" ref="FD74">INDEX(FC:FC,MIN(IF(ISNUMBER(FC74:FC270),ROW(FC74:FC270),"")))</f>
        <v>13.737499999999997</v>
      </c>
      <c r="FE74" s="13">
        <f>IF('Données projet'!$A$218&gt;35,FE73+FD74-FM73,IF(A74&lt;'Données projet'!$A$218,$FB$205^A74,IF(A74='Données projet'!$A$218,'Données projet'!$B$218,FE73+FD74-FM73)))</f>
        <v>413.95384615384609</v>
      </c>
      <c r="FF74" s="18">
        <f>FE74*VLOOKUP('Données projet'!$B$16,Paramètres!$A$1:$I$89,3,0)*VLOOKUP('Données projet'!$B$16,Paramètres!$A$1:$I$89,5,0)</f>
        <v>193.73039999999995</v>
      </c>
      <c r="FG74" s="14">
        <f t="shared" si="101"/>
        <v>48.363755728631695</v>
      </c>
      <c r="FH74" s="22">
        <f t="shared" si="76"/>
        <v>421.64732122736677</v>
      </c>
      <c r="FI74" s="58">
        <f t="shared" si="77"/>
        <v>714.98065456070003</v>
      </c>
      <c r="FJ74" s="58">
        <f ca="1">AVERAGE(OFFSET($FI$3,0,0,'Données projet'!$E$16+1,1))-AVERAGE(OFFSET($H$3,0,0,'Données projet'!$E$16+1,1))</f>
        <v>294.31042006404056</v>
      </c>
      <c r="FK74" s="58">
        <f t="shared" si="102"/>
        <v>260.93767498478502</v>
      </c>
      <c r="FL74" s="16">
        <f>IF(ISNA(VLOOKUP(A74,'Données projet'!$A$217:$I$237,3,0)),0,VLOOKUP(A74,'Données projet'!$A$217:$I$237,3,0))</f>
        <v>5</v>
      </c>
      <c r="FM74" s="16">
        <f>IF(ISNA(VLOOKUP(A74,'Données projet'!$A$217:$I$237,4,0)),0,VLOOKUP(A74,'Données projet'!$A$217:$I$237,4,0))</f>
        <v>80.399999999999991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5.1282051282051269</v>
      </c>
      <c r="FZ74" s="13">
        <f>IF('Données projet'!$A$244&gt;35,FZ73+FY74-GH73,IF(A74&lt;'Données projet'!$A$244,$FW$205^A74,IF(A74='Données projet'!$A$244,'Données projet'!$B$244,FZ73+FY74-GH73)))</f>
        <v>282.69230769230774</v>
      </c>
      <c r="GA74" s="18">
        <f>FZ74*VLOOKUP('Données projet'!$B$17,Paramètres!$A$1:$I$89,3,0)*VLOOKUP('Données projet'!$B$17,Paramètres!$A$1:$I$89,5,0)</f>
        <v>189.63000000000002</v>
      </c>
      <c r="GB74" s="14">
        <f t="shared" si="103"/>
        <v>47.458141826690017</v>
      </c>
      <c r="GC74" s="22">
        <f t="shared" si="79"/>
        <v>412.92851368148513</v>
      </c>
      <c r="GD74" s="58">
        <f t="shared" si="80"/>
        <v>706.26184701481839</v>
      </c>
      <c r="GE74" s="58">
        <f ca="1">AVERAGE(OFFSET($GD$3,0,0,'Données projet'!$E$17+1,1))-AVERAGE(OFFSET($H$3,0,0,'Données projet'!$E$17+1,1))</f>
        <v>362.1372269575329</v>
      </c>
      <c r="GF74" s="58">
        <f t="shared" si="104"/>
        <v>308.1559670593121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58" t="e">
        <f t="shared" si="83"/>
        <v>#N/A</v>
      </c>
      <c r="GZ74" s="58" t="e">
        <f ca="1">AVERAGE(OFFSET($GY$3,0,0,'Données projet'!$E$18+1,1))-AVERAGE(OFFSET($H$3,0,0,'Données projet'!$E$18+1,1))</f>
        <v>#N/A</v>
      </c>
      <c r="HA74" s="58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0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3">
        <f t="shared" si="56"/>
        <v>256.66666666666669</v>
      </c>
      <c r="I75" s="6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257.96159999999992</v>
      </c>
      <c r="P75" s="14">
        <f t="shared" si="87"/>
        <v>62.287674609742481</v>
      </c>
      <c r="Q75" s="22">
        <f t="shared" si="54"/>
        <v>557.76748661196802</v>
      </c>
      <c r="R75" s="58">
        <f t="shared" si="55"/>
        <v>851.10081994530128</v>
      </c>
      <c r="S75" s="58">
        <f ca="1">AVERAGE(OFFSET($R$3,0,0,'Données projet'!$E$9+1,1))-AVERAGE(OFFSET($H$3,0,0,'Données projet'!$E$9+1,1))</f>
        <v>483.15009705023641</v>
      </c>
      <c r="T75" s="58">
        <f t="shared" si="88"/>
        <v>254.25036207346591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projet'!$B$10,Paramètres!$A$1:$I$89,3,0)*VLOOKUP('Données projet'!$B$10,Paramètres!$A$1:$I$89,5,0)</f>
        <v>230.18111999999991</v>
      </c>
      <c r="AK75" s="14">
        <f t="shared" si="89"/>
        <v>56.321842115392933</v>
      </c>
      <c r="AL75" s="22">
        <f t="shared" si="58"/>
        <v>498.99265901764255</v>
      </c>
      <c r="AM75" s="58">
        <f t="shared" si="59"/>
        <v>792.32599235097587</v>
      </c>
      <c r="AN75" s="58">
        <f ca="1">AVERAGE(OFFSET($AM$3,0,0,'Données projet'!$E$10+1,1))-AVERAGE(OFFSET($H$3,0,0,'Données projet'!$E$10+1,1))</f>
        <v>435.7095890216213</v>
      </c>
      <c r="AO75" s="58">
        <f t="shared" si="90"/>
        <v>231.36959598460686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-5.6843418860808015E-14</v>
      </c>
      <c r="BE75" s="14">
        <f>BD75*VLOOKUP('Données projet'!$B$11,Paramètres!$A$1:$I$89,3,0)*VLOOKUP('Données projet'!$B$11,Paramètres!$A$1:$I$89,5,0)</f>
        <v>-4.9658410716801891E-14</v>
      </c>
      <c r="BF75" s="14" t="e">
        <f t="shared" si="91"/>
        <v>#NUM!</v>
      </c>
      <c r="BG75" s="22" t="e">
        <f t="shared" si="61"/>
        <v>#NUM!</v>
      </c>
      <c r="BH75" s="58" t="e">
        <f t="shared" si="62"/>
        <v>#NUM!</v>
      </c>
      <c r="BI75" s="58">
        <f ca="1">AVERAGE(OFFSET($BH$3,0,0,'Données projet'!$E$11+1,1))-AVERAGE(OFFSET($H$3,0,0,'Données projet'!$E$11+1,1))</f>
        <v>218.76424742311815</v>
      </c>
      <c r="BJ75" s="58">
        <f t="shared" si="92"/>
        <v>264.34598683038593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1.019647996732592</v>
      </c>
      <c r="BQ75" s="23">
        <f>EXP(-LN(2)/25)*BQ74+(1-EXP(-LN(2)/25))/(LN(2)/25)*Calculateur!BL75*Calculateur!BN75*VLOOKUP('Données projet'!$B$11,Paramètres!$A$1:$I$89,3,0)*0.475*44/12</f>
        <v>1.3621093261118509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2.3817573228444431</v>
      </c>
      <c r="BT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5</v>
      </c>
      <c r="BY75" s="13">
        <f>IF('Données projet'!$A$114&gt;35,BY74+BX75-CG74,IF(A75&lt;'Données projet'!$A$114,$BV$205^A75,IF(A75='Données projet'!$A$114,'Données projet'!$B$114,BY74+BX75-CG74)))</f>
        <v>182</v>
      </c>
      <c r="BZ75" s="14">
        <f>BY75*VLOOKUP('Données projet'!$B$12,Paramètres!$A$1:$I$89,3,0)*VLOOKUP('Données projet'!$B$12,Paramètres!$A$1:$I$89,5,0)</f>
        <v>176.03040000000001</v>
      </c>
      <c r="CA75" s="14">
        <f t="shared" si="93"/>
        <v>44.437880346232944</v>
      </c>
      <c r="CB75" s="22">
        <f t="shared" si="64"/>
        <v>383.98225493635573</v>
      </c>
      <c r="CC75" s="58">
        <f t="shared" si="65"/>
        <v>677.31558826968899</v>
      </c>
      <c r="CD75" s="58">
        <f ca="1">AVERAGE(OFFSET($CC$3,0,0,'Données projet'!$E$12+1,1))-AVERAGE(OFFSET($H$3,0,0,'Données projet'!$E$12+1,1))</f>
        <v>343.86347628565426</v>
      </c>
      <c r="CE75" s="58">
        <f t="shared" si="94"/>
        <v>129.28196646107097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58" t="e">
        <f t="shared" si="68"/>
        <v>#N/A</v>
      </c>
      <c r="CY75" s="58" t="e">
        <f ca="1">AVERAGE(OFFSET($CX$3,0,0,'Données projet'!$E$13+1,1))-AVERAGE(OFFSET($H$3,0,0,'Données projet'!$E$13+1,1))</f>
        <v>#N/A</v>
      </c>
      <c r="CZ75" s="58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3.7575757575757591</v>
      </c>
      <c r="DO75" s="13">
        <f>IF('Données projet'!$A$166&gt;35,DO74+DN75-DW74,IF(A75&lt;'Données projet'!$A$166,$DL$205^A75,IF(A75='Données projet'!$A$166,'Données projet'!$B$166,DO74+DN75-DW74)))</f>
        <v>177.81818181818213</v>
      </c>
      <c r="DP75" s="18">
        <f>DO75*VLOOKUP('Données projet'!$B$14,Paramètres!$A$1:$I$89,3,0)*VLOOKUP('Données projet'!$B$14,Paramètres!$A$1:$I$89,5,0)</f>
        <v>169.21178181818212</v>
      </c>
      <c r="DQ75" s="14">
        <f t="shared" si="97"/>
        <v>42.913441213109088</v>
      </c>
      <c r="DR75" s="22">
        <f t="shared" si="70"/>
        <v>369.45143011283216</v>
      </c>
      <c r="DS75" s="58">
        <f t="shared" si="71"/>
        <v>662.78476344616547</v>
      </c>
      <c r="DT75" s="58">
        <f ca="1">AVERAGE(OFFSET($DS$3,0,0,'Données projet'!$E$14+1,1))-AVERAGE(OFFSET($H$3,0,0,'Données projet'!$E$14+1,1))</f>
        <v>332.49889399440514</v>
      </c>
      <c r="DU75" s="58">
        <f t="shared" si="98"/>
        <v>256.06044006790529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5.2564102564102653</v>
      </c>
      <c r="EJ75" s="13">
        <f>IF('Données projet'!$A$192&gt;35,EJ74+EI75-ER74,IF(A75&lt;'Données projet'!$A$192,$EG$205^A75,IF(A75='Données projet'!$A$192,'Données projet'!$B$192,EJ74+EI75-ER74)))</f>
        <v>301.53846153846177</v>
      </c>
      <c r="EK75" s="18">
        <f>EJ75*VLOOKUP('Données projet'!$B$15,Paramètres!$A$1:$I$89,3,0)*VLOOKUP('Données projet'!$B$15,Paramètres!$A$1:$I$89,5,0)</f>
        <v>315.16800000000029</v>
      </c>
      <c r="EL75" s="14">
        <f t="shared" si="99"/>
        <v>74.3470735278853</v>
      </c>
      <c r="EM75" s="22">
        <f t="shared" si="73"/>
        <v>678.40541972773406</v>
      </c>
      <c r="EN75" s="58">
        <f t="shared" si="74"/>
        <v>971.73875306106743</v>
      </c>
      <c r="EO75" s="58">
        <f ca="1">AVERAGE(OFFSET($EN$3,0,0,'Données projet'!$E$15+1,1))-AVERAGE(OFFSET($H$3,0,0,'Données projet'!$E$15+1,1))</f>
        <v>596.00698505207174</v>
      </c>
      <c r="EP75" s="58">
        <f t="shared" si="100"/>
        <v>378.16197659288338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12.913461538461533</v>
      </c>
      <c r="FE75" s="13">
        <f>IF('Données projet'!$A$218&gt;35,FE74+FD75-FM74,IF(A75&lt;'Données projet'!$A$218,$FB$205^A75,IF(A75='Données projet'!$A$218,'Données projet'!$B$218,FE74+FD75-FM74)))</f>
        <v>346.46730769230766</v>
      </c>
      <c r="FF75" s="18">
        <f>FE75*VLOOKUP('Données projet'!$B$16,Paramètres!$A$1:$I$89,3,0)*VLOOKUP('Données projet'!$B$16,Paramètres!$A$1:$I$89,5,0)</f>
        <v>162.14669999999998</v>
      </c>
      <c r="FG75" s="14">
        <f t="shared" si="101"/>
        <v>41.326333369414826</v>
      </c>
      <c r="FH75" s="22">
        <f t="shared" si="76"/>
        <v>354.38219978506413</v>
      </c>
      <c r="FI75" s="58">
        <f t="shared" si="77"/>
        <v>647.71553311839739</v>
      </c>
      <c r="FJ75" s="58">
        <f ca="1">AVERAGE(OFFSET($FI$3,0,0,'Données projet'!$E$16+1,1))-AVERAGE(OFFSET($H$3,0,0,'Données projet'!$E$16+1,1))</f>
        <v>294.31042006404056</v>
      </c>
      <c r="FK75" s="58">
        <f t="shared" si="102"/>
        <v>260.93767498478502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5.1282051282051269</v>
      </c>
      <c r="FZ75" s="13">
        <f>IF('Données projet'!$A$244&gt;35,FZ74+FY75-GH74,IF(A75&lt;'Données projet'!$A$244,$FW$205^A75,IF(A75='Données projet'!$A$244,'Données projet'!$B$244,FZ74+FY75-GH74)))</f>
        <v>287.82051282051287</v>
      </c>
      <c r="GA75" s="18">
        <f>FZ75*VLOOKUP('Données projet'!$B$17,Paramètres!$A$1:$I$89,3,0)*VLOOKUP('Données projet'!$B$17,Paramètres!$A$1:$I$89,5,0)</f>
        <v>193.07000000000005</v>
      </c>
      <c r="GB75" s="14">
        <f t="shared" si="103"/>
        <v>48.218051794342536</v>
      </c>
      <c r="GC75" s="22">
        <f t="shared" si="79"/>
        <v>420.24335687514667</v>
      </c>
      <c r="GD75" s="58">
        <f t="shared" si="80"/>
        <v>713.57669020847993</v>
      </c>
      <c r="GE75" s="58">
        <f ca="1">AVERAGE(OFFSET($GD$3,0,0,'Données projet'!$E$17+1,1))-AVERAGE(OFFSET($H$3,0,0,'Données projet'!$E$17+1,1))</f>
        <v>362.1372269575329</v>
      </c>
      <c r="GF75" s="58">
        <f t="shared" si="104"/>
        <v>308.1559670593121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58" t="e">
        <f t="shared" si="83"/>
        <v>#N/A</v>
      </c>
      <c r="GZ75" s="58" t="e">
        <f ca="1">AVERAGE(OFFSET($GY$3,0,0,'Données projet'!$E$18+1,1))-AVERAGE(OFFSET($H$3,0,0,'Données projet'!$E$18+1,1))</f>
        <v>#N/A</v>
      </c>
      <c r="HA75" s="58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0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3">
        <f t="shared" si="56"/>
        <v>256.66666666666669</v>
      </c>
      <c r="I76" s="6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264.24839999999995</v>
      </c>
      <c r="P76" s="14">
        <f t="shared" si="87"/>
        <v>63.627109143733414</v>
      </c>
      <c r="Q76" s="22">
        <f t="shared" si="54"/>
        <v>571.04984509200233</v>
      </c>
      <c r="R76" s="58">
        <f t="shared" si="55"/>
        <v>864.3831784253357</v>
      </c>
      <c r="S76" s="58">
        <f ca="1">AVERAGE(OFFSET($R$3,0,0,'Données projet'!$E$9+1,1))-AVERAGE(OFFSET($H$3,0,0,'Données projet'!$E$9+1,1))</f>
        <v>483.15009705023641</v>
      </c>
      <c r="T76" s="58">
        <f t="shared" si="88"/>
        <v>254.25036207346591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projet'!$B$10,Paramètres!$A$1:$I$89,3,0)*VLOOKUP('Données projet'!$B$10,Paramètres!$A$1:$I$89,5,0)</f>
        <v>235.7908799999999</v>
      </c>
      <c r="AK76" s="14">
        <f t="shared" si="89"/>
        <v>57.532987351107714</v>
      </c>
      <c r="AL76" s="22">
        <f t="shared" si="58"/>
        <v>510.87240230317911</v>
      </c>
      <c r="AM76" s="58">
        <f t="shared" si="59"/>
        <v>804.20573563651237</v>
      </c>
      <c r="AN76" s="58">
        <f ca="1">AVERAGE(OFFSET($AM$3,0,0,'Données projet'!$E$10+1,1))-AVERAGE(OFFSET($H$3,0,0,'Données projet'!$E$10+1,1))</f>
        <v>435.7095890216213</v>
      </c>
      <c r="AO76" s="58">
        <f t="shared" si="90"/>
        <v>231.36959598460686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-5.6843418860808015E-14</v>
      </c>
      <c r="BE76" s="14">
        <f>BD76*VLOOKUP('Données projet'!$B$11,Paramètres!$A$1:$I$89,3,0)*VLOOKUP('Données projet'!$B$11,Paramètres!$A$1:$I$89,5,0)</f>
        <v>-4.9658410716801891E-14</v>
      </c>
      <c r="BF76" s="14" t="e">
        <f t="shared" si="91"/>
        <v>#NUM!</v>
      </c>
      <c r="BG76" s="22" t="e">
        <f t="shared" si="61"/>
        <v>#NUM!</v>
      </c>
      <c r="BH76" s="58" t="e">
        <f t="shared" si="62"/>
        <v>#NUM!</v>
      </c>
      <c r="BI76" s="58">
        <f ca="1">AVERAGE(OFFSET($BH$3,0,0,'Données projet'!$E$11+1,1))-AVERAGE(OFFSET($H$3,0,0,'Données projet'!$E$11+1,1))</f>
        <v>218.76424742311815</v>
      </c>
      <c r="BJ76" s="58">
        <f t="shared" si="92"/>
        <v>264.34598683038593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0.99965332144053398</v>
      </c>
      <c r="BQ76" s="23">
        <f>EXP(-LN(2)/25)*BQ75+(1-EXP(-LN(2)/25))/(LN(2)/25)*Calculateur!BL76*Calculateur!BN76*VLOOKUP('Données projet'!$B$11,Paramètres!$A$1:$I$89,3,0)*0.475*44/12</f>
        <v>1.324862374959106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2.3245156963996401</v>
      </c>
      <c r="BT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</v>
      </c>
      <c r="BY76" s="13">
        <f>IF('Données projet'!$A$114&gt;35,BY75+BX76-CG75,IF(A76&lt;'Données projet'!$A$114,$BV$205^A76,IF(A76='Données projet'!$A$114,'Données projet'!$B$114,BY75+BX76-CG75)))</f>
        <v>187</v>
      </c>
      <c r="BZ76" s="14">
        <f>BY76*VLOOKUP('Données projet'!$B$12,Paramètres!$A$1:$I$89,3,0)*VLOOKUP('Données projet'!$B$12,Paramètres!$A$1:$I$89,5,0)</f>
        <v>180.8664</v>
      </c>
      <c r="CA76" s="14">
        <f t="shared" si="93"/>
        <v>45.514890302102152</v>
      </c>
      <c r="CB76" s="22">
        <f t="shared" si="64"/>
        <v>394.28074727616121</v>
      </c>
      <c r="CC76" s="58">
        <f t="shared" si="65"/>
        <v>687.61408060949452</v>
      </c>
      <c r="CD76" s="58">
        <f ca="1">AVERAGE(OFFSET($CC$3,0,0,'Données projet'!$E$12+1,1))-AVERAGE(OFFSET($H$3,0,0,'Données projet'!$E$12+1,1))</f>
        <v>343.86347628565426</v>
      </c>
      <c r="CE76" s="58">
        <f t="shared" si="94"/>
        <v>129.28196646107097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58" t="e">
        <f t="shared" si="68"/>
        <v>#N/A</v>
      </c>
      <c r="CY76" s="58" t="e">
        <f ca="1">AVERAGE(OFFSET($CX$3,0,0,'Données projet'!$E$13+1,1))-AVERAGE(OFFSET($H$3,0,0,'Données projet'!$E$13+1,1))</f>
        <v>#N/A</v>
      </c>
      <c r="CZ76" s="58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3.7575757575757591</v>
      </c>
      <c r="DO76" s="13">
        <f>IF('Données projet'!$A$166&gt;35,DO75+DN76-DW75,IF(A76&lt;'Données projet'!$A$166,$DL$205^A76,IF(A76='Données projet'!$A$166,'Données projet'!$B$166,DO75+DN76-DW75)))</f>
        <v>181.57575757575788</v>
      </c>
      <c r="DP76" s="18">
        <f>DO76*VLOOKUP('Données projet'!$B$14,Paramètres!$A$1:$I$89,3,0)*VLOOKUP('Données projet'!$B$14,Paramètres!$A$1:$I$89,5,0)</f>
        <v>172.78749090909119</v>
      </c>
      <c r="DQ76" s="14">
        <f t="shared" si="97"/>
        <v>43.713736647348448</v>
      </c>
      <c r="DR76" s="22">
        <f t="shared" si="70"/>
        <v>377.07297132746567</v>
      </c>
      <c r="DS76" s="58">
        <f t="shared" si="71"/>
        <v>670.40630466079892</v>
      </c>
      <c r="DT76" s="58">
        <f ca="1">AVERAGE(OFFSET($DS$3,0,0,'Données projet'!$E$14+1,1))-AVERAGE(OFFSET($H$3,0,0,'Données projet'!$E$14+1,1))</f>
        <v>332.49889399440514</v>
      </c>
      <c r="DU76" s="58">
        <f t="shared" si="98"/>
        <v>256.06044006790529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5.2564102564102653</v>
      </c>
      <c r="EJ76" s="13">
        <f>IF('Données projet'!$A$192&gt;35,EJ75+EI76-ER75,IF(A76&lt;'Données projet'!$A$192,$EG$205^A76,IF(A76='Données projet'!$A$192,'Données projet'!$B$192,EJ75+EI76-ER75)))</f>
        <v>306.79487179487205</v>
      </c>
      <c r="EK76" s="18">
        <f>EJ76*VLOOKUP('Données projet'!$B$15,Paramètres!$A$1:$I$89,3,0)*VLOOKUP('Données projet'!$B$15,Paramètres!$A$1:$I$89,5,0)</f>
        <v>320.66200000000026</v>
      </c>
      <c r="EL76" s="14">
        <f t="shared" si="99"/>
        <v>75.491079065721337</v>
      </c>
      <c r="EM76" s="22">
        <f t="shared" si="73"/>
        <v>689.96661270613185</v>
      </c>
      <c r="EN76" s="58">
        <f t="shared" si="74"/>
        <v>983.29994603946511</v>
      </c>
      <c r="EO76" s="58">
        <f ca="1">AVERAGE(OFFSET($EN$3,0,0,'Données projet'!$E$15+1,1))-AVERAGE(OFFSET($H$3,0,0,'Données projet'!$E$15+1,1))</f>
        <v>596.00698505207174</v>
      </c>
      <c r="EP76" s="58">
        <f t="shared" si="100"/>
        <v>378.16197659288338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12.913461538461533</v>
      </c>
      <c r="FE76" s="13">
        <f>IF('Données projet'!$A$218&gt;35,FE75+FD76-FM75,IF(A76&lt;'Données projet'!$A$218,$FB$205^A76,IF(A76='Données projet'!$A$218,'Données projet'!$B$218,FE75+FD76-FM75)))</f>
        <v>359.3807692307692</v>
      </c>
      <c r="FF76" s="18">
        <f>FE76*VLOOKUP('Données projet'!$B$16,Paramètres!$A$1:$I$89,3,0)*VLOOKUP('Données projet'!$B$16,Paramètres!$A$1:$I$89,5,0)</f>
        <v>168.1902</v>
      </c>
      <c r="FG76" s="14">
        <f t="shared" si="101"/>
        <v>42.684436447240749</v>
      </c>
      <c r="FH76" s="22">
        <f t="shared" si="76"/>
        <v>367.27332514561095</v>
      </c>
      <c r="FI76" s="58">
        <f t="shared" si="77"/>
        <v>660.60665847894427</v>
      </c>
      <c r="FJ76" s="58">
        <f ca="1">AVERAGE(OFFSET($FI$3,0,0,'Données projet'!$E$16+1,1))-AVERAGE(OFFSET($H$3,0,0,'Données projet'!$E$16+1,1))</f>
        <v>294.31042006404056</v>
      </c>
      <c r="FK76" s="58">
        <f t="shared" si="102"/>
        <v>260.93767498478502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5.1282051282051269</v>
      </c>
      <c r="FZ76" s="13">
        <f>IF('Données projet'!$A$244&gt;35,FZ75+FY76-GH75,IF(A76&lt;'Données projet'!$A$244,$FW$205^A76,IF(A76='Données projet'!$A$244,'Données projet'!$B$244,FZ75+FY76-GH75)))</f>
        <v>292.94871794871801</v>
      </c>
      <c r="GA76" s="18">
        <f>FZ76*VLOOKUP('Données projet'!$B$17,Paramètres!$A$1:$I$89,3,0)*VLOOKUP('Données projet'!$B$17,Paramètres!$A$1:$I$89,5,0)</f>
        <v>196.51000000000005</v>
      </c>
      <c r="GB76" s="14">
        <f t="shared" si="103"/>
        <v>48.976387297804322</v>
      </c>
      <c r="GC76" s="22">
        <f t="shared" si="79"/>
        <v>427.55545787700925</v>
      </c>
      <c r="GD76" s="58">
        <f t="shared" si="80"/>
        <v>720.88879121034256</v>
      </c>
      <c r="GE76" s="58">
        <f ca="1">AVERAGE(OFFSET($GD$3,0,0,'Données projet'!$E$17+1,1))-AVERAGE(OFFSET($H$3,0,0,'Données projet'!$E$17+1,1))</f>
        <v>362.1372269575329</v>
      </c>
      <c r="GF76" s="58">
        <f t="shared" si="104"/>
        <v>308.1559670593121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58" t="e">
        <f t="shared" si="83"/>
        <v>#N/A</v>
      </c>
      <c r="GZ76" s="58" t="e">
        <f ca="1">AVERAGE(OFFSET($GY$3,0,0,'Données projet'!$E$18+1,1))-AVERAGE(OFFSET($H$3,0,0,'Données projet'!$E$18+1,1))</f>
        <v>#N/A</v>
      </c>
      <c r="HA76" s="58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0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3">
        <f t="shared" si="56"/>
        <v>256.66666666666669</v>
      </c>
      <c r="I77" s="6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270.53519999999992</v>
      </c>
      <c r="P77" s="14">
        <f t="shared" si="87"/>
        <v>64.962839141501405</v>
      </c>
      <c r="Q77" s="22">
        <f t="shared" si="54"/>
        <v>584.32575150478135</v>
      </c>
      <c r="R77" s="58">
        <f t="shared" si="55"/>
        <v>877.65908483811472</v>
      </c>
      <c r="S77" s="58">
        <f ca="1">AVERAGE(OFFSET($R$3,0,0,'Données projet'!$E$9+1,1))-AVERAGE(OFFSET($H$3,0,0,'Données projet'!$E$9+1,1))</f>
        <v>483.15009705023641</v>
      </c>
      <c r="T77" s="58">
        <f t="shared" si="88"/>
        <v>254.25036207346591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projet'!$B$10,Paramètres!$A$1:$I$89,3,0)*VLOOKUP('Données projet'!$B$10,Paramètres!$A$1:$I$89,5,0)</f>
        <v>241.40063999999992</v>
      </c>
      <c r="AK77" s="14">
        <f t="shared" si="89"/>
        <v>58.740782866262698</v>
      </c>
      <c r="AL77" s="22">
        <f t="shared" si="58"/>
        <v>522.74631149207403</v>
      </c>
      <c r="AM77" s="58">
        <f t="shared" si="59"/>
        <v>816.07964482540729</v>
      </c>
      <c r="AN77" s="58">
        <f ca="1">AVERAGE(OFFSET($AM$3,0,0,'Données projet'!$E$10+1,1))-AVERAGE(OFFSET($H$3,0,0,'Données projet'!$E$10+1,1))</f>
        <v>435.7095890216213</v>
      </c>
      <c r="AO77" s="58">
        <f t="shared" si="90"/>
        <v>231.36959598460686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-5.6843418860808015E-14</v>
      </c>
      <c r="BE77" s="14">
        <f>BD77*VLOOKUP('Données projet'!$B$11,Paramètres!$A$1:$I$89,3,0)*VLOOKUP('Données projet'!$B$11,Paramètres!$A$1:$I$89,5,0)</f>
        <v>-4.9658410716801891E-14</v>
      </c>
      <c r="BF77" s="14" t="e">
        <f t="shared" si="91"/>
        <v>#NUM!</v>
      </c>
      <c r="BG77" s="22" t="e">
        <f t="shared" si="61"/>
        <v>#NUM!</v>
      </c>
      <c r="BH77" s="58" t="e">
        <f t="shared" si="62"/>
        <v>#NUM!</v>
      </c>
      <c r="BI77" s="58">
        <f ca="1">AVERAGE(OFFSET($BH$3,0,0,'Données projet'!$E$11+1,1))-AVERAGE(OFFSET($H$3,0,0,'Données projet'!$E$11+1,1))</f>
        <v>218.76424742311815</v>
      </c>
      <c r="BJ77" s="58">
        <f t="shared" si="92"/>
        <v>264.34598683038593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0.98005072953540551</v>
      </c>
      <c r="BQ77" s="23">
        <f>EXP(-LN(2)/25)*BQ76+(1-EXP(-LN(2)/25))/(LN(2)/25)*Calculateur!BL77*Calculateur!BN77*VLOOKUP('Données projet'!$B$11,Paramètres!$A$1:$I$89,3,0)*0.475*44/12</f>
        <v>1.288633943644365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2.2686846731797705</v>
      </c>
      <c r="BT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</v>
      </c>
      <c r="BY77" s="13">
        <f>IF('Données projet'!$A$114&gt;35,BY76+BX77-CG76,IF(A77&lt;'Données projet'!$A$114,$BV$205^A77,IF(A77='Données projet'!$A$114,'Données projet'!$B$114,BY76+BX77-CG76)))</f>
        <v>192</v>
      </c>
      <c r="BZ77" s="14">
        <f>BY77*VLOOKUP('Données projet'!$B$12,Paramètres!$A$1:$I$89,3,0)*VLOOKUP('Données projet'!$B$12,Paramètres!$A$1:$I$89,5,0)</f>
        <v>185.70239999999998</v>
      </c>
      <c r="CA77" s="14">
        <f t="shared" si="93"/>
        <v>46.588553069776829</v>
      </c>
      <c r="CB77" s="22">
        <f t="shared" si="64"/>
        <v>404.57340992986127</v>
      </c>
      <c r="CC77" s="58">
        <f t="shared" si="65"/>
        <v>697.90674326319458</v>
      </c>
      <c r="CD77" s="58">
        <f ca="1">AVERAGE(OFFSET($CC$3,0,0,'Données projet'!$E$12+1,1))-AVERAGE(OFFSET($H$3,0,0,'Données projet'!$E$12+1,1))</f>
        <v>343.86347628565426</v>
      </c>
      <c r="CE77" s="58">
        <f t="shared" si="94"/>
        <v>129.28196646107097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58" t="e">
        <f t="shared" si="68"/>
        <v>#N/A</v>
      </c>
      <c r="CY77" s="58" t="e">
        <f ca="1">AVERAGE(OFFSET($CX$3,0,0,'Données projet'!$E$13+1,1))-AVERAGE(OFFSET($H$3,0,0,'Données projet'!$E$13+1,1))</f>
        <v>#N/A</v>
      </c>
      <c r="CZ77" s="58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3.7575757575757591</v>
      </c>
      <c r="DO77" s="13">
        <f>IF('Données projet'!$A$166&gt;35,DO76+DN77-DW76,IF(A77&lt;'Données projet'!$A$166,$DL$205^A77,IF(A77='Données projet'!$A$166,'Données projet'!$B$166,DO76+DN77-DW76)))</f>
        <v>185.33333333333363</v>
      </c>
      <c r="DP77" s="18">
        <f>DO77*VLOOKUP('Données projet'!$B$14,Paramètres!$A$1:$I$89,3,0)*VLOOKUP('Données projet'!$B$14,Paramètres!$A$1:$I$89,5,0)</f>
        <v>176.36320000000029</v>
      </c>
      <c r="DQ77" s="14">
        <f t="shared" si="97"/>
        <v>44.512106495208279</v>
      </c>
      <c r="DR77" s="22">
        <f t="shared" si="70"/>
        <v>384.69115881248825</v>
      </c>
      <c r="DS77" s="58">
        <f t="shared" si="71"/>
        <v>678.02449214582157</v>
      </c>
      <c r="DT77" s="58">
        <f ca="1">AVERAGE(OFFSET($DS$3,0,0,'Données projet'!$E$14+1,1))-AVERAGE(OFFSET($H$3,0,0,'Données projet'!$E$14+1,1))</f>
        <v>332.49889399440514</v>
      </c>
      <c r="DU77" s="58">
        <f t="shared" si="98"/>
        <v>256.06044006790529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5.2564102564102653</v>
      </c>
      <c r="EJ77" s="13">
        <f>IF('Données projet'!$A$192&gt;35,EJ76+EI77-ER76,IF(A77&lt;'Données projet'!$A$192,$EG$205^A77,IF(A77='Données projet'!$A$192,'Données projet'!$B$192,EJ76+EI77-ER76)))</f>
        <v>312.05128205128233</v>
      </c>
      <c r="EK77" s="18">
        <f>EJ77*VLOOKUP('Données projet'!$B$15,Paramètres!$A$1:$I$89,3,0)*VLOOKUP('Données projet'!$B$15,Paramètres!$A$1:$I$89,5,0)</f>
        <v>326.15600000000029</v>
      </c>
      <c r="EL77" s="14">
        <f t="shared" si="99"/>
        <v>76.632805249759059</v>
      </c>
      <c r="EM77" s="22">
        <f t="shared" si="73"/>
        <v>701.52383580999742</v>
      </c>
      <c r="EN77" s="58">
        <f t="shared" si="74"/>
        <v>994.85716914333079</v>
      </c>
      <c r="EO77" s="58">
        <f ca="1">AVERAGE(OFFSET($EN$3,0,0,'Données projet'!$E$15+1,1))-AVERAGE(OFFSET($H$3,0,0,'Données projet'!$E$15+1,1))</f>
        <v>596.00698505207174</v>
      </c>
      <c r="EP77" s="58">
        <f t="shared" si="100"/>
        <v>378.16197659288338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12.913461538461533</v>
      </c>
      <c r="FE77" s="13">
        <f>IF('Données projet'!$A$218&gt;35,FE76+FD77-FM76,IF(A77&lt;'Données projet'!$A$218,$FB$205^A77,IF(A77='Données projet'!$A$218,'Données projet'!$B$218,FE76+FD77-FM76)))</f>
        <v>372.29423076923075</v>
      </c>
      <c r="FF77" s="18">
        <f>FE77*VLOOKUP('Données projet'!$B$16,Paramètres!$A$1:$I$89,3,0)*VLOOKUP('Données projet'!$B$16,Paramètres!$A$1:$I$89,5,0)</f>
        <v>174.2337</v>
      </c>
      <c r="FG77" s="14">
        <f t="shared" si="101"/>
        <v>44.036869769028662</v>
      </c>
      <c r="FH77" s="22">
        <f t="shared" si="76"/>
        <v>380.15457568105825</v>
      </c>
      <c r="FI77" s="58">
        <f t="shared" si="77"/>
        <v>673.48790901439156</v>
      </c>
      <c r="FJ77" s="58">
        <f ca="1">AVERAGE(OFFSET($FI$3,0,0,'Données projet'!$E$16+1,1))-AVERAGE(OFFSET($H$3,0,0,'Données projet'!$E$16+1,1))</f>
        <v>294.31042006404056</v>
      </c>
      <c r="FK77" s="58">
        <f t="shared" si="102"/>
        <v>260.93767498478502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5.1282051282051269</v>
      </c>
      <c r="FZ77" s="13">
        <f>IF('Données projet'!$A$244&gt;35,FZ76+FY77-GH76,IF(A77&lt;'Données projet'!$A$244,$FW$205^A77,IF(A77='Données projet'!$A$244,'Données projet'!$B$244,FZ76+FY77-GH76)))</f>
        <v>298.07692307692315</v>
      </c>
      <c r="GA77" s="18">
        <f>FZ77*VLOOKUP('Données projet'!$B$17,Paramètres!$A$1:$I$89,3,0)*VLOOKUP('Données projet'!$B$17,Paramètres!$A$1:$I$89,5,0)</f>
        <v>199.95000000000007</v>
      </c>
      <c r="GB77" s="14">
        <f t="shared" si="103"/>
        <v>49.733179078835313</v>
      </c>
      <c r="GC77" s="22">
        <f t="shared" si="79"/>
        <v>434.8648702289716</v>
      </c>
      <c r="GD77" s="58">
        <f t="shared" si="80"/>
        <v>728.19820356230491</v>
      </c>
      <c r="GE77" s="58">
        <f ca="1">AVERAGE(OFFSET($GD$3,0,0,'Données projet'!$E$17+1,1))-AVERAGE(OFFSET($H$3,0,0,'Données projet'!$E$17+1,1))</f>
        <v>362.1372269575329</v>
      </c>
      <c r="GF77" s="58">
        <f t="shared" si="104"/>
        <v>308.1559670593121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58" t="e">
        <f t="shared" si="83"/>
        <v>#N/A</v>
      </c>
      <c r="GZ77" s="58" t="e">
        <f ca="1">AVERAGE(OFFSET($GY$3,0,0,'Données projet'!$E$18+1,1))-AVERAGE(OFFSET($H$3,0,0,'Données projet'!$E$18+1,1))</f>
        <v>#N/A</v>
      </c>
      <c r="HA77" s="58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0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3">
        <f t="shared" si="56"/>
        <v>256.66666666666669</v>
      </c>
      <c r="I78" s="6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276.82199999999989</v>
      </c>
      <c r="P78" s="14">
        <f t="shared" si="87"/>
        <v>66.29496059864374</v>
      </c>
      <c r="Q78" s="22">
        <f t="shared" si="54"/>
        <v>597.59537304263756</v>
      </c>
      <c r="R78" s="58">
        <f t="shared" si="55"/>
        <v>890.92870637597093</v>
      </c>
      <c r="S78" s="58">
        <f ca="1">AVERAGE(OFFSET($R$3,0,0,'Données projet'!$E$9+1,1))-AVERAGE(OFFSET($H$3,0,0,'Données projet'!$E$9+1,1))</f>
        <v>483.15009705023641</v>
      </c>
      <c r="T78" s="58">
        <f t="shared" si="88"/>
        <v>254.25036207346591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projet'!$B$10,Paramètres!$A$1:$I$89,3,0)*VLOOKUP('Données projet'!$B$10,Paramètres!$A$1:$I$89,5,0)</f>
        <v>247.01039999999989</v>
      </c>
      <c r="AK78" s="14">
        <f t="shared" si="89"/>
        <v>59.945315462121812</v>
      </c>
      <c r="AL78" s="22">
        <f t="shared" si="58"/>
        <v>534.61453776319524</v>
      </c>
      <c r="AM78" s="58">
        <f t="shared" si="59"/>
        <v>827.94787109652862</v>
      </c>
      <c r="AN78" s="58">
        <f ca="1">AVERAGE(OFFSET($AM$3,0,0,'Données projet'!$E$10+1,1))-AVERAGE(OFFSET($H$3,0,0,'Données projet'!$E$10+1,1))</f>
        <v>435.7095890216213</v>
      </c>
      <c r="AO78" s="58">
        <f t="shared" si="90"/>
        <v>231.36959598460686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-5.6843418860808015E-14</v>
      </c>
      <c r="BE78" s="14">
        <f>BD78*VLOOKUP('Données projet'!$B$11,Paramètres!$A$1:$I$89,3,0)*VLOOKUP('Données projet'!$B$11,Paramètres!$A$1:$I$89,5,0)</f>
        <v>-4.9658410716801891E-14</v>
      </c>
      <c r="BF78" s="14" t="e">
        <f t="shared" si="91"/>
        <v>#NUM!</v>
      </c>
      <c r="BG78" s="22" t="e">
        <f t="shared" si="61"/>
        <v>#NUM!</v>
      </c>
      <c r="BH78" s="58" t="e">
        <f t="shared" si="62"/>
        <v>#NUM!</v>
      </c>
      <c r="BI78" s="58">
        <f ca="1">AVERAGE(OFFSET($BH$3,0,0,'Données projet'!$E$11+1,1))-AVERAGE(OFFSET($H$3,0,0,'Données projet'!$E$11+1,1))</f>
        <v>218.76424742311815</v>
      </c>
      <c r="BJ78" s="58">
        <f t="shared" si="92"/>
        <v>264.34598683038593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0.96083253250113609</v>
      </c>
      <c r="BQ78" s="23">
        <f>EXP(-LN(2)/25)*BQ77+(1-EXP(-LN(2)/25))/(LN(2)/25)*Calculateur!BL78*Calculateur!BN78*VLOOKUP('Données projet'!$B$11,Paramètres!$A$1:$I$89,3,0)*0.475*44/12</f>
        <v>1.2533961806890959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2.2142287131902321</v>
      </c>
      <c r="BT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197</v>
      </c>
      <c r="BW78" s="13">
        <f>VLOOKUP(A78,'Données projet'!$A$113:$I$133,9,0)</f>
        <v>5</v>
      </c>
      <c r="BX78" s="13">
        <f t="array" ref="BX78">INDEX(BW:BW,MIN(IF(ISNUMBER(BW78:BW274),ROW(BW78:BW274),"")))</f>
        <v>5</v>
      </c>
      <c r="BY78" s="13">
        <f>IF('Données projet'!$A$114&gt;35,BY77+BX78-CG77,IF(A78&lt;'Données projet'!$A$114,$BV$205^A78,IF(A78='Données projet'!$A$114,'Données projet'!$B$114,BY77+BX78-CG77)))</f>
        <v>197</v>
      </c>
      <c r="BZ78" s="14">
        <f>BY78*VLOOKUP('Données projet'!$B$12,Paramètres!$A$1:$I$89,3,0)*VLOOKUP('Données projet'!$B$12,Paramètres!$A$1:$I$89,5,0)</f>
        <v>190.5384</v>
      </c>
      <c r="CA78" s="14">
        <f t="shared" si="93"/>
        <v>47.658965836673829</v>
      </c>
      <c r="CB78" s="22">
        <f t="shared" si="64"/>
        <v>414.86041216554025</v>
      </c>
      <c r="CC78" s="58">
        <f t="shared" si="65"/>
        <v>708.19374549887357</v>
      </c>
      <c r="CD78" s="58">
        <f ca="1">AVERAGE(OFFSET($CC$3,0,0,'Données projet'!$E$12+1,1))-AVERAGE(OFFSET($H$3,0,0,'Données projet'!$E$12+1,1))</f>
        <v>343.86347628565426</v>
      </c>
      <c r="CE78" s="58">
        <f t="shared" si="94"/>
        <v>129.28196646107097</v>
      </c>
      <c r="CF78" s="16">
        <f>IF(ISNA(VLOOKUP(A78,'Données projet'!$A$113:$I$133,3,0)),0,VLOOKUP(A78,'Données projet'!$A$113:$I$133,3,0))</f>
        <v>5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58" t="e">
        <f t="shared" si="68"/>
        <v>#N/A</v>
      </c>
      <c r="CY78" s="58" t="e">
        <f ca="1">AVERAGE(OFFSET($CX$3,0,0,'Données projet'!$E$13+1,1))-AVERAGE(OFFSET($H$3,0,0,'Données projet'!$E$13+1,1))</f>
        <v>#N/A</v>
      </c>
      <c r="CZ78" s="58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3.7575757575757591</v>
      </c>
      <c r="DO78" s="13">
        <f>IF('Données projet'!$A$166&gt;35,DO77+DN78-DW77,IF(A78&lt;'Données projet'!$A$166,$DL$205^A78,IF(A78='Données projet'!$A$166,'Données projet'!$B$166,DO77+DN78-DW77)))</f>
        <v>189.09090909090938</v>
      </c>
      <c r="DP78" s="18">
        <f>DO78*VLOOKUP('Données projet'!$B$14,Paramètres!$A$1:$I$89,3,0)*VLOOKUP('Données projet'!$B$14,Paramètres!$A$1:$I$89,5,0)</f>
        <v>179.93890909090936</v>
      </c>
      <c r="DQ78" s="14">
        <f t="shared" si="97"/>
        <v>45.30859429631947</v>
      </c>
      <c r="DR78" s="22">
        <f t="shared" si="70"/>
        <v>392.30606839942357</v>
      </c>
      <c r="DS78" s="58">
        <f t="shared" si="71"/>
        <v>685.63940173275682</v>
      </c>
      <c r="DT78" s="58">
        <f ca="1">AVERAGE(OFFSET($DS$3,0,0,'Données projet'!$E$14+1,1))-AVERAGE(OFFSET($H$3,0,0,'Données projet'!$E$14+1,1))</f>
        <v>332.49889399440514</v>
      </c>
      <c r="DU78" s="58">
        <f t="shared" si="98"/>
        <v>256.06044006790529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317.30769230769232</v>
      </c>
      <c r="EH78" s="13">
        <f>VLOOKUP(A78,'Données projet'!$A$191:$I$211,9,0)</f>
        <v>5.2564102564102653</v>
      </c>
      <c r="EI78" s="13">
        <f t="array" ref="EI78">INDEX(EH:EH,MIN(IF(ISNUMBER(EH78:EH274),ROW(EH78:EH274),"")))</f>
        <v>5.2564102564102653</v>
      </c>
      <c r="EJ78" s="13">
        <f>IF('Données projet'!$A$192&gt;35,EJ77+EI78-ER77,IF(A78&lt;'Données projet'!$A$192,$EG$205^A78,IF(A78='Données projet'!$A$192,'Données projet'!$B$192,EJ77+EI78-ER77)))</f>
        <v>317.30769230769261</v>
      </c>
      <c r="EK78" s="18">
        <f>EJ78*VLOOKUP('Données projet'!$B$15,Paramètres!$A$1:$I$89,3,0)*VLOOKUP('Données projet'!$B$15,Paramètres!$A$1:$I$89,5,0)</f>
        <v>331.65000000000038</v>
      </c>
      <c r="EL78" s="14">
        <f t="shared" si="99"/>
        <v>77.772294906297716</v>
      </c>
      <c r="EM78" s="22">
        <f t="shared" si="73"/>
        <v>713.07716362846907</v>
      </c>
      <c r="EN78" s="58">
        <f t="shared" si="74"/>
        <v>1006.4104969618024</v>
      </c>
      <c r="EO78" s="58">
        <f ca="1">AVERAGE(OFFSET($EN$3,0,0,'Données projet'!$E$15+1,1))-AVERAGE(OFFSET($H$3,0,0,'Données projet'!$E$15+1,1))</f>
        <v>596.00698505207174</v>
      </c>
      <c r="EP78" s="58">
        <f t="shared" si="100"/>
        <v>378.16197659288338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12.913461538461533</v>
      </c>
      <c r="FE78" s="13">
        <f>IF('Données projet'!$A$218&gt;35,FE77+FD78-FM77,IF(A78&lt;'Données projet'!$A$218,$FB$205^A78,IF(A78='Données projet'!$A$218,'Données projet'!$B$218,FE77+FD78-FM77)))</f>
        <v>385.2076923076923</v>
      </c>
      <c r="FF78" s="18">
        <f>FE78*VLOOKUP('Données projet'!$B$16,Paramètres!$A$1:$I$89,3,0)*VLOOKUP('Données projet'!$B$16,Paramètres!$A$1:$I$89,5,0)</f>
        <v>180.27719999999999</v>
      </c>
      <c r="FG78" s="14">
        <f t="shared" si="101"/>
        <v>45.383852535093794</v>
      </c>
      <c r="FH78" s="22">
        <f t="shared" si="76"/>
        <v>393.02633316528835</v>
      </c>
      <c r="FI78" s="58">
        <f t="shared" si="77"/>
        <v>686.35966649862166</v>
      </c>
      <c r="FJ78" s="58">
        <f ca="1">AVERAGE(OFFSET($FI$3,0,0,'Données projet'!$E$16+1,1))-AVERAGE(OFFSET($H$3,0,0,'Données projet'!$E$16+1,1))</f>
        <v>294.31042006404056</v>
      </c>
      <c r="FK78" s="58">
        <f t="shared" si="102"/>
        <v>260.93767498478502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303.20512820512818</v>
      </c>
      <c r="FX78" s="13">
        <f>VLOOKUP(A78,'Données projet'!$A$243:$I$263,9,0)</f>
        <v>5.1282051282051269</v>
      </c>
      <c r="FY78" s="13">
        <f t="array" ref="FY78">INDEX(FX:FX,MIN(IF(ISNUMBER(FX78:FX274),ROW(FX78:FX274),"")))</f>
        <v>5.1282051282051269</v>
      </c>
      <c r="FZ78" s="13">
        <f>IF('Données projet'!$A$244&gt;35,FZ77+FY78-GH77,IF(A78&lt;'Données projet'!$A$244,$FW$205^A78,IF(A78='Données projet'!$A$244,'Données projet'!$B$244,FZ77+FY78-GH77)))</f>
        <v>303.20512820512829</v>
      </c>
      <c r="GA78" s="18">
        <f>FZ78*VLOOKUP('Données projet'!$B$17,Paramètres!$A$1:$I$89,3,0)*VLOOKUP('Données projet'!$B$17,Paramètres!$A$1:$I$89,5,0)</f>
        <v>203.39000000000007</v>
      </c>
      <c r="GB78" s="14">
        <f t="shared" si="103"/>
        <v>50.488456760806663</v>
      </c>
      <c r="GC78" s="22">
        <f t="shared" si="79"/>
        <v>442.17164552507165</v>
      </c>
      <c r="GD78" s="58">
        <f t="shared" si="80"/>
        <v>735.50497885840491</v>
      </c>
      <c r="GE78" s="58">
        <f ca="1">AVERAGE(OFFSET($GD$3,0,0,'Données projet'!$E$17+1,1))-AVERAGE(OFFSET($H$3,0,0,'Données projet'!$E$17+1,1))</f>
        <v>362.1372269575329</v>
      </c>
      <c r="GF78" s="58">
        <f t="shared" si="104"/>
        <v>308.1559670593121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58" t="e">
        <f t="shared" si="83"/>
        <v>#N/A</v>
      </c>
      <c r="GZ78" s="58" t="e">
        <f ca="1">AVERAGE(OFFSET($GY$3,0,0,'Données projet'!$E$18+1,1))-AVERAGE(OFFSET($H$3,0,0,'Données projet'!$E$18+1,1))</f>
        <v>#N/A</v>
      </c>
      <c r="HA78" s="58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0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3">
        <f t="shared" si="56"/>
        <v>256.66666666666669</v>
      </c>
      <c r="I79" s="6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240.3179999999999</v>
      </c>
      <c r="P79" s="14">
        <f t="shared" si="87"/>
        <v>58.507944457766484</v>
      </c>
      <c r="Q79" s="22">
        <f t="shared" si="54"/>
        <v>520.45518659727634</v>
      </c>
      <c r="R79" s="58">
        <f t="shared" si="55"/>
        <v>813.78851993060971</v>
      </c>
      <c r="S79" s="58">
        <f ca="1">AVERAGE(OFFSET($R$3,0,0,'Données projet'!$E$9+1,1))-AVERAGE(OFFSET($H$3,0,0,'Données projet'!$E$9+1,1))</f>
        <v>483.15009705023641</v>
      </c>
      <c r="T79" s="58">
        <f t="shared" si="88"/>
        <v>254.25036207346591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58">
        <f t="shared" si="59"/>
        <v>758.95351239253989</v>
      </c>
      <c r="AN79" s="58">
        <f ca="1">AVERAGE(OFFSET($AM$3,0,0,'Données projet'!$E$10+1,1))-AVERAGE(OFFSET($H$3,0,0,'Données projet'!$E$10+1,1))</f>
        <v>435.7095890216213</v>
      </c>
      <c r="AO79" s="58">
        <f t="shared" si="90"/>
        <v>231.36959598460686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-5.6843418860808015E-14</v>
      </c>
      <c r="BE79" s="14">
        <f>BD79*VLOOKUP('Données projet'!$B$11,Paramètres!$A$1:$I$89,3,0)*VLOOKUP('Données projet'!$B$11,Paramètres!$A$1:$I$89,5,0)</f>
        <v>-4.9658410716801891E-14</v>
      </c>
      <c r="BF79" s="14" t="e">
        <f t="shared" si="91"/>
        <v>#NUM!</v>
      </c>
      <c r="BG79" s="22" t="e">
        <f t="shared" si="61"/>
        <v>#NUM!</v>
      </c>
      <c r="BH79" s="58" t="e">
        <f t="shared" si="62"/>
        <v>#NUM!</v>
      </c>
      <c r="BI79" s="58">
        <f ca="1">AVERAGE(OFFSET($BH$3,0,0,'Données projet'!$E$11+1,1))-AVERAGE(OFFSET($H$3,0,0,'Données projet'!$E$11+1,1))</f>
        <v>218.76424742311815</v>
      </c>
      <c r="BJ79" s="58">
        <f t="shared" si="92"/>
        <v>264.34598683038593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0.94199119258876596</v>
      </c>
      <c r="BQ79" s="23">
        <f>EXP(-LN(2)/25)*BQ78+(1-EXP(-LN(2)/25))/(LN(2)/25)*Calculateur!BL79*Calculateur!BN79*VLOOKUP('Données projet'!$B$11,Paramètres!$A$1:$I$89,3,0)*0.475*44/12</f>
        <v>1.219121996214912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2.1611131888036779</v>
      </c>
      <c r="BT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</v>
      </c>
      <c r="BY79" s="13">
        <f>IF('Données projet'!$A$114&gt;35,BY78+BX79-CG78,IF(A79&lt;'Données projet'!$A$114,$BV$205^A79,IF(A79='Données projet'!$A$114,'Données projet'!$B$114,BY78+BX79-CG78)))</f>
        <v>173.5</v>
      </c>
      <c r="BZ79" s="14">
        <f>BY79*VLOOKUP('Données projet'!$B$12,Paramètres!$A$1:$I$89,3,0)*VLOOKUP('Données projet'!$B$12,Paramètres!$A$1:$I$89,5,0)</f>
        <v>167.8092</v>
      </c>
      <c r="CA79" s="14">
        <f t="shared" si="93"/>
        <v>42.598987473776866</v>
      </c>
      <c r="CB79" s="22">
        <f t="shared" si="64"/>
        <v>366.46092651682801</v>
      </c>
      <c r="CC79" s="58">
        <f t="shared" si="65"/>
        <v>659.79425985016132</v>
      </c>
      <c r="CD79" s="58">
        <f ca="1">AVERAGE(OFFSET($CC$3,0,0,'Données projet'!$E$12+1,1))-AVERAGE(OFFSET($H$3,0,0,'Données projet'!$E$12+1,1))</f>
        <v>343.86347628565426</v>
      </c>
      <c r="CE79" s="58">
        <f t="shared" si="94"/>
        <v>129.28196646107097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58" t="e">
        <f t="shared" si="68"/>
        <v>#N/A</v>
      </c>
      <c r="CY79" s="58" t="e">
        <f ca="1">AVERAGE(OFFSET($CX$3,0,0,'Données projet'!$E$13+1,1))-AVERAGE(OFFSET($H$3,0,0,'Données projet'!$E$13+1,1))</f>
        <v>#N/A</v>
      </c>
      <c r="CZ79" s="58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3.7575757575757591</v>
      </c>
      <c r="DO79" s="13">
        <f>IF('Données projet'!$A$166&gt;35,DO78+DN79-DW78,IF(A79&lt;'Données projet'!$A$166,$DL$205^A79,IF(A79='Données projet'!$A$166,'Données projet'!$B$166,DO78+DN79-DW78)))</f>
        <v>192.84848484848513</v>
      </c>
      <c r="DP79" s="18">
        <f>DO79*VLOOKUP('Données projet'!$B$14,Paramètres!$A$1:$I$89,3,0)*VLOOKUP('Données projet'!$B$14,Paramètres!$A$1:$I$89,5,0)</f>
        <v>183.51461818181846</v>
      </c>
      <c r="DQ79" s="14">
        <f t="shared" si="97"/>
        <v>46.103241760936172</v>
      </c>
      <c r="DR79" s="22">
        <f t="shared" si="70"/>
        <v>399.91777273363095</v>
      </c>
      <c r="DS79" s="58">
        <f t="shared" si="71"/>
        <v>693.25110606696421</v>
      </c>
      <c r="DT79" s="58">
        <f ca="1">AVERAGE(OFFSET($DS$3,0,0,'Données projet'!$E$14+1,1))-AVERAGE(OFFSET($H$3,0,0,'Données projet'!$E$14+1,1))</f>
        <v>332.49889399440514</v>
      </c>
      <c r="DU79" s="58">
        <f t="shared" si="98"/>
        <v>256.06044006790529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5</v>
      </c>
      <c r="EJ79" s="13">
        <f>IF('Données projet'!$A$192&gt;35,EJ78+EI79-ER78,IF(A79&lt;'Données projet'!$A$192,$EG$205^A79,IF(A79='Données projet'!$A$192,'Données projet'!$B$192,EJ78+EI79-ER78)))</f>
        <v>322.30769230769261</v>
      </c>
      <c r="EK79" s="18">
        <f>EJ79*VLOOKUP('Données projet'!$B$15,Paramètres!$A$1:$I$89,3,0)*VLOOKUP('Données projet'!$B$15,Paramètres!$A$1:$I$89,5,0)</f>
        <v>336.87600000000037</v>
      </c>
      <c r="EL79" s="14">
        <f t="shared" si="99"/>
        <v>78.854161905252099</v>
      </c>
      <c r="EM79" s="22">
        <f t="shared" si="73"/>
        <v>724.0633653183146</v>
      </c>
      <c r="EN79" s="58">
        <f t="shared" si="74"/>
        <v>1017.396698651648</v>
      </c>
      <c r="EO79" s="58">
        <f ca="1">AVERAGE(OFFSET($EN$3,0,0,'Données projet'!$E$15+1,1))-AVERAGE(OFFSET($H$3,0,0,'Données projet'!$E$15+1,1))</f>
        <v>596.00698505207174</v>
      </c>
      <c r="EP79" s="58">
        <f t="shared" si="100"/>
        <v>378.16197659288338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12.913461538461533</v>
      </c>
      <c r="FE79" s="13">
        <f>IF('Données projet'!$A$218&gt;35,FE78+FD79-FM78,IF(A79&lt;'Données projet'!$A$218,$FB$205^A79,IF(A79='Données projet'!$A$218,'Données projet'!$B$218,FE78+FD79-FM78)))</f>
        <v>398.12115384615385</v>
      </c>
      <c r="FF79" s="18">
        <f>FE79*VLOOKUP('Données projet'!$B$16,Paramètres!$A$1:$I$89,3,0)*VLOOKUP('Données projet'!$B$16,Paramètres!$A$1:$I$89,5,0)</f>
        <v>186.32069999999999</v>
      </c>
      <c r="FG79" s="14">
        <f t="shared" si="101"/>
        <v>46.725588415193172</v>
      </c>
      <c r="FH79" s="22">
        <f t="shared" si="76"/>
        <v>405.88895232312802</v>
      </c>
      <c r="FI79" s="58">
        <f t="shared" si="77"/>
        <v>699.22228565646128</v>
      </c>
      <c r="FJ79" s="58">
        <f ca="1">AVERAGE(OFFSET($FI$3,0,0,'Données projet'!$E$16+1,1))-AVERAGE(OFFSET($H$3,0,0,'Données projet'!$E$16+1,1))</f>
        <v>294.31042006404056</v>
      </c>
      <c r="FK79" s="58">
        <f t="shared" si="102"/>
        <v>260.93767498478502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4.7435897435897463</v>
      </c>
      <c r="FZ79" s="13">
        <f>IF('Données projet'!$A$244&gt;35,FZ78+FY79-GH78,IF(A79&lt;'Données projet'!$A$244,$FW$205^A79,IF(A79='Données projet'!$A$244,'Données projet'!$B$244,FZ78+FY79-GH78)))</f>
        <v>307.94871794871801</v>
      </c>
      <c r="GA79" s="18">
        <f>FZ79*VLOOKUP('Données projet'!$B$17,Paramètres!$A$1:$I$89,3,0)*VLOOKUP('Données projet'!$B$17,Paramètres!$A$1:$I$89,5,0)</f>
        <v>206.57200000000006</v>
      </c>
      <c r="GB79" s="14">
        <f t="shared" si="103"/>
        <v>51.185765406859225</v>
      </c>
      <c r="GC79" s="22">
        <f t="shared" si="79"/>
        <v>448.92810808361315</v>
      </c>
      <c r="GD79" s="58">
        <f t="shared" si="80"/>
        <v>742.26144141694647</v>
      </c>
      <c r="GE79" s="58">
        <f ca="1">AVERAGE(OFFSET($GD$3,0,0,'Données projet'!$E$17+1,1))-AVERAGE(OFFSET($H$3,0,0,'Données projet'!$E$17+1,1))</f>
        <v>362.1372269575329</v>
      </c>
      <c r="GF79" s="58">
        <f t="shared" si="104"/>
        <v>308.1559670593121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58" t="e">
        <f t="shared" si="83"/>
        <v>#N/A</v>
      </c>
      <c r="GZ79" s="58" t="e">
        <f ca="1">AVERAGE(OFFSET($GY$3,0,0,'Données projet'!$E$18+1,1))-AVERAGE(OFFSET($H$3,0,0,'Données projet'!$E$18+1,1))</f>
        <v>#N/A</v>
      </c>
      <c r="HA79" s="58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0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3">
        <f t="shared" si="56"/>
        <v>256.66666666666669</v>
      </c>
      <c r="I80" s="6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246.4019999999999</v>
      </c>
      <c r="P80" s="14">
        <f t="shared" si="87"/>
        <v>59.814834475385474</v>
      </c>
      <c r="Q80" s="22">
        <f t="shared" si="54"/>
        <v>533.32765337796286</v>
      </c>
      <c r="R80" s="58">
        <f t="shared" si="55"/>
        <v>826.66098671129612</v>
      </c>
      <c r="S80" s="58">
        <f ca="1">AVERAGE(OFFSET($R$3,0,0,'Données projet'!$E$9+1,1))-AVERAGE(OFFSET($H$3,0,0,'Données projet'!$E$9+1,1))</f>
        <v>483.15009705023641</v>
      </c>
      <c r="T80" s="58">
        <f t="shared" si="88"/>
        <v>254.25036207346591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58">
        <f t="shared" si="59"/>
        <v>770.46683087820077</v>
      </c>
      <c r="AN80" s="58">
        <f ca="1">AVERAGE(OFFSET($AM$3,0,0,'Données projet'!$E$10+1,1))-AVERAGE(OFFSET($H$3,0,0,'Données projet'!$E$10+1,1))</f>
        <v>435.7095890216213</v>
      </c>
      <c r="AO80" s="58">
        <f t="shared" si="90"/>
        <v>231.36959598460686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-5.6843418860808015E-14</v>
      </c>
      <c r="BE80" s="14">
        <f>BD80*VLOOKUP('Données projet'!$B$11,Paramètres!$A$1:$I$89,3,0)*VLOOKUP('Données projet'!$B$11,Paramètres!$A$1:$I$89,5,0)</f>
        <v>-4.9658410716801891E-14</v>
      </c>
      <c r="BF80" s="14" t="e">
        <f t="shared" si="91"/>
        <v>#NUM!</v>
      </c>
      <c r="BG80" s="22" t="e">
        <f t="shared" si="61"/>
        <v>#NUM!</v>
      </c>
      <c r="BH80" s="58" t="e">
        <f t="shared" si="62"/>
        <v>#NUM!</v>
      </c>
      <c r="BI80" s="58">
        <f ca="1">AVERAGE(OFFSET($BH$3,0,0,'Données projet'!$E$11+1,1))-AVERAGE(OFFSET($H$3,0,0,'Données projet'!$E$11+1,1))</f>
        <v>218.76424742311815</v>
      </c>
      <c r="BJ80" s="58">
        <f t="shared" si="92"/>
        <v>264.34598683038593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0.9235193198599948</v>
      </c>
      <c r="BQ80" s="23">
        <f>EXP(-LN(2)/25)*BQ79+(1-EXP(-LN(2)/25))/(LN(2)/25)*Calculateur!BL80*Calculateur!BN80*VLOOKUP('Données projet'!$B$11,Paramètres!$A$1:$I$89,3,0)*0.475*44/12</f>
        <v>1.1857850411175759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2.1093043609775708</v>
      </c>
      <c r="BT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</v>
      </c>
      <c r="BY80" s="13">
        <f>IF('Données projet'!$A$114&gt;35,BY79+BX80-CG79,IF(A80&lt;'Données projet'!$A$114,$BV$205^A80,IF(A80='Données projet'!$A$114,'Données projet'!$B$114,BY79+BX80-CG79)))</f>
        <v>178</v>
      </c>
      <c r="BZ80" s="14">
        <f>BY80*VLOOKUP('Données projet'!$B$12,Paramètres!$A$1:$I$89,3,0)*VLOOKUP('Données projet'!$B$12,Paramètres!$A$1:$I$89,5,0)</f>
        <v>172.16159999999999</v>
      </c>
      <c r="CA80" s="14">
        <f t="shared" si="93"/>
        <v>43.57379349403616</v>
      </c>
      <c r="CB80" s="22">
        <f t="shared" si="64"/>
        <v>375.7391436687796</v>
      </c>
      <c r="CC80" s="58">
        <f t="shared" si="65"/>
        <v>669.07247700211292</v>
      </c>
      <c r="CD80" s="58">
        <f ca="1">AVERAGE(OFFSET($CC$3,0,0,'Données projet'!$E$12+1,1))-AVERAGE(OFFSET($H$3,0,0,'Données projet'!$E$12+1,1))</f>
        <v>343.86347628565426</v>
      </c>
      <c r="CE80" s="58">
        <f t="shared" si="94"/>
        <v>129.28196646107097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58" t="e">
        <f t="shared" si="68"/>
        <v>#N/A</v>
      </c>
      <c r="CY80" s="58" t="e">
        <f ca="1">AVERAGE(OFFSET($CX$3,0,0,'Données projet'!$E$13+1,1))-AVERAGE(OFFSET($H$3,0,0,'Données projet'!$E$13+1,1))</f>
        <v>#N/A</v>
      </c>
      <c r="CZ80" s="58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3.7575757575757591</v>
      </c>
      <c r="DO80" s="13">
        <f>IF('Données projet'!$A$166&gt;35,DO79+DN80-DW79,IF(A80&lt;'Données projet'!$A$166,$DL$205^A80,IF(A80='Données projet'!$A$166,'Données projet'!$B$166,DO79+DN80-DW79)))</f>
        <v>196.60606060606088</v>
      </c>
      <c r="DP80" s="18">
        <f>DO80*VLOOKUP('Données projet'!$B$14,Paramètres!$A$1:$I$89,3,0)*VLOOKUP('Données projet'!$B$14,Paramètres!$A$1:$I$89,5,0)</f>
        <v>187.09032727272754</v>
      </c>
      <c r="DQ80" s="14">
        <f t="shared" si="97"/>
        <v>46.896088880921184</v>
      </c>
      <c r="DR80" s="22">
        <f t="shared" si="70"/>
        <v>407.52634146760482</v>
      </c>
      <c r="DS80" s="58">
        <f t="shared" si="71"/>
        <v>700.85967480093814</v>
      </c>
      <c r="DT80" s="58">
        <f ca="1">AVERAGE(OFFSET($DS$3,0,0,'Données projet'!$E$14+1,1))-AVERAGE(OFFSET($H$3,0,0,'Données projet'!$E$14+1,1))</f>
        <v>332.49889399440514</v>
      </c>
      <c r="DU80" s="58">
        <f t="shared" si="98"/>
        <v>256.06044006790529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5</v>
      </c>
      <c r="EJ80" s="13">
        <f>IF('Données projet'!$A$192&gt;35,EJ79+EI80-ER79,IF(A80&lt;'Données projet'!$A$192,$EG$205^A80,IF(A80='Données projet'!$A$192,'Données projet'!$B$192,EJ79+EI80-ER79)))</f>
        <v>327.30769230769261</v>
      </c>
      <c r="EK80" s="18">
        <f>EJ80*VLOOKUP('Données projet'!$B$15,Paramètres!$A$1:$I$89,3,0)*VLOOKUP('Données projet'!$B$15,Paramètres!$A$1:$I$89,5,0)</f>
        <v>342.10200000000032</v>
      </c>
      <c r="EL80" s="14">
        <f t="shared" si="99"/>
        <v>79.934077026716892</v>
      </c>
      <c r="EM80" s="22">
        <f t="shared" si="73"/>
        <v>735.04616748819899</v>
      </c>
      <c r="EN80" s="58">
        <f t="shared" si="74"/>
        <v>1028.3795008215322</v>
      </c>
      <c r="EO80" s="58">
        <f ca="1">AVERAGE(OFFSET($EN$3,0,0,'Données projet'!$E$15+1,1))-AVERAGE(OFFSET($H$3,0,0,'Données projet'!$E$15+1,1))</f>
        <v>596.00698505207174</v>
      </c>
      <c r="EP80" s="58">
        <f t="shared" si="100"/>
        <v>378.16197659288338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12.913461538461533</v>
      </c>
      <c r="FE80" s="13">
        <f>IF('Données projet'!$A$218&gt;35,FE79+FD80-FM79,IF(A80&lt;'Données projet'!$A$218,$FB$205^A80,IF(A80='Données projet'!$A$218,'Données projet'!$B$218,FE79+FD80-FM79)))</f>
        <v>411.03461538461539</v>
      </c>
      <c r="FF80" s="18">
        <f>FE80*VLOOKUP('Données projet'!$B$16,Paramètres!$A$1:$I$89,3,0)*VLOOKUP('Données projet'!$B$16,Paramètres!$A$1:$I$89,5,0)</f>
        <v>192.36420000000001</v>
      </c>
      <c r="FG80" s="14">
        <f t="shared" si="101"/>
        <v>48.062267116572606</v>
      </c>
      <c r="FH80" s="22">
        <f t="shared" si="76"/>
        <v>418.74276356136397</v>
      </c>
      <c r="FI80" s="58">
        <f t="shared" si="77"/>
        <v>712.07609689469723</v>
      </c>
      <c r="FJ80" s="58">
        <f ca="1">AVERAGE(OFFSET($FI$3,0,0,'Données projet'!$E$16+1,1))-AVERAGE(OFFSET($H$3,0,0,'Données projet'!$E$16+1,1))</f>
        <v>294.31042006404056</v>
      </c>
      <c r="FK80" s="58">
        <f t="shared" si="102"/>
        <v>260.93767498478502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4.7435897435897463</v>
      </c>
      <c r="FZ80" s="13">
        <f>IF('Données projet'!$A$244&gt;35,FZ79+FY80-GH79,IF(A80&lt;'Données projet'!$A$244,$FW$205^A80,IF(A80='Données projet'!$A$244,'Données projet'!$B$244,FZ79+FY80-GH79)))</f>
        <v>312.69230769230774</v>
      </c>
      <c r="GA80" s="18">
        <f>FZ80*VLOOKUP('Données projet'!$B$17,Paramètres!$A$1:$I$89,3,0)*VLOOKUP('Données projet'!$B$17,Paramètres!$A$1:$I$89,5,0)</f>
        <v>209.75400000000005</v>
      </c>
      <c r="GB80" s="14">
        <f t="shared" si="103"/>
        <v>51.881824842420912</v>
      </c>
      <c r="GC80" s="22">
        <f t="shared" si="79"/>
        <v>455.68239493388319</v>
      </c>
      <c r="GD80" s="58">
        <f t="shared" si="80"/>
        <v>749.01572826721645</v>
      </c>
      <c r="GE80" s="58">
        <f ca="1">AVERAGE(OFFSET($GD$3,0,0,'Données projet'!$E$17+1,1))-AVERAGE(OFFSET($H$3,0,0,'Données projet'!$E$17+1,1))</f>
        <v>362.1372269575329</v>
      </c>
      <c r="GF80" s="58">
        <f t="shared" si="104"/>
        <v>308.1559670593121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58" t="e">
        <f t="shared" si="83"/>
        <v>#N/A</v>
      </c>
      <c r="GZ80" s="58" t="e">
        <f ca="1">AVERAGE(OFFSET($GY$3,0,0,'Données projet'!$E$18+1,1))-AVERAGE(OFFSET($H$3,0,0,'Données projet'!$E$18+1,1))</f>
        <v>#N/A</v>
      </c>
      <c r="HA80" s="58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0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3">
        <f t="shared" si="56"/>
        <v>256.66666666666669</v>
      </c>
      <c r="I81" s="6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252.4859999999999</v>
      </c>
      <c r="P81" s="14">
        <f t="shared" si="87"/>
        <v>61.117973383957384</v>
      </c>
      <c r="Q81" s="22">
        <f t="shared" si="54"/>
        <v>546.193586977059</v>
      </c>
      <c r="R81" s="58">
        <f t="shared" si="55"/>
        <v>839.52692031039237</v>
      </c>
      <c r="S81" s="58">
        <f ca="1">AVERAGE(OFFSET($R$3,0,0,'Données projet'!$E$9+1,1))-AVERAGE(OFFSET($H$3,0,0,'Données projet'!$E$9+1,1))</f>
        <v>483.15009705023641</v>
      </c>
      <c r="T81" s="58">
        <f t="shared" si="88"/>
        <v>254.25036207346591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58">
        <f t="shared" si="59"/>
        <v>781.97424192191022</v>
      </c>
      <c r="AN81" s="58">
        <f ca="1">AVERAGE(OFFSET($AM$3,0,0,'Données projet'!$E$10+1,1))-AVERAGE(OFFSET($H$3,0,0,'Données projet'!$E$10+1,1))</f>
        <v>435.7095890216213</v>
      </c>
      <c r="AO81" s="58">
        <f t="shared" si="90"/>
        <v>231.36959598460686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-5.6843418860808015E-14</v>
      </c>
      <c r="BE81" s="14">
        <f>BD81*VLOOKUP('Données projet'!$B$11,Paramètres!$A$1:$I$89,3,0)*VLOOKUP('Données projet'!$B$11,Paramètres!$A$1:$I$89,5,0)</f>
        <v>-4.9658410716801891E-14</v>
      </c>
      <c r="BF81" s="14" t="e">
        <f t="shared" si="91"/>
        <v>#NUM!</v>
      </c>
      <c r="BG81" s="22" t="e">
        <f t="shared" si="61"/>
        <v>#NUM!</v>
      </c>
      <c r="BH81" s="58" t="e">
        <f t="shared" si="62"/>
        <v>#NUM!</v>
      </c>
      <c r="BI81" s="58">
        <f ca="1">AVERAGE(OFFSET($BH$3,0,0,'Données projet'!$E$11+1,1))-AVERAGE(OFFSET($H$3,0,0,'Données projet'!$E$11+1,1))</f>
        <v>218.76424742311815</v>
      </c>
      <c r="BJ81" s="58">
        <f t="shared" si="92"/>
        <v>264.34598683038593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0.90540966928870503</v>
      </c>
      <c r="BQ81" s="23">
        <f>EXP(-LN(2)/25)*BQ80+(1-EXP(-LN(2)/25))/(LN(2)/25)*Calculateur!BL81*Calculateur!BN81*VLOOKUP('Données projet'!$B$11,Paramètres!$A$1:$I$89,3,0)*0.475*44/12</f>
        <v>1.1533596868104905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2.0587693560991953</v>
      </c>
      <c r="BT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</v>
      </c>
      <c r="BY81" s="13">
        <f>IF('Données projet'!$A$114&gt;35,BY80+BX81-CG80,IF(A81&lt;'Données projet'!$A$114,$BV$205^A81,IF(A81='Données projet'!$A$114,'Données projet'!$B$114,BY80+BX81-CG80)))</f>
        <v>182.5</v>
      </c>
      <c r="BZ81" s="14">
        <f>BY81*VLOOKUP('Données projet'!$B$12,Paramètres!$A$1:$I$89,3,0)*VLOOKUP('Données projet'!$B$12,Paramètres!$A$1:$I$89,5,0)</f>
        <v>176.51400000000001</v>
      </c>
      <c r="CA81" s="14">
        <f t="shared" si="93"/>
        <v>44.545734849936593</v>
      </c>
      <c r="CB81" s="22">
        <f t="shared" si="64"/>
        <v>385.01237153030621</v>
      </c>
      <c r="CC81" s="58">
        <f t="shared" si="65"/>
        <v>678.34570486363953</v>
      </c>
      <c r="CD81" s="58">
        <f ca="1">AVERAGE(OFFSET($CC$3,0,0,'Données projet'!$E$12+1,1))-AVERAGE(OFFSET($H$3,0,0,'Données projet'!$E$12+1,1))</f>
        <v>343.86347628565426</v>
      </c>
      <c r="CE81" s="58">
        <f t="shared" si="94"/>
        <v>129.28196646107097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58" t="e">
        <f t="shared" si="68"/>
        <v>#N/A</v>
      </c>
      <c r="CY81" s="58" t="e">
        <f ca="1">AVERAGE(OFFSET($CX$3,0,0,'Données projet'!$E$13+1,1))-AVERAGE(OFFSET($H$3,0,0,'Données projet'!$E$13+1,1))</f>
        <v>#N/A</v>
      </c>
      <c r="CZ81" s="58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3.7575757575757591</v>
      </c>
      <c r="DO81" s="13">
        <f>IF('Données projet'!$A$166&gt;35,DO80+DN81-DW80,IF(A81&lt;'Données projet'!$A$166,$DL$205^A81,IF(A81='Données projet'!$A$166,'Données projet'!$B$166,DO80+DN81-DW80)))</f>
        <v>200.36363636363663</v>
      </c>
      <c r="DP81" s="18">
        <f>DO81*VLOOKUP('Données projet'!$B$14,Paramètres!$A$1:$I$89,3,0)*VLOOKUP('Données projet'!$B$14,Paramètres!$A$1:$I$89,5,0)</f>
        <v>190.66603636363661</v>
      </c>
      <c r="DQ81" s="14">
        <f t="shared" si="97"/>
        <v>47.687174032006588</v>
      </c>
      <c r="DR81" s="22">
        <f t="shared" si="70"/>
        <v>415.13184143907853</v>
      </c>
      <c r="DS81" s="58">
        <f t="shared" si="71"/>
        <v>708.46517477241184</v>
      </c>
      <c r="DT81" s="58">
        <f ca="1">AVERAGE(OFFSET($DS$3,0,0,'Données projet'!$E$14+1,1))-AVERAGE(OFFSET($H$3,0,0,'Données projet'!$E$14+1,1))</f>
        <v>332.49889399440514</v>
      </c>
      <c r="DU81" s="58">
        <f t="shared" si="98"/>
        <v>256.06044006790529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5</v>
      </c>
      <c r="EJ81" s="13">
        <f>IF('Données projet'!$A$192&gt;35,EJ80+EI81-ER80,IF(A81&lt;'Données projet'!$A$192,$EG$205^A81,IF(A81='Données projet'!$A$192,'Données projet'!$B$192,EJ80+EI81-ER80)))</f>
        <v>332.30769230769261</v>
      </c>
      <c r="EK81" s="18">
        <f>EJ81*VLOOKUP('Données projet'!$B$15,Paramètres!$A$1:$I$89,3,0)*VLOOKUP('Données projet'!$B$15,Paramètres!$A$1:$I$89,5,0)</f>
        <v>347.32800000000032</v>
      </c>
      <c r="EL81" s="14">
        <f t="shared" si="99"/>
        <v>81.012073531602553</v>
      </c>
      <c r="EM81" s="22">
        <f t="shared" si="73"/>
        <v>746.02562806754156</v>
      </c>
      <c r="EN81" s="58">
        <f t="shared" si="74"/>
        <v>1039.3589614008749</v>
      </c>
      <c r="EO81" s="58">
        <f ca="1">AVERAGE(OFFSET($EN$3,0,0,'Données projet'!$E$15+1,1))-AVERAGE(OFFSET($H$3,0,0,'Données projet'!$E$15+1,1))</f>
        <v>596.00698505207174</v>
      </c>
      <c r="EP81" s="58">
        <f t="shared" si="100"/>
        <v>378.16197659288338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12.913461538461533</v>
      </c>
      <c r="FE81" s="13">
        <f>IF('Données projet'!$A$218&gt;35,FE80+FD81-FM80,IF(A81&lt;'Données projet'!$A$218,$FB$205^A81,IF(A81='Données projet'!$A$218,'Données projet'!$B$218,FE80+FD81-FM80)))</f>
        <v>423.94807692307694</v>
      </c>
      <c r="FF81" s="18">
        <f>FE81*VLOOKUP('Données projet'!$B$16,Paramètres!$A$1:$I$89,3,0)*VLOOKUP('Données projet'!$B$16,Paramètres!$A$1:$I$89,5,0)</f>
        <v>198.40770000000001</v>
      </c>
      <c r="FG81" s="14">
        <f t="shared" si="101"/>
        <v>49.394065749424826</v>
      </c>
      <c r="FH81" s="22">
        <f t="shared" si="76"/>
        <v>431.58807534691488</v>
      </c>
      <c r="FI81" s="58">
        <f t="shared" si="77"/>
        <v>724.92140868024819</v>
      </c>
      <c r="FJ81" s="58">
        <f ca="1">AVERAGE(OFFSET($FI$3,0,0,'Données projet'!$E$16+1,1))-AVERAGE(OFFSET($H$3,0,0,'Données projet'!$E$16+1,1))</f>
        <v>294.31042006404056</v>
      </c>
      <c r="FK81" s="58">
        <f t="shared" si="102"/>
        <v>260.93767498478502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4.7435897435897463</v>
      </c>
      <c r="FZ81" s="13">
        <f>IF('Données projet'!$A$244&gt;35,FZ80+FY81-GH80,IF(A81&lt;'Données projet'!$A$244,$FW$205^A81,IF(A81='Données projet'!$A$244,'Données projet'!$B$244,FZ80+FY81-GH80)))</f>
        <v>317.43589743589746</v>
      </c>
      <c r="GA81" s="18">
        <f>FZ81*VLOOKUP('Données projet'!$B$17,Paramètres!$A$1:$I$89,3,0)*VLOOKUP('Données projet'!$B$17,Paramètres!$A$1:$I$89,5,0)</f>
        <v>212.93600000000001</v>
      </c>
      <c r="GB81" s="14">
        <f t="shared" si="103"/>
        <v>52.576656207031739</v>
      </c>
      <c r="GC81" s="22">
        <f t="shared" si="79"/>
        <v>462.4345428939136</v>
      </c>
      <c r="GD81" s="58">
        <f t="shared" si="80"/>
        <v>755.76787622724692</v>
      </c>
      <c r="GE81" s="58">
        <f ca="1">AVERAGE(OFFSET($GD$3,0,0,'Données projet'!$E$17+1,1))-AVERAGE(OFFSET($H$3,0,0,'Données projet'!$E$17+1,1))</f>
        <v>362.1372269575329</v>
      </c>
      <c r="GF81" s="58">
        <f t="shared" si="104"/>
        <v>308.1559670593121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58" t="e">
        <f t="shared" si="83"/>
        <v>#N/A</v>
      </c>
      <c r="GZ81" s="58" t="e">
        <f ca="1">AVERAGE(OFFSET($GY$3,0,0,'Données projet'!$E$18+1,1))-AVERAGE(OFFSET($H$3,0,0,'Données projet'!$E$18+1,1))</f>
        <v>#N/A</v>
      </c>
      <c r="HA81" s="58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0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3">
        <f t="shared" si="56"/>
        <v>256.66666666666669</v>
      </c>
      <c r="I82" s="6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258.56999999999994</v>
      </c>
      <c r="P82" s="14">
        <f t="shared" si="87"/>
        <v>62.417461971173843</v>
      </c>
      <c r="Q82" s="22">
        <f t="shared" si="54"/>
        <v>559.05316293312762</v>
      </c>
      <c r="R82" s="58">
        <f t="shared" si="55"/>
        <v>852.38649626646088</v>
      </c>
      <c r="S82" s="58">
        <f ca="1">AVERAGE(OFFSET($R$3,0,0,'Données projet'!$E$9+1,1))-AVERAGE(OFFSET($H$3,0,0,'Données projet'!$E$9+1,1))</f>
        <v>483.15009705023641</v>
      </c>
      <c r="T82" s="58">
        <f t="shared" si="88"/>
        <v>254.25036207346591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58">
        <f t="shared" si="59"/>
        <v>793.47590424937596</v>
      </c>
      <c r="AN82" s="58">
        <f ca="1">AVERAGE(OFFSET($AM$3,0,0,'Données projet'!$E$10+1,1))-AVERAGE(OFFSET($H$3,0,0,'Données projet'!$E$10+1,1))</f>
        <v>435.7095890216213</v>
      </c>
      <c r="AO82" s="58">
        <f t="shared" si="90"/>
        <v>231.36959598460686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-5.6843418860808015E-14</v>
      </c>
      <c r="BE82" s="14">
        <f>BD82*VLOOKUP('Données projet'!$B$11,Paramètres!$A$1:$I$89,3,0)*VLOOKUP('Données projet'!$B$11,Paramètres!$A$1:$I$89,5,0)</f>
        <v>-4.9658410716801891E-14</v>
      </c>
      <c r="BF82" s="14" t="e">
        <f t="shared" si="91"/>
        <v>#NUM!</v>
      </c>
      <c r="BG82" s="22" t="e">
        <f t="shared" si="61"/>
        <v>#NUM!</v>
      </c>
      <c r="BH82" s="58" t="e">
        <f t="shared" si="62"/>
        <v>#NUM!</v>
      </c>
      <c r="BI82" s="58">
        <f ca="1">AVERAGE(OFFSET($BH$3,0,0,'Données projet'!$E$11+1,1))-AVERAGE(OFFSET($H$3,0,0,'Données projet'!$E$11+1,1))</f>
        <v>218.76424742311815</v>
      </c>
      <c r="BJ82" s="58">
        <f t="shared" si="92"/>
        <v>264.34598683038593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0.88765513791932205</v>
      </c>
      <c r="BQ82" s="23">
        <f>EXP(-LN(2)/25)*BQ81+(1-EXP(-LN(2)/25))/(LN(2)/25)*Calculateur!BL82*Calculateur!BN82*VLOOKUP('Données projet'!$B$11,Paramètres!$A$1:$I$89,3,0)*0.475*44/12</f>
        <v>1.1218210055221078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2.0094761434414297</v>
      </c>
      <c r="BT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</v>
      </c>
      <c r="BY82" s="13">
        <f>IF('Données projet'!$A$114&gt;35,BY81+BX82-CG81,IF(A82&lt;'Données projet'!$A$114,$BV$205^A82,IF(A82='Données projet'!$A$114,'Données projet'!$B$114,BY81+BX82-CG81)))</f>
        <v>187</v>
      </c>
      <c r="BZ82" s="14">
        <f>BY82*VLOOKUP('Données projet'!$B$12,Paramètres!$A$1:$I$89,3,0)*VLOOKUP('Données projet'!$B$12,Paramètres!$A$1:$I$89,5,0)</f>
        <v>180.8664</v>
      </c>
      <c r="CA82" s="14">
        <f t="shared" si="93"/>
        <v>45.514890302102152</v>
      </c>
      <c r="CB82" s="22">
        <f t="shared" si="64"/>
        <v>394.28074727616121</v>
      </c>
      <c r="CC82" s="58">
        <f t="shared" si="65"/>
        <v>687.61408060949452</v>
      </c>
      <c r="CD82" s="58">
        <f ca="1">AVERAGE(OFFSET($CC$3,0,0,'Données projet'!$E$12+1,1))-AVERAGE(OFFSET($H$3,0,0,'Données projet'!$E$12+1,1))</f>
        <v>343.86347628565426</v>
      </c>
      <c r="CE82" s="58">
        <f t="shared" si="94"/>
        <v>129.28196646107097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58" t="e">
        <f t="shared" si="68"/>
        <v>#N/A</v>
      </c>
      <c r="CY82" s="58" t="e">
        <f ca="1">AVERAGE(OFFSET($CX$3,0,0,'Données projet'!$E$13+1,1))-AVERAGE(OFFSET($H$3,0,0,'Données projet'!$E$13+1,1))</f>
        <v>#N/A</v>
      </c>
      <c r="CZ82" s="58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3.7575757575757591</v>
      </c>
      <c r="DO82" s="13">
        <f>IF('Données projet'!$A$166&gt;35,DO81+DN82-DW81,IF(A82&lt;'Données projet'!$A$166,$DL$205^A82,IF(A82='Données projet'!$A$166,'Données projet'!$B$166,DO81+DN82-DW81)))</f>
        <v>204.12121212121238</v>
      </c>
      <c r="DP82" s="18">
        <f>DO82*VLOOKUP('Données projet'!$B$14,Paramètres!$A$1:$I$89,3,0)*VLOOKUP('Données projet'!$B$14,Paramètres!$A$1:$I$89,5,0)</f>
        <v>194.24174545454571</v>
      </c>
      <c r="DQ82" s="14">
        <f t="shared" si="97"/>
        <v>48.476534068166345</v>
      </c>
      <c r="DR82" s="22">
        <f t="shared" si="70"/>
        <v>422.7343368353902</v>
      </c>
      <c r="DS82" s="58">
        <f t="shared" si="71"/>
        <v>716.06767016872345</v>
      </c>
      <c r="DT82" s="58">
        <f ca="1">AVERAGE(OFFSET($DS$3,0,0,'Données projet'!$E$14+1,1))-AVERAGE(OFFSET($H$3,0,0,'Données projet'!$E$14+1,1))</f>
        <v>332.49889399440514</v>
      </c>
      <c r="DU82" s="58">
        <f t="shared" si="98"/>
        <v>256.06044006790529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5</v>
      </c>
      <c r="EJ82" s="13">
        <f>IF('Données projet'!$A$192&gt;35,EJ81+EI82-ER81,IF(A82&lt;'Données projet'!$A$192,$EG$205^A82,IF(A82='Données projet'!$A$192,'Données projet'!$B$192,EJ81+EI82-ER81)))</f>
        <v>337.30769230769261</v>
      </c>
      <c r="EK82" s="18">
        <f>EJ82*VLOOKUP('Données projet'!$B$15,Paramètres!$A$1:$I$89,3,0)*VLOOKUP('Données projet'!$B$15,Paramètres!$A$1:$I$89,5,0)</f>
        <v>352.55400000000037</v>
      </c>
      <c r="EL82" s="14">
        <f t="shared" si="99"/>
        <v>82.08818362246717</v>
      </c>
      <c r="EM82" s="22">
        <f t="shared" si="73"/>
        <v>757.00180314246427</v>
      </c>
      <c r="EN82" s="58">
        <f t="shared" si="74"/>
        <v>1050.3351364757975</v>
      </c>
      <c r="EO82" s="58">
        <f ca="1">AVERAGE(OFFSET($EN$3,0,0,'Données projet'!$E$15+1,1))-AVERAGE(OFFSET($H$3,0,0,'Données projet'!$E$15+1,1))</f>
        <v>596.00698505207174</v>
      </c>
      <c r="EP82" s="58">
        <f t="shared" si="100"/>
        <v>378.16197659288338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>
        <f>VLOOKUP(A82,'Données projet'!$A$217:$I$237,2,0)</f>
        <v>436.86153846153843</v>
      </c>
      <c r="FC82" s="13">
        <f>VLOOKUP(A82,'Données projet'!$A$217:$I$237,9,0)</f>
        <v>12.913461538461533</v>
      </c>
      <c r="FD82" s="13">
        <f t="array" ref="FD82">INDEX(FC:FC,MIN(IF(ISNUMBER(FC82:FC278),ROW(FC82:FC278),"")))</f>
        <v>12.913461538461533</v>
      </c>
      <c r="FE82" s="13">
        <f>IF('Données projet'!$A$218&gt;35,FE81+FD82-FM81,IF(A82&lt;'Données projet'!$A$218,$FB$205^A82,IF(A82='Données projet'!$A$218,'Données projet'!$B$218,FE81+FD82-FM81)))</f>
        <v>436.86153846153849</v>
      </c>
      <c r="FF82" s="18">
        <f>FE82*VLOOKUP('Données projet'!$B$16,Paramètres!$A$1:$I$89,3,0)*VLOOKUP('Données projet'!$B$16,Paramètres!$A$1:$I$89,5,0)</f>
        <v>204.4512</v>
      </c>
      <c r="FG82" s="14">
        <f t="shared" si="101"/>
        <v>50.72115002130591</v>
      </c>
      <c r="FH82" s="22">
        <f t="shared" si="76"/>
        <v>444.42517628710772</v>
      </c>
      <c r="FI82" s="58">
        <f t="shared" si="77"/>
        <v>737.75850962044103</v>
      </c>
      <c r="FJ82" s="58">
        <f ca="1">AVERAGE(OFFSET($FI$3,0,0,'Données projet'!$E$16+1,1))-AVERAGE(OFFSET($H$3,0,0,'Données projet'!$E$16+1,1))</f>
        <v>294.31042006404056</v>
      </c>
      <c r="FK82" s="58">
        <f t="shared" si="102"/>
        <v>260.93767498478502</v>
      </c>
      <c r="FL82" s="16">
        <f>IF(ISNA(VLOOKUP(A82,'Données projet'!$A$217:$I$237,3,0)),0,VLOOKUP(A82,'Données projet'!$A$217:$I$237,3,0))</f>
        <v>6</v>
      </c>
      <c r="FM82" s="16">
        <f>IF(ISNA(VLOOKUP(A82,'Données projet'!$A$217:$I$237,4,0)),0,VLOOKUP(A82,'Données projet'!$A$217:$I$237,4,0))</f>
        <v>77.338461538461544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4.7435897435897463</v>
      </c>
      <c r="FZ82" s="13">
        <f>IF('Données projet'!$A$244&gt;35,FZ81+FY82-GH81,IF(A82&lt;'Données projet'!$A$244,$FW$205^A82,IF(A82='Données projet'!$A$244,'Données projet'!$B$244,FZ81+FY82-GH81)))</f>
        <v>322.17948717948718</v>
      </c>
      <c r="GA82" s="18">
        <f>FZ82*VLOOKUP('Données projet'!$B$17,Paramètres!$A$1:$I$89,3,0)*VLOOKUP('Données projet'!$B$17,Paramètres!$A$1:$I$89,5,0)</f>
        <v>216.11799999999999</v>
      </c>
      <c r="GB82" s="14">
        <f t="shared" si="103"/>
        <v>53.270279972172681</v>
      </c>
      <c r="GC82" s="22">
        <f t="shared" si="79"/>
        <v>469.18458761820074</v>
      </c>
      <c r="GD82" s="58">
        <f t="shared" si="80"/>
        <v>762.51792095153405</v>
      </c>
      <c r="GE82" s="58">
        <f ca="1">AVERAGE(OFFSET($GD$3,0,0,'Données projet'!$E$17+1,1))-AVERAGE(OFFSET($H$3,0,0,'Données projet'!$E$17+1,1))</f>
        <v>362.1372269575329</v>
      </c>
      <c r="GF82" s="58">
        <f t="shared" si="104"/>
        <v>308.1559670593121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58" t="e">
        <f t="shared" si="83"/>
        <v>#N/A</v>
      </c>
      <c r="GZ82" s="58" t="e">
        <f ca="1">AVERAGE(OFFSET($GY$3,0,0,'Données projet'!$E$18+1,1))-AVERAGE(OFFSET($H$3,0,0,'Données projet'!$E$18+1,1))</f>
        <v>#N/A</v>
      </c>
      <c r="HA82" s="58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0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3">
        <f t="shared" si="56"/>
        <v>256.66666666666669</v>
      </c>
      <c r="I83" s="6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264.65399999999988</v>
      </c>
      <c r="P83" s="14">
        <f t="shared" si="87"/>
        <v>63.71339601121106</v>
      </c>
      <c r="Q83" s="22">
        <f t="shared" si="54"/>
        <v>571.90654805285897</v>
      </c>
      <c r="R83" s="58">
        <f t="shared" si="55"/>
        <v>865.23988138619234</v>
      </c>
      <c r="S83" s="58">
        <f ca="1">AVERAGE(OFFSET($R$3,0,0,'Données projet'!$E$9+1,1))-AVERAGE(OFFSET($H$3,0,0,'Données projet'!$E$9+1,1))</f>
        <v>483.15009705023641</v>
      </c>
      <c r="T83" s="58">
        <f t="shared" si="88"/>
        <v>254.25036207346591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58">
        <f t="shared" si="59"/>
        <v>804.97196869076015</v>
      </c>
      <c r="AN83" s="58">
        <f ca="1">AVERAGE(OFFSET($AM$3,0,0,'Données projet'!$E$10+1,1))-AVERAGE(OFFSET($H$3,0,0,'Données projet'!$E$10+1,1))</f>
        <v>435.7095890216213</v>
      </c>
      <c r="AO83" s="58">
        <f t="shared" si="90"/>
        <v>231.36959598460686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-5.6843418860808015E-14</v>
      </c>
      <c r="BE83" s="14">
        <f>BD83*VLOOKUP('Données projet'!$B$11,Paramètres!$A$1:$I$89,3,0)*VLOOKUP('Données projet'!$B$11,Paramètres!$A$1:$I$89,5,0)</f>
        <v>-4.9658410716801891E-14</v>
      </c>
      <c r="BF83" s="14" t="e">
        <f t="shared" si="91"/>
        <v>#NUM!</v>
      </c>
      <c r="BG83" s="22" t="e">
        <f t="shared" si="61"/>
        <v>#NUM!</v>
      </c>
      <c r="BH83" s="58" t="e">
        <f t="shared" si="62"/>
        <v>#NUM!</v>
      </c>
      <c r="BI83" s="58">
        <f ca="1">AVERAGE(OFFSET($BH$3,0,0,'Données projet'!$E$11+1,1))-AVERAGE(OFFSET($H$3,0,0,'Données projet'!$E$11+1,1))</f>
        <v>218.76424742311815</v>
      </c>
      <c r="BJ83" s="58">
        <f t="shared" si="92"/>
        <v>264.34598683038593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0.87024876208089785</v>
      </c>
      <c r="BQ83" s="23">
        <f>EXP(-LN(2)/25)*BQ82+(1-EXP(-LN(2)/25))/(LN(2)/25)*Calculateur!BL83*Calculateur!BN83*VLOOKUP('Données projet'!$B$11,Paramètres!$A$1:$I$89,3,0)*0.475*44/12</f>
        <v>1.0911447511321031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1.9613935132130009</v>
      </c>
      <c r="BT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4.5</v>
      </c>
      <c r="BY83" s="13">
        <f>IF('Données projet'!$A$114&gt;35,BY82+BX83-CG82,IF(A83&lt;'Données projet'!$A$114,$BV$205^A83,IF(A83='Données projet'!$A$114,'Données projet'!$B$114,BY82+BX83-CG82)))</f>
        <v>191.5</v>
      </c>
      <c r="BZ83" s="14">
        <f>BY83*VLOOKUP('Données projet'!$B$12,Paramètres!$A$1:$I$89,3,0)*VLOOKUP('Données projet'!$B$12,Paramètres!$A$1:$I$89,5,0)</f>
        <v>185.21880000000002</v>
      </c>
      <c r="CA83" s="14">
        <f t="shared" si="93"/>
        <v>46.481334604372385</v>
      </c>
      <c r="CB83" s="22">
        <f t="shared" si="64"/>
        <v>403.54440110261527</v>
      </c>
      <c r="CC83" s="58">
        <f t="shared" si="65"/>
        <v>696.87773443594858</v>
      </c>
      <c r="CD83" s="58">
        <f ca="1">AVERAGE(OFFSET($CC$3,0,0,'Données projet'!$E$12+1,1))-AVERAGE(OFFSET($H$3,0,0,'Données projet'!$E$12+1,1))</f>
        <v>343.86347628565426</v>
      </c>
      <c r="CE83" s="58">
        <f t="shared" si="94"/>
        <v>129.28196646107097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58" t="e">
        <f t="shared" si="68"/>
        <v>#N/A</v>
      </c>
      <c r="CY83" s="58" t="e">
        <f ca="1">AVERAGE(OFFSET($CX$3,0,0,'Données projet'!$E$13+1,1))-AVERAGE(OFFSET($H$3,0,0,'Données projet'!$E$13+1,1))</f>
        <v>#N/A</v>
      </c>
      <c r="CZ83" s="58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207.8787878787879</v>
      </c>
      <c r="DM83" s="13">
        <f>VLOOKUP(A83,'Données projet'!$A$165:$I$185,9,0)</f>
        <v>3.7575757575757591</v>
      </c>
      <c r="DN83" s="13">
        <f t="array" ref="DN83">INDEX(DM:DM,MIN(IF(ISNUMBER(DM83:DM279),ROW(DM83:DM279),"")))</f>
        <v>3.7575757575757591</v>
      </c>
      <c r="DO83" s="13">
        <f>IF('Données projet'!$A$166&gt;35,DO82+DN83-DW82,IF(A83&lt;'Données projet'!$A$166,$DL$205^A83,IF(A83='Données projet'!$A$166,'Données projet'!$B$166,DO82+DN83-DW82)))</f>
        <v>207.87878787878813</v>
      </c>
      <c r="DP83" s="18">
        <f>DO83*VLOOKUP('Données projet'!$B$14,Paramètres!$A$1:$I$89,3,0)*VLOOKUP('Données projet'!$B$14,Paramètres!$A$1:$I$89,5,0)</f>
        <v>197.81745454545478</v>
      </c>
      <c r="DQ83" s="14">
        <f t="shared" si="97"/>
        <v>49.264204408843497</v>
      </c>
      <c r="DR83" s="22">
        <f t="shared" si="70"/>
        <v>430.33388934540289</v>
      </c>
      <c r="DS83" s="58">
        <f t="shared" si="71"/>
        <v>723.66722267873615</v>
      </c>
      <c r="DT83" s="58">
        <f ca="1">AVERAGE(OFFSET($DS$3,0,0,'Données projet'!$E$14+1,1))-AVERAGE(OFFSET($H$3,0,0,'Données projet'!$E$14+1,1))</f>
        <v>332.49889399440514</v>
      </c>
      <c r="DU83" s="58">
        <f t="shared" si="98"/>
        <v>256.06044006790529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24.848484848484851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342.30769230769232</v>
      </c>
      <c r="EH83" s="13">
        <f>VLOOKUP(A83,'Données projet'!$A$191:$I$211,9,0)</f>
        <v>5</v>
      </c>
      <c r="EI83" s="13">
        <f t="array" ref="EI83">INDEX(EH:EH,MIN(IF(ISNUMBER(EH83:EH279),ROW(EH83:EH279),"")))</f>
        <v>5</v>
      </c>
      <c r="EJ83" s="13">
        <f>IF('Données projet'!$A$192&gt;35,EJ82+EI83-ER82,IF(A83&lt;'Données projet'!$A$192,$EG$205^A83,IF(A83='Données projet'!$A$192,'Données projet'!$B$192,EJ82+EI83-ER82)))</f>
        <v>342.30769230769261</v>
      </c>
      <c r="EK83" s="18">
        <f>EJ83*VLOOKUP('Données projet'!$B$15,Paramètres!$A$1:$I$89,3,0)*VLOOKUP('Données projet'!$B$15,Paramètres!$A$1:$I$89,5,0)</f>
        <v>357.78000000000037</v>
      </c>
      <c r="EL83" s="14">
        <f t="shared" si="99"/>
        <v>83.162438492372715</v>
      </c>
      <c r="EM83" s="22">
        <f t="shared" si="73"/>
        <v>767.97474704088302</v>
      </c>
      <c r="EN83" s="58">
        <f t="shared" si="74"/>
        <v>1061.3080803742164</v>
      </c>
      <c r="EO83" s="58">
        <f ca="1">AVERAGE(OFFSET($EN$3,0,0,'Données projet'!$E$15+1,1))-AVERAGE(OFFSET($H$3,0,0,'Données projet'!$E$15+1,1))</f>
        <v>596.00698505207174</v>
      </c>
      <c r="EP83" s="58">
        <f t="shared" si="100"/>
        <v>378.16197659288338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27.564102564102562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12.124038461538468</v>
      </c>
      <c r="FE83" s="13">
        <f>IF('Données projet'!$A$218&gt;35,FE82+FD83-FM82,IF(A83&lt;'Données projet'!$A$218,$FB$205^A83,IF(A83='Données projet'!$A$218,'Données projet'!$B$218,FE82+FD83-FM82)))</f>
        <v>371.6471153846154</v>
      </c>
      <c r="FF83" s="18">
        <f>FE83*VLOOKUP('Données projet'!$B$16,Paramètres!$A$1:$I$89,3,0)*VLOOKUP('Données projet'!$B$16,Paramètres!$A$1:$I$89,5,0)</f>
        <v>173.93085000000002</v>
      </c>
      <c r="FG83" s="14">
        <f t="shared" si="101"/>
        <v>43.969228534222836</v>
      </c>
      <c r="FH83" s="22">
        <f t="shared" si="76"/>
        <v>379.50930344710486</v>
      </c>
      <c r="FI83" s="58">
        <f t="shared" si="77"/>
        <v>672.84263678043817</v>
      </c>
      <c r="FJ83" s="58">
        <f ca="1">AVERAGE(OFFSET($FI$3,0,0,'Données projet'!$E$16+1,1))-AVERAGE(OFFSET($H$3,0,0,'Données projet'!$E$16+1,1))</f>
        <v>294.31042006404056</v>
      </c>
      <c r="FK83" s="58">
        <f t="shared" si="102"/>
        <v>260.93767498478502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326.92307692307691</v>
      </c>
      <c r="FX83" s="13">
        <f>VLOOKUP(A83,'Données projet'!$A$243:$I$263,9,0)</f>
        <v>4.7435897435897463</v>
      </c>
      <c r="FY83" s="13">
        <f t="array" ref="FY83">INDEX(FX:FX,MIN(IF(ISNUMBER(FX83:FX279),ROW(FX83:FX279),"")))</f>
        <v>4.7435897435897463</v>
      </c>
      <c r="FZ83" s="13">
        <f>IF('Données projet'!$A$244&gt;35,FZ82+FY83-GH82,IF(A83&lt;'Données projet'!$A$244,$FW$205^A83,IF(A83='Données projet'!$A$244,'Données projet'!$B$244,FZ82+FY83-GH82)))</f>
        <v>326.92307692307691</v>
      </c>
      <c r="GA83" s="18">
        <f>FZ83*VLOOKUP('Données projet'!$B$17,Paramètres!$A$1:$I$89,3,0)*VLOOKUP('Données projet'!$B$17,Paramètres!$A$1:$I$89,5,0)</f>
        <v>219.29999999999998</v>
      </c>
      <c r="GB83" s="14">
        <f t="shared" si="103"/>
        <v>53.962715971896969</v>
      </c>
      <c r="GC83" s="22">
        <f t="shared" si="79"/>
        <v>475.9325636510539</v>
      </c>
      <c r="GD83" s="58">
        <f t="shared" si="80"/>
        <v>769.26589698438715</v>
      </c>
      <c r="GE83" s="58">
        <f ca="1">AVERAGE(OFFSET($GD$3,0,0,'Données projet'!$E$17+1,1))-AVERAGE(OFFSET($H$3,0,0,'Données projet'!$E$17+1,1))</f>
        <v>362.1372269575329</v>
      </c>
      <c r="GF83" s="58">
        <f t="shared" si="104"/>
        <v>308.1559670593121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28.846153846153847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58" t="e">
        <f t="shared" si="83"/>
        <v>#N/A</v>
      </c>
      <c r="GZ83" s="58" t="e">
        <f ca="1">AVERAGE(OFFSET($GY$3,0,0,'Données projet'!$E$18+1,1))-AVERAGE(OFFSET($H$3,0,0,'Données projet'!$E$18+1,1))</f>
        <v>#N/A</v>
      </c>
      <c r="HA83" s="58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0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3">
        <f t="shared" si="56"/>
        <v>256.66666666666669</v>
      </c>
      <c r="I84" s="6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3.5</v>
      </c>
      <c r="N84" s="14">
        <f>IF('Données projet'!$A$36&gt;35,N83+M84-V83,IF(A84&lt;'Données projet'!$A$36,$K$205^A84,IF(A84='Données projet'!$A$36,'Données projet'!$B$36,N83+M84-V83)))</f>
        <v>264.49999999999989</v>
      </c>
      <c r="O84" s="14">
        <f>N84*VLOOKUP('Données projet'!$B$9,Paramètres!$A$1:$I$89,3,0)*VLOOKUP('Données projet'!$B$9,Paramètres!$A$1:$I$89,5,0)</f>
        <v>268.20299999999992</v>
      </c>
      <c r="P84" s="14">
        <f t="shared" si="87"/>
        <v>64.467752442973335</v>
      </c>
      <c r="Q84" s="22">
        <f t="shared" si="54"/>
        <v>579.40156050484518</v>
      </c>
      <c r="R84" s="58">
        <f t="shared" si="55"/>
        <v>872.73489383817855</v>
      </c>
      <c r="S84" s="58">
        <f ca="1">AVERAGE(OFFSET($R$3,0,0,'Données projet'!$E$9+1,1))-AVERAGE(OFFSET($H$3,0,0,'Données projet'!$E$9+1,1))</f>
        <v>483.15009705023641</v>
      </c>
      <c r="T84" s="58">
        <f t="shared" si="88"/>
        <v>254.25036207346591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3.5</v>
      </c>
      <c r="AI84" s="14">
        <f>IF('Données projet'!$A$62&gt;35,AI83+AH84-AQ83,IF(A84&lt;'Données projet'!$A$62,$AF$205^A84,IF(A84='Données projet'!$A$62,'Données projet'!$B$62,AI83+AH84-AQ83)))</f>
        <v>264.49999999999989</v>
      </c>
      <c r="AJ84" s="14">
        <f>AI84*VLOOKUP('Données projet'!$B$10,Paramètres!$A$1:$I$89,3,0)*VLOOKUP('Données projet'!$B$10,Paramètres!$A$1:$I$89,5,0)</f>
        <v>239.31959999999987</v>
      </c>
      <c r="AK84" s="14">
        <f t="shared" si="89"/>
        <v>58.293114928060888</v>
      </c>
      <c r="AL84" s="22">
        <f t="shared" si="58"/>
        <v>518.34214516637246</v>
      </c>
      <c r="AM84" s="58">
        <f t="shared" si="59"/>
        <v>811.67547849970583</v>
      </c>
      <c r="AN84" s="58">
        <f ca="1">AVERAGE(OFFSET($AM$3,0,0,'Données projet'!$E$10+1,1))-AVERAGE(OFFSET($H$3,0,0,'Données projet'!$E$10+1,1))</f>
        <v>435.7095890216213</v>
      </c>
      <c r="AO84" s="58">
        <f t="shared" si="90"/>
        <v>231.36959598460686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-4.9658410716801891E-14</v>
      </c>
      <c r="BF84" s="14" t="e">
        <f t="shared" si="91"/>
        <v>#NUM!</v>
      </c>
      <c r="BG84" s="22" t="e">
        <f t="shared" si="61"/>
        <v>#NUM!</v>
      </c>
      <c r="BH84" s="58" t="e">
        <f t="shared" si="62"/>
        <v>#NUM!</v>
      </c>
      <c r="BI84" s="58">
        <f ca="1">AVERAGE(OFFSET($BH$3,0,0,'Données projet'!$E$11+1,1))-AVERAGE(OFFSET($H$3,0,0,'Données projet'!$E$11+1,1))</f>
        <v>218.76424742311815</v>
      </c>
      <c r="BJ84" s="58">
        <f t="shared" si="92"/>
        <v>264.34598683038593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0.85318371465582421</v>
      </c>
      <c r="BQ84" s="23">
        <f>EXP(-LN(2)/25)*BQ83+(1-EXP(-LN(2)/25))/(LN(2)/25)*Calculateur!BL84*Calculateur!BN84*VLOOKUP('Données projet'!$B$11,Paramètres!$A$1:$I$89,3,0)*0.475*44/12</f>
        <v>1.0613073405315872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1.9144910551874115</v>
      </c>
      <c r="BT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4.5</v>
      </c>
      <c r="BY84" s="13">
        <f>IF('Données projet'!$A$114&gt;35,BY83+BX84-CG83,IF(A84&lt;'Données projet'!$A$114,$BV$205^A84,IF(A84='Données projet'!$A$114,'Données projet'!$B$114,BY83+BX84-CG83)))</f>
        <v>196</v>
      </c>
      <c r="BZ84" s="14">
        <f>BY84*VLOOKUP('Données projet'!$B$12,Paramètres!$A$1:$I$89,3,0)*VLOOKUP('Données projet'!$B$12,Paramètres!$A$1:$I$89,5,0)</f>
        <v>189.5712</v>
      </c>
      <c r="CA84" s="14">
        <f t="shared" si="93"/>
        <v>47.44513879693244</v>
      </c>
      <c r="CB84" s="22">
        <f t="shared" si="64"/>
        <v>412.8034567379907</v>
      </c>
      <c r="CC84" s="58">
        <f t="shared" si="65"/>
        <v>706.13679007132396</v>
      </c>
      <c r="CD84" s="58">
        <f ca="1">AVERAGE(OFFSET($CC$3,0,0,'Données projet'!$E$12+1,1))-AVERAGE(OFFSET($H$3,0,0,'Données projet'!$E$12+1,1))</f>
        <v>343.86347628565426</v>
      </c>
      <c r="CE84" s="58">
        <f t="shared" si="94"/>
        <v>129.28196646107097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58" t="e">
        <f t="shared" si="68"/>
        <v>#N/A</v>
      </c>
      <c r="CY84" s="58" t="e">
        <f ca="1">AVERAGE(OFFSET($CX$3,0,0,'Données projet'!$E$13+1,1))-AVERAGE(OFFSET($H$3,0,0,'Données projet'!$E$13+1,1))</f>
        <v>#N/A</v>
      </c>
      <c r="CZ84" s="58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3.4545454545454533</v>
      </c>
      <c r="DO84" s="13">
        <f>IF('Données projet'!$A$166&gt;35,DO83+DN84-DW83,IF(A84&lt;'Données projet'!$A$166,$DL$205^A84,IF(A84='Données projet'!$A$166,'Données projet'!$B$166,DO83+DN84-DW83)))</f>
        <v>186.48484848484875</v>
      </c>
      <c r="DP84" s="18">
        <f>DO84*VLOOKUP('Données projet'!$B$14,Paramètres!$A$1:$I$89,3,0)*VLOOKUP('Données projet'!$B$14,Paramètres!$A$1:$I$89,5,0)</f>
        <v>177.45898181818208</v>
      </c>
      <c r="DQ84" s="14">
        <f t="shared" si="97"/>
        <v>44.756389505605505</v>
      </c>
      <c r="DR84" s="22">
        <f t="shared" si="70"/>
        <v>387.02510505559667</v>
      </c>
      <c r="DS84" s="58">
        <f t="shared" si="71"/>
        <v>680.35843838892993</v>
      </c>
      <c r="DT84" s="58">
        <f ca="1">AVERAGE(OFFSET($DS$3,0,0,'Données projet'!$E$14+1,1))-AVERAGE(OFFSET($H$3,0,0,'Données projet'!$E$14+1,1))</f>
        <v>332.49889399440514</v>
      </c>
      <c r="DU84" s="58">
        <f t="shared" si="98"/>
        <v>256.06044006790529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4.7435897435897347</v>
      </c>
      <c r="EJ84" s="13">
        <f>IF('Données projet'!$A$192&gt;35,EJ83+EI84-ER83,IF(A84&lt;'Données projet'!$A$192,$EG$205^A84,IF(A84='Données projet'!$A$192,'Données projet'!$B$192,EJ83+EI84-ER83)))</f>
        <v>319.48717948717979</v>
      </c>
      <c r="EK84" s="18">
        <f>EJ84*VLOOKUP('Données projet'!$B$15,Paramètres!$A$1:$I$89,3,0)*VLOOKUP('Données projet'!$B$15,Paramètres!$A$1:$I$89,5,0)</f>
        <v>333.92800000000034</v>
      </c>
      <c r="EL84" s="14">
        <f t="shared" si="99"/>
        <v>78.244120108546397</v>
      </c>
      <c r="EM84" s="22">
        <f t="shared" si="73"/>
        <v>717.86644252238546</v>
      </c>
      <c r="EN84" s="58">
        <f t="shared" si="74"/>
        <v>1011.1997758557188</v>
      </c>
      <c r="EO84" s="58">
        <f ca="1">AVERAGE(OFFSET($EN$3,0,0,'Données projet'!$E$15+1,1))-AVERAGE(OFFSET($H$3,0,0,'Données projet'!$E$15+1,1))</f>
        <v>596.00698505207174</v>
      </c>
      <c r="EP84" s="58">
        <f t="shared" si="100"/>
        <v>378.16197659288338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12.124038461538468</v>
      </c>
      <c r="FE84" s="13">
        <f>IF('Données projet'!$A$218&gt;35,FE83+FD84-FM83,IF(A84&lt;'Données projet'!$A$218,$FB$205^A84,IF(A84='Données projet'!$A$218,'Données projet'!$B$218,FE83+FD84-FM83)))</f>
        <v>383.77115384615388</v>
      </c>
      <c r="FF84" s="18">
        <f>FE84*VLOOKUP('Données projet'!$B$16,Paramètres!$A$1:$I$89,3,0)*VLOOKUP('Données projet'!$B$16,Paramètres!$A$1:$I$89,5,0)</f>
        <v>179.60490000000001</v>
      </c>
      <c r="FG84" s="14">
        <f t="shared" si="101"/>
        <v>45.234272457213635</v>
      </c>
      <c r="FH84" s="22">
        <f t="shared" si="76"/>
        <v>391.59489202964704</v>
      </c>
      <c r="FI84" s="58">
        <f t="shared" si="77"/>
        <v>684.92822536298036</v>
      </c>
      <c r="FJ84" s="58">
        <f ca="1">AVERAGE(OFFSET($FI$3,0,0,'Données projet'!$E$16+1,1))-AVERAGE(OFFSET($H$3,0,0,'Données projet'!$E$16+1,1))</f>
        <v>294.31042006404056</v>
      </c>
      <c r="FK84" s="58">
        <f t="shared" si="102"/>
        <v>260.93767498478502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4.4871794871794917</v>
      </c>
      <c r="FZ84" s="13">
        <f>IF('Données projet'!$A$244&gt;35,FZ83+FY84-GH83,IF(A84&lt;'Données projet'!$A$244,$FW$205^A84,IF(A84='Données projet'!$A$244,'Données projet'!$B$244,FZ83+FY84-GH83)))</f>
        <v>302.56410256410254</v>
      </c>
      <c r="GA84" s="18">
        <f>FZ84*VLOOKUP('Données projet'!$B$17,Paramètres!$A$1:$I$89,3,0)*VLOOKUP('Données projet'!$B$17,Paramètres!$A$1:$I$89,5,0)</f>
        <v>202.95999999999998</v>
      </c>
      <c r="GB84" s="14">
        <f t="shared" si="103"/>
        <v>50.394128866673796</v>
      </c>
      <c r="GC84" s="22">
        <f t="shared" si="79"/>
        <v>441.25844110945678</v>
      </c>
      <c r="GD84" s="58">
        <f t="shared" si="80"/>
        <v>734.5917744427901</v>
      </c>
      <c r="GE84" s="58">
        <f ca="1">AVERAGE(OFFSET($GD$3,0,0,'Données projet'!$E$17+1,1))-AVERAGE(OFFSET($H$3,0,0,'Données projet'!$E$17+1,1))</f>
        <v>362.1372269575329</v>
      </c>
      <c r="GF84" s="58">
        <f t="shared" si="104"/>
        <v>308.1559670593121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58" t="e">
        <f t="shared" si="83"/>
        <v>#N/A</v>
      </c>
      <c r="GZ84" s="58" t="e">
        <f ca="1">AVERAGE(OFFSET($GY$3,0,0,'Données projet'!$E$18+1,1))-AVERAGE(OFFSET($H$3,0,0,'Données projet'!$E$18+1,1))</f>
        <v>#N/A</v>
      </c>
      <c r="HA84" s="58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0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3">
        <f t="shared" si="56"/>
        <v>256.66666666666669</v>
      </c>
      <c r="I85" s="6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3.5</v>
      </c>
      <c r="N85" s="14">
        <f>IF('Données projet'!$A$36&gt;35,N84+M85-V84,IF(A85&lt;'Données projet'!$A$36,$K$205^A85,IF(A85='Données projet'!$A$36,'Données projet'!$B$36,N84+M85-V84)))</f>
        <v>267.99999999999989</v>
      </c>
      <c r="O85" s="14">
        <f>N85*VLOOKUP('Données projet'!$B$9,Paramètres!$A$1:$I$89,3,0)*VLOOKUP('Données projet'!$B$9,Paramètres!$A$1:$I$89,5,0)</f>
        <v>271.7519999999999</v>
      </c>
      <c r="P85" s="14">
        <f t="shared" si="87"/>
        <v>65.220947824724931</v>
      </c>
      <c r="Q85" s="22">
        <f t="shared" si="54"/>
        <v>586.89455079472907</v>
      </c>
      <c r="R85" s="58">
        <f t="shared" si="55"/>
        <v>880.22788412806244</v>
      </c>
      <c r="S85" s="58">
        <f ca="1">AVERAGE(OFFSET($R$3,0,0,'Données projet'!$E$9+1,1))-AVERAGE(OFFSET($H$3,0,0,'Données projet'!$E$9+1,1))</f>
        <v>483.15009705023641</v>
      </c>
      <c r="T85" s="58">
        <f t="shared" si="88"/>
        <v>254.25036207346591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3.5</v>
      </c>
      <c r="AI85" s="14">
        <f>IF('Données projet'!$A$62&gt;35,AI84+AH85-AQ84,IF(A85&lt;'Données projet'!$A$62,$AF$205^A85,IF(A85='Données projet'!$A$62,'Données projet'!$B$62,AI84+AH85-AQ84)))</f>
        <v>267.99999999999989</v>
      </c>
      <c r="AJ85" s="14">
        <f>AI85*VLOOKUP('Données projet'!$B$10,Paramètres!$A$1:$I$89,3,0)*VLOOKUP('Données projet'!$B$10,Paramètres!$A$1:$I$89,5,0)</f>
        <v>242.48639999999986</v>
      </c>
      <c r="AK85" s="14">
        <f t="shared" si="89"/>
        <v>58.974170235372419</v>
      </c>
      <c r="AL85" s="22">
        <f t="shared" si="58"/>
        <v>525.04382649327329</v>
      </c>
      <c r="AM85" s="58">
        <f t="shared" si="59"/>
        <v>818.37715982660666</v>
      </c>
      <c r="AN85" s="58">
        <f ca="1">AVERAGE(OFFSET($AM$3,0,0,'Données projet'!$E$10+1,1))-AVERAGE(OFFSET($H$3,0,0,'Données projet'!$E$10+1,1))</f>
        <v>435.7095890216213</v>
      </c>
      <c r="AO85" s="58">
        <f t="shared" si="90"/>
        <v>231.36959598460686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-4.9658410716801891E-14</v>
      </c>
      <c r="BF85" s="14" t="e">
        <f t="shared" si="91"/>
        <v>#NUM!</v>
      </c>
      <c r="BG85" s="22" t="e">
        <f t="shared" si="61"/>
        <v>#NUM!</v>
      </c>
      <c r="BH85" s="58" t="e">
        <f t="shared" si="62"/>
        <v>#NUM!</v>
      </c>
      <c r="BI85" s="58">
        <f ca="1">AVERAGE(OFFSET($BH$3,0,0,'Données projet'!$E$11+1,1))-AVERAGE(OFFSET($H$3,0,0,'Données projet'!$E$11+1,1))</f>
        <v>218.76424742311815</v>
      </c>
      <c r="BJ85" s="58">
        <f t="shared" si="92"/>
        <v>264.34598683038593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0.83645330240210514</v>
      </c>
      <c r="BQ85" s="23">
        <f>EXP(-LN(2)/25)*BQ84+(1-EXP(-LN(2)/25))/(LN(2)/25)*Calculateur!BL85*Calculateur!BN85*VLOOKUP('Données projet'!$B$11,Paramètres!$A$1:$I$89,3,0)*0.475*44/12</f>
        <v>1.0322858354930236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1.8687391378951288</v>
      </c>
      <c r="BT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4.5</v>
      </c>
      <c r="BY85" s="13">
        <f>IF('Données projet'!$A$114&gt;35,BY84+BX85-CG84,IF(A85&lt;'Données projet'!$A$114,$BV$205^A85,IF(A85='Données projet'!$A$114,'Données projet'!$B$114,BY84+BX85-CG84)))</f>
        <v>200.5</v>
      </c>
      <c r="BZ85" s="14">
        <f>BY85*VLOOKUP('Données projet'!$B$12,Paramètres!$A$1:$I$89,3,0)*VLOOKUP('Données projet'!$B$12,Paramètres!$A$1:$I$89,5,0)</f>
        <v>193.92360000000002</v>
      </c>
      <c r="CA85" s="14">
        <f t="shared" si="93"/>
        <v>48.406370471763871</v>
      </c>
      <c r="CB85" s="22">
        <f t="shared" si="64"/>
        <v>422.0580319049887</v>
      </c>
      <c r="CC85" s="58">
        <f t="shared" si="65"/>
        <v>715.39136523832201</v>
      </c>
      <c r="CD85" s="58">
        <f ca="1">AVERAGE(OFFSET($CC$3,0,0,'Données projet'!$E$12+1,1))-AVERAGE(OFFSET($H$3,0,0,'Données projet'!$E$12+1,1))</f>
        <v>343.86347628565426</v>
      </c>
      <c r="CE85" s="58">
        <f t="shared" si="94"/>
        <v>129.28196646107097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58" t="e">
        <f t="shared" si="68"/>
        <v>#N/A</v>
      </c>
      <c r="CY85" s="58" t="e">
        <f ca="1">AVERAGE(OFFSET($CX$3,0,0,'Données projet'!$E$13+1,1))-AVERAGE(OFFSET($H$3,0,0,'Données projet'!$E$13+1,1))</f>
        <v>#N/A</v>
      </c>
      <c r="CZ85" s="58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3.4545454545454533</v>
      </c>
      <c r="DO85" s="13">
        <f>IF('Données projet'!$A$166&gt;35,DO84+DN85-DW84,IF(A85&lt;'Données projet'!$A$166,$DL$205^A85,IF(A85='Données projet'!$A$166,'Données projet'!$B$166,DO84+DN85-DW84)))</f>
        <v>189.93939393939422</v>
      </c>
      <c r="DP85" s="18">
        <f>DO85*VLOOKUP('Données projet'!$B$14,Paramètres!$A$1:$I$89,3,0)*VLOOKUP('Données projet'!$B$14,Paramètres!$A$1:$I$89,5,0)</f>
        <v>180.74632727272754</v>
      </c>
      <c r="DQ85" s="14">
        <f t="shared" si="97"/>
        <v>45.488190227664077</v>
      </c>
      <c r="DR85" s="22">
        <f t="shared" si="70"/>
        <v>394.02511797984874</v>
      </c>
      <c r="DS85" s="58">
        <f t="shared" si="71"/>
        <v>687.35845131318206</v>
      </c>
      <c r="DT85" s="58">
        <f ca="1">AVERAGE(OFFSET($DS$3,0,0,'Données projet'!$E$14+1,1))-AVERAGE(OFFSET($H$3,0,0,'Données projet'!$E$14+1,1))</f>
        <v>332.49889399440514</v>
      </c>
      <c r="DU85" s="58">
        <f t="shared" si="98"/>
        <v>256.06044006790529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4.7435897435897347</v>
      </c>
      <c r="EJ85" s="13">
        <f>IF('Données projet'!$A$192&gt;35,EJ84+EI85-ER84,IF(A85&lt;'Données projet'!$A$192,$EG$205^A85,IF(A85='Données projet'!$A$192,'Données projet'!$B$192,EJ84+EI85-ER84)))</f>
        <v>324.23076923076951</v>
      </c>
      <c r="EK85" s="18">
        <f>EJ85*VLOOKUP('Données projet'!$B$15,Paramètres!$A$1:$I$89,3,0)*VLOOKUP('Données projet'!$B$15,Paramètres!$A$1:$I$89,5,0)</f>
        <v>338.88600000000031</v>
      </c>
      <c r="EL85" s="14">
        <f t="shared" si="99"/>
        <v>79.269743025826031</v>
      </c>
      <c r="EM85" s="22">
        <f t="shared" si="73"/>
        <v>728.28791910331404</v>
      </c>
      <c r="EN85" s="58">
        <f t="shared" si="74"/>
        <v>1021.6212524366474</v>
      </c>
      <c r="EO85" s="58">
        <f ca="1">AVERAGE(OFFSET($EN$3,0,0,'Données projet'!$E$15+1,1))-AVERAGE(OFFSET($H$3,0,0,'Données projet'!$E$15+1,1))</f>
        <v>596.00698505207174</v>
      </c>
      <c r="EP85" s="58">
        <f t="shared" si="100"/>
        <v>378.16197659288338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12.124038461538468</v>
      </c>
      <c r="FE85" s="13">
        <f>IF('Données projet'!$A$218&gt;35,FE84+FD85-FM84,IF(A85&lt;'Données projet'!$A$218,$FB$205^A85,IF(A85='Données projet'!$A$218,'Données projet'!$B$218,FE84+FD85-FM84)))</f>
        <v>395.89519230769235</v>
      </c>
      <c r="FF85" s="18">
        <f>FE85*VLOOKUP('Données projet'!$B$16,Paramètres!$A$1:$I$89,3,0)*VLOOKUP('Données projet'!$B$16,Paramètres!$A$1:$I$89,5,0)</f>
        <v>185.27895000000001</v>
      </c>
      <c r="FG85" s="14">
        <f t="shared" si="101"/>
        <v>46.494672172616063</v>
      </c>
      <c r="FH85" s="22">
        <f t="shared" si="76"/>
        <v>403.67239195063962</v>
      </c>
      <c r="FI85" s="58">
        <f t="shared" si="77"/>
        <v>697.00572528397288</v>
      </c>
      <c r="FJ85" s="58">
        <f ca="1">AVERAGE(OFFSET($FI$3,0,0,'Données projet'!$E$16+1,1))-AVERAGE(OFFSET($H$3,0,0,'Données projet'!$E$16+1,1))</f>
        <v>294.31042006404056</v>
      </c>
      <c r="FK85" s="58">
        <f t="shared" si="102"/>
        <v>260.93767498478502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4.4871794871794917</v>
      </c>
      <c r="FZ85" s="13">
        <f>IF('Données projet'!$A$244&gt;35,FZ84+FY85-GH84,IF(A85&lt;'Données projet'!$A$244,$FW$205^A85,IF(A85='Données projet'!$A$244,'Données projet'!$B$244,FZ84+FY85-GH84)))</f>
        <v>307.05128205128204</v>
      </c>
      <c r="GA85" s="18">
        <f>FZ85*VLOOKUP('Données projet'!$B$17,Paramètres!$A$1:$I$89,3,0)*VLOOKUP('Données projet'!$B$17,Paramètres!$A$1:$I$89,5,0)</f>
        <v>205.97</v>
      </c>
      <c r="GB85" s="14">
        <f t="shared" si="103"/>
        <v>51.053938616003535</v>
      </c>
      <c r="GC85" s="22">
        <f t="shared" si="79"/>
        <v>447.65002642287277</v>
      </c>
      <c r="GD85" s="58">
        <f t="shared" si="80"/>
        <v>740.98335975620603</v>
      </c>
      <c r="GE85" s="58">
        <f ca="1">AVERAGE(OFFSET($GD$3,0,0,'Données projet'!$E$17+1,1))-AVERAGE(OFFSET($H$3,0,0,'Données projet'!$E$17+1,1))</f>
        <v>362.1372269575329</v>
      </c>
      <c r="GF85" s="58">
        <f t="shared" si="104"/>
        <v>308.1559670593121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58" t="e">
        <f t="shared" si="83"/>
        <v>#N/A</v>
      </c>
      <c r="GZ85" s="58" t="e">
        <f ca="1">AVERAGE(OFFSET($GY$3,0,0,'Données projet'!$E$18+1,1))-AVERAGE(OFFSET($H$3,0,0,'Données projet'!$E$18+1,1))</f>
        <v>#N/A</v>
      </c>
      <c r="HA85" s="58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0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3">
        <f t="shared" si="56"/>
        <v>256.66666666666669</v>
      </c>
      <c r="I86" s="6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3.5</v>
      </c>
      <c r="N86" s="14">
        <f>IF('Données projet'!$A$36&gt;35,N85+M86-V85,IF(A86&lt;'Données projet'!$A$36,$K$205^A86,IF(A86='Données projet'!$A$36,'Données projet'!$B$36,N85+M86-V85)))</f>
        <v>271.49999999999989</v>
      </c>
      <c r="O86" s="14">
        <f>N86*VLOOKUP('Données projet'!$B$9,Paramètres!$A$1:$I$89,3,0)*VLOOKUP('Données projet'!$B$9,Paramètres!$A$1:$I$89,5,0)</f>
        <v>275.30099999999993</v>
      </c>
      <c r="P86" s="14">
        <f t="shared" si="87"/>
        <v>65.972999072509225</v>
      </c>
      <c r="Q86" s="22">
        <f t="shared" si="54"/>
        <v>594.38554838462005</v>
      </c>
      <c r="R86" s="58">
        <f t="shared" si="55"/>
        <v>887.71888171795331</v>
      </c>
      <c r="S86" s="58">
        <f ca="1">AVERAGE(OFFSET($R$3,0,0,'Données projet'!$E$9+1,1))-AVERAGE(OFFSET($H$3,0,0,'Données projet'!$E$9+1,1))</f>
        <v>483.15009705023641</v>
      </c>
      <c r="T86" s="58">
        <f t="shared" si="88"/>
        <v>254.25036207346591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3.5</v>
      </c>
      <c r="AI86" s="14">
        <f>IF('Données projet'!$A$62&gt;35,AI85+AH86-AQ85,IF(A86&lt;'Données projet'!$A$62,$AF$205^A86,IF(A86='Données projet'!$A$62,'Données projet'!$B$62,AI85+AH86-AQ85)))</f>
        <v>271.49999999999989</v>
      </c>
      <c r="AJ86" s="14">
        <f>AI86*VLOOKUP('Données projet'!$B$10,Paramètres!$A$1:$I$89,3,0)*VLOOKUP('Données projet'!$B$10,Paramètres!$A$1:$I$89,5,0)</f>
        <v>245.65319999999988</v>
      </c>
      <c r="AK86" s="14">
        <f t="shared" si="89"/>
        <v>59.654190992380471</v>
      </c>
      <c r="AL86" s="22">
        <f t="shared" si="58"/>
        <v>531.74370597839572</v>
      </c>
      <c r="AM86" s="58">
        <f t="shared" si="59"/>
        <v>825.0770393117291</v>
      </c>
      <c r="AN86" s="58">
        <f ca="1">AVERAGE(OFFSET($AM$3,0,0,'Données projet'!$E$10+1,1))-AVERAGE(OFFSET($H$3,0,0,'Données projet'!$E$10+1,1))</f>
        <v>435.7095890216213</v>
      </c>
      <c r="AO86" s="58">
        <f t="shared" si="90"/>
        <v>231.36959598460686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-4.9658410716801891E-14</v>
      </c>
      <c r="BF86" s="14" t="e">
        <f t="shared" si="91"/>
        <v>#NUM!</v>
      </c>
      <c r="BG86" s="22" t="e">
        <f t="shared" si="61"/>
        <v>#NUM!</v>
      </c>
      <c r="BH86" s="58" t="e">
        <f t="shared" si="62"/>
        <v>#NUM!</v>
      </c>
      <c r="BI86" s="58">
        <f ca="1">AVERAGE(OFFSET($BH$3,0,0,'Données projet'!$E$11+1,1))-AVERAGE(OFFSET($H$3,0,0,'Données projet'!$E$11+1,1))</f>
        <v>218.76424742311815</v>
      </c>
      <c r="BJ86" s="58">
        <f t="shared" si="92"/>
        <v>264.34598683038593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0.82005096332813765</v>
      </c>
      <c r="BQ86" s="23">
        <f>EXP(-LN(2)/25)*BQ85+(1-EXP(-LN(2)/25))/(LN(2)/25)*Calculateur!BL86*Calculateur!BN86*VLOOKUP('Données projet'!$B$11,Paramètres!$A$1:$I$89,3,0)*0.475*44/12</f>
        <v>1.0040579250359141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1.8241088883640517</v>
      </c>
      <c r="BT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4.5</v>
      </c>
      <c r="BY86" s="13">
        <f>IF('Données projet'!$A$114&gt;35,BY85+BX86-CG85,IF(A86&lt;'Données projet'!$A$114,$BV$205^A86,IF(A86='Données projet'!$A$114,'Données projet'!$B$114,BY85+BX86-CG85)))</f>
        <v>205</v>
      </c>
      <c r="BZ86" s="14">
        <f>BY86*VLOOKUP('Données projet'!$B$12,Paramètres!$A$1:$I$89,3,0)*VLOOKUP('Données projet'!$B$12,Paramètres!$A$1:$I$89,5,0)</f>
        <v>198.27600000000001</v>
      </c>
      <c r="CA86" s="14">
        <f t="shared" si="93"/>
        <v>49.365094013592753</v>
      </c>
      <c r="CB86" s="22">
        <f t="shared" si="64"/>
        <v>431.30823874034064</v>
      </c>
      <c r="CC86" s="58">
        <f t="shared" si="65"/>
        <v>724.64157207367396</v>
      </c>
      <c r="CD86" s="58">
        <f ca="1">AVERAGE(OFFSET($CC$3,0,0,'Données projet'!$E$12+1,1))-AVERAGE(OFFSET($H$3,0,0,'Données projet'!$E$12+1,1))</f>
        <v>343.86347628565426</v>
      </c>
      <c r="CE86" s="58">
        <f t="shared" si="94"/>
        <v>129.28196646107097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58" t="e">
        <f t="shared" si="68"/>
        <v>#N/A</v>
      </c>
      <c r="CY86" s="58" t="e">
        <f ca="1">AVERAGE(OFFSET($CX$3,0,0,'Données projet'!$E$13+1,1))-AVERAGE(OFFSET($H$3,0,0,'Données projet'!$E$13+1,1))</f>
        <v>#N/A</v>
      </c>
      <c r="CZ86" s="58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3.4545454545454533</v>
      </c>
      <c r="DO86" s="13">
        <f>IF('Données projet'!$A$166&gt;35,DO85+DN86-DW85,IF(A86&lt;'Données projet'!$A$166,$DL$205^A86,IF(A86='Données projet'!$A$166,'Données projet'!$B$166,DO85+DN86-DW85)))</f>
        <v>193.39393939393966</v>
      </c>
      <c r="DP86" s="18">
        <f>DO86*VLOOKUP('Données projet'!$B$14,Paramètres!$A$1:$I$89,3,0)*VLOOKUP('Données projet'!$B$14,Paramètres!$A$1:$I$89,5,0)</f>
        <v>184.03367272727297</v>
      </c>
      <c r="DQ86" s="14">
        <f t="shared" si="97"/>
        <v>46.218443247656893</v>
      </c>
      <c r="DR86" s="22">
        <f t="shared" si="70"/>
        <v>401.02243532300281</v>
      </c>
      <c r="DS86" s="58">
        <f t="shared" si="71"/>
        <v>694.35576865633607</v>
      </c>
      <c r="DT86" s="58">
        <f ca="1">AVERAGE(OFFSET($DS$3,0,0,'Données projet'!$E$14+1,1))-AVERAGE(OFFSET($H$3,0,0,'Données projet'!$E$14+1,1))</f>
        <v>332.49889399440514</v>
      </c>
      <c r="DU86" s="58">
        <f t="shared" si="98"/>
        <v>256.06044006790529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4.7435897435897347</v>
      </c>
      <c r="EJ86" s="13">
        <f>IF('Données projet'!$A$192&gt;35,EJ85+EI86-ER85,IF(A86&lt;'Données projet'!$A$192,$EG$205^A86,IF(A86='Données projet'!$A$192,'Données projet'!$B$192,EJ85+EI86-ER85)))</f>
        <v>328.97435897435923</v>
      </c>
      <c r="EK86" s="18">
        <f>EJ86*VLOOKUP('Données projet'!$B$15,Paramètres!$A$1:$I$89,3,0)*VLOOKUP('Données projet'!$B$15,Paramètres!$A$1:$I$89,5,0)</f>
        <v>343.84400000000028</v>
      </c>
      <c r="EL86" s="14">
        <f t="shared" si="99"/>
        <v>80.293620763087603</v>
      </c>
      <c r="EM86" s="22">
        <f t="shared" si="73"/>
        <v>738.70635616237803</v>
      </c>
      <c r="EN86" s="58">
        <f t="shared" si="74"/>
        <v>1032.0396894957114</v>
      </c>
      <c r="EO86" s="58">
        <f ca="1">AVERAGE(OFFSET($EN$3,0,0,'Données projet'!$E$15+1,1))-AVERAGE(OFFSET($H$3,0,0,'Données projet'!$E$15+1,1))</f>
        <v>596.00698505207174</v>
      </c>
      <c r="EP86" s="58">
        <f t="shared" si="100"/>
        <v>378.16197659288338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12.124038461538468</v>
      </c>
      <c r="FE86" s="13">
        <f>IF('Données projet'!$A$218&gt;35,FE85+FD86-FM85,IF(A86&lt;'Données projet'!$A$218,$FB$205^A86,IF(A86='Données projet'!$A$218,'Données projet'!$B$218,FE85+FD86-FM85)))</f>
        <v>408.01923076923083</v>
      </c>
      <c r="FF86" s="18">
        <f>FE86*VLOOKUP('Données projet'!$B$16,Paramètres!$A$1:$I$89,3,0)*VLOOKUP('Données projet'!$B$16,Paramètres!$A$1:$I$89,5,0)</f>
        <v>190.95300000000003</v>
      </c>
      <c r="FG86" s="14">
        <f t="shared" si="101"/>
        <v>47.750586229034354</v>
      </c>
      <c r="FH86" s="22">
        <f t="shared" si="76"/>
        <v>415.74207934890154</v>
      </c>
      <c r="FI86" s="58">
        <f t="shared" si="77"/>
        <v>709.07541268223486</v>
      </c>
      <c r="FJ86" s="58">
        <f ca="1">AVERAGE(OFFSET($FI$3,0,0,'Données projet'!$E$16+1,1))-AVERAGE(OFFSET($H$3,0,0,'Données projet'!$E$16+1,1))</f>
        <v>294.31042006404056</v>
      </c>
      <c r="FK86" s="58">
        <f t="shared" si="102"/>
        <v>260.93767498478502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4.4871794871794917</v>
      </c>
      <c r="FZ86" s="13">
        <f>IF('Données projet'!$A$244&gt;35,FZ85+FY86-GH85,IF(A86&lt;'Données projet'!$A$244,$FW$205^A86,IF(A86='Données projet'!$A$244,'Données projet'!$B$244,FZ85+FY86-GH85)))</f>
        <v>311.53846153846155</v>
      </c>
      <c r="GA86" s="18">
        <f>FZ86*VLOOKUP('Données projet'!$B$17,Paramètres!$A$1:$I$89,3,0)*VLOOKUP('Données projet'!$B$17,Paramètres!$A$1:$I$89,5,0)</f>
        <v>208.98</v>
      </c>
      <c r="GB86" s="14">
        <f t="shared" si="103"/>
        <v>51.712626911871766</v>
      </c>
      <c r="GC86" s="22">
        <f t="shared" si="79"/>
        <v>454.03965853817658</v>
      </c>
      <c r="GD86" s="58">
        <f t="shared" si="80"/>
        <v>747.37299187150984</v>
      </c>
      <c r="GE86" s="58">
        <f ca="1">AVERAGE(OFFSET($GD$3,0,0,'Données projet'!$E$17+1,1))-AVERAGE(OFFSET($H$3,0,0,'Données projet'!$E$17+1,1))</f>
        <v>362.1372269575329</v>
      </c>
      <c r="GF86" s="58">
        <f t="shared" si="104"/>
        <v>308.1559670593121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58" t="e">
        <f t="shared" si="83"/>
        <v>#N/A</v>
      </c>
      <c r="GZ86" s="58" t="e">
        <f ca="1">AVERAGE(OFFSET($GY$3,0,0,'Données projet'!$E$18+1,1))-AVERAGE(OFFSET($H$3,0,0,'Données projet'!$E$18+1,1))</f>
        <v>#N/A</v>
      </c>
      <c r="HA86" s="58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0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3">
        <f t="shared" si="56"/>
        <v>256.66666666666669</v>
      </c>
      <c r="I87" s="6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3.5</v>
      </c>
      <c r="N87" s="14">
        <f>IF('Données projet'!$A$36&gt;35,N86+M87-V86,IF(A87&lt;'Données projet'!$A$36,$K$205^A87,IF(A87='Données projet'!$A$36,'Données projet'!$B$36,N86+M87-V86)))</f>
        <v>274.99999999999989</v>
      </c>
      <c r="O87" s="14">
        <f>N87*VLOOKUP('Données projet'!$B$9,Paramètres!$A$1:$I$89,3,0)*VLOOKUP('Données projet'!$B$9,Paramètres!$A$1:$I$89,5,0)</f>
        <v>278.84999999999991</v>
      </c>
      <c r="P87" s="14">
        <f t="shared" si="87"/>
        <v>66.723922641152967</v>
      </c>
      <c r="Q87" s="22">
        <f t="shared" si="54"/>
        <v>601.87458193334135</v>
      </c>
      <c r="R87" s="58">
        <f t="shared" si="55"/>
        <v>895.20791526667472</v>
      </c>
      <c r="S87" s="58">
        <f ca="1">AVERAGE(OFFSET($R$3,0,0,'Données projet'!$E$9+1,1))-AVERAGE(OFFSET($H$3,0,0,'Données projet'!$E$9+1,1))</f>
        <v>483.15009705023641</v>
      </c>
      <c r="T87" s="58">
        <f t="shared" si="88"/>
        <v>254.25036207346591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3.5</v>
      </c>
      <c r="AI87" s="14">
        <f>IF('Données projet'!$A$62&gt;35,AI86+AH87-AQ86,IF(A87&lt;'Données projet'!$A$62,$AF$205^A87,IF(A87='Données projet'!$A$62,'Données projet'!$B$62,AI86+AH87-AQ86)))</f>
        <v>274.99999999999989</v>
      </c>
      <c r="AJ87" s="14">
        <f>AI87*VLOOKUP('Données projet'!$B$10,Paramètres!$A$1:$I$89,3,0)*VLOOKUP('Données projet'!$B$10,Paramètres!$A$1:$I$89,5,0)</f>
        <v>248.81999999999988</v>
      </c>
      <c r="AK87" s="14">
        <f t="shared" si="89"/>
        <v>60.333192077890018</v>
      </c>
      <c r="AL87" s="22">
        <f t="shared" si="58"/>
        <v>538.44180953565819</v>
      </c>
      <c r="AM87" s="58">
        <f t="shared" si="59"/>
        <v>831.77514286899145</v>
      </c>
      <c r="AN87" s="58">
        <f ca="1">AVERAGE(OFFSET($AM$3,0,0,'Données projet'!$E$10+1,1))-AVERAGE(OFFSET($H$3,0,0,'Données projet'!$E$10+1,1))</f>
        <v>435.7095890216213</v>
      </c>
      <c r="AO87" s="58">
        <f t="shared" si="90"/>
        <v>231.36959598460686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-4.9658410716801891E-14</v>
      </c>
      <c r="BF87" s="14" t="e">
        <f t="shared" si="91"/>
        <v>#NUM!</v>
      </c>
      <c r="BG87" s="22" t="e">
        <f t="shared" si="61"/>
        <v>#NUM!</v>
      </c>
      <c r="BH87" s="58" t="e">
        <f t="shared" si="62"/>
        <v>#NUM!</v>
      </c>
      <c r="BI87" s="58">
        <f ca="1">AVERAGE(OFFSET($BH$3,0,0,'Données projet'!$E$11+1,1))-AVERAGE(OFFSET($H$3,0,0,'Données projet'!$E$11+1,1))</f>
        <v>218.76424742311815</v>
      </c>
      <c r="BJ87" s="58">
        <f t="shared" si="92"/>
        <v>264.34598683038593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0.80397026411897166</v>
      </c>
      <c r="BQ87" s="23">
        <f>EXP(-LN(2)/25)*BQ86+(1-EXP(-LN(2)/25))/(LN(2)/25)*Calculateur!BL87*Calculateur!BN87*VLOOKUP('Données projet'!$B$11,Paramètres!$A$1:$I$89,3,0)*0.475*44/12</f>
        <v>0.97660190827469551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1.7805721723936672</v>
      </c>
      <c r="BT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4.5</v>
      </c>
      <c r="BY87" s="13">
        <f>IF('Données projet'!$A$114&gt;35,BY86+BX87-CG86,IF(A87&lt;'Données projet'!$A$114,$BV$205^A87,IF(A87='Données projet'!$A$114,'Données projet'!$B$114,BY86+BX87-CG86)))</f>
        <v>209.5</v>
      </c>
      <c r="BZ87" s="14">
        <f>BY87*VLOOKUP('Données projet'!$B$12,Paramètres!$A$1:$I$89,3,0)*VLOOKUP('Données projet'!$B$12,Paramètres!$A$1:$I$89,5,0)</f>
        <v>202.6284</v>
      </c>
      <c r="CA87" s="14">
        <f t="shared" si="93"/>
        <v>50.321370819084692</v>
      </c>
      <c r="CB87" s="22">
        <f t="shared" si="64"/>
        <v>440.55418417657251</v>
      </c>
      <c r="CC87" s="58">
        <f t="shared" si="65"/>
        <v>733.88751750990582</v>
      </c>
      <c r="CD87" s="58">
        <f ca="1">AVERAGE(OFFSET($CC$3,0,0,'Données projet'!$E$12+1,1))-AVERAGE(OFFSET($H$3,0,0,'Données projet'!$E$12+1,1))</f>
        <v>343.86347628565426</v>
      </c>
      <c r="CE87" s="58">
        <f t="shared" si="94"/>
        <v>129.28196646107097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58" t="e">
        <f t="shared" si="68"/>
        <v>#N/A</v>
      </c>
      <c r="CY87" s="58" t="e">
        <f ca="1">AVERAGE(OFFSET($CX$3,0,0,'Données projet'!$E$13+1,1))-AVERAGE(OFFSET($H$3,0,0,'Données projet'!$E$13+1,1))</f>
        <v>#N/A</v>
      </c>
      <c r="CZ87" s="58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3.4545454545454533</v>
      </c>
      <c r="DO87" s="13">
        <f>IF('Données projet'!$A$166&gt;35,DO86+DN87-DW86,IF(A87&lt;'Données projet'!$A$166,$DL$205^A87,IF(A87='Données projet'!$A$166,'Données projet'!$B$166,DO86+DN87-DW86)))</f>
        <v>196.8484848484851</v>
      </c>
      <c r="DP87" s="18">
        <f>DO87*VLOOKUP('Données projet'!$B$14,Paramètres!$A$1:$I$89,3,0)*VLOOKUP('Données projet'!$B$14,Paramètres!$A$1:$I$89,5,0)</f>
        <v>187.32101818181843</v>
      </c>
      <c r="DQ87" s="14">
        <f t="shared" si="97"/>
        <v>46.947179401041055</v>
      </c>
      <c r="DR87" s="22">
        <f t="shared" si="70"/>
        <v>408.01711079014694</v>
      </c>
      <c r="DS87" s="58">
        <f t="shared" si="71"/>
        <v>701.3504441234802</v>
      </c>
      <c r="DT87" s="58">
        <f ca="1">AVERAGE(OFFSET($DS$3,0,0,'Données projet'!$E$14+1,1))-AVERAGE(OFFSET($H$3,0,0,'Données projet'!$E$14+1,1))</f>
        <v>332.49889399440514</v>
      </c>
      <c r="DU87" s="58">
        <f t="shared" si="98"/>
        <v>256.06044006790529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4.7435897435897347</v>
      </c>
      <c r="EJ87" s="13">
        <f>IF('Données projet'!$A$192&gt;35,EJ86+EI87-ER86,IF(A87&lt;'Données projet'!$A$192,$EG$205^A87,IF(A87='Données projet'!$A$192,'Données projet'!$B$192,EJ86+EI87-ER86)))</f>
        <v>333.71794871794896</v>
      </c>
      <c r="EK87" s="18">
        <f>EJ87*VLOOKUP('Données projet'!$B$15,Paramètres!$A$1:$I$89,3,0)*VLOOKUP('Données projet'!$B$15,Paramètres!$A$1:$I$89,5,0)</f>
        <v>348.80200000000031</v>
      </c>
      <c r="EL87" s="14">
        <f t="shared" si="99"/>
        <v>81.315781392180099</v>
      </c>
      <c r="EM87" s="22">
        <f t="shared" si="73"/>
        <v>749.12180259138086</v>
      </c>
      <c r="EN87" s="58">
        <f t="shared" si="74"/>
        <v>1042.4551359247141</v>
      </c>
      <c r="EO87" s="58">
        <f ca="1">AVERAGE(OFFSET($EN$3,0,0,'Données projet'!$E$15+1,1))-AVERAGE(OFFSET($H$3,0,0,'Données projet'!$E$15+1,1))</f>
        <v>596.00698505207174</v>
      </c>
      <c r="EP87" s="58">
        <f t="shared" si="100"/>
        <v>378.16197659288338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12.124038461538468</v>
      </c>
      <c r="FE87" s="13">
        <f>IF('Données projet'!$A$218&gt;35,FE86+FD87-FM86,IF(A87&lt;'Données projet'!$A$218,$FB$205^A87,IF(A87='Données projet'!$A$218,'Données projet'!$B$218,FE86+FD87-FM86)))</f>
        <v>420.14326923076931</v>
      </c>
      <c r="FF87" s="18">
        <f>FE87*VLOOKUP('Données projet'!$B$16,Paramètres!$A$1:$I$89,3,0)*VLOOKUP('Données projet'!$B$16,Paramètres!$A$1:$I$89,5,0)</f>
        <v>196.62705000000005</v>
      </c>
      <c r="FG87" s="14">
        <f t="shared" si="101"/>
        <v>49.002163217129386</v>
      </c>
      <c r="FH87" s="22">
        <f t="shared" si="76"/>
        <v>427.80421301983375</v>
      </c>
      <c r="FI87" s="58">
        <f t="shared" si="77"/>
        <v>721.13754635316707</v>
      </c>
      <c r="FJ87" s="58">
        <f ca="1">AVERAGE(OFFSET($FI$3,0,0,'Données projet'!$E$16+1,1))-AVERAGE(OFFSET($H$3,0,0,'Données projet'!$E$16+1,1))</f>
        <v>294.31042006404056</v>
      </c>
      <c r="FK87" s="58">
        <f t="shared" si="102"/>
        <v>260.93767498478502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4.4871794871794917</v>
      </c>
      <c r="FZ87" s="13">
        <f>IF('Données projet'!$A$244&gt;35,FZ86+FY87-GH86,IF(A87&lt;'Données projet'!$A$244,$FW$205^A87,IF(A87='Données projet'!$A$244,'Données projet'!$B$244,FZ86+FY87-GH86)))</f>
        <v>316.02564102564105</v>
      </c>
      <c r="GA87" s="18">
        <f>FZ87*VLOOKUP('Données projet'!$B$17,Paramètres!$A$1:$I$89,3,0)*VLOOKUP('Données projet'!$B$17,Paramètres!$A$1:$I$89,5,0)</f>
        <v>211.99000000000004</v>
      </c>
      <c r="GB87" s="14">
        <f t="shared" si="103"/>
        <v>52.370211773211892</v>
      </c>
      <c r="GC87" s="22">
        <f t="shared" si="79"/>
        <v>460.42736883834408</v>
      </c>
      <c r="GD87" s="58">
        <f t="shared" si="80"/>
        <v>753.76070217167739</v>
      </c>
      <c r="GE87" s="58">
        <f ca="1">AVERAGE(OFFSET($GD$3,0,0,'Données projet'!$E$17+1,1))-AVERAGE(OFFSET($H$3,0,0,'Données projet'!$E$17+1,1))</f>
        <v>362.1372269575329</v>
      </c>
      <c r="GF87" s="58">
        <f t="shared" si="104"/>
        <v>308.1559670593121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58" t="e">
        <f t="shared" si="83"/>
        <v>#N/A</v>
      </c>
      <c r="GZ87" s="58" t="e">
        <f ca="1">AVERAGE(OFFSET($GY$3,0,0,'Données projet'!$E$18+1,1))-AVERAGE(OFFSET($H$3,0,0,'Données projet'!$E$18+1,1))</f>
        <v>#N/A</v>
      </c>
      <c r="HA87" s="58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0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3">
        <f t="shared" si="56"/>
        <v>256.66666666666669</v>
      </c>
      <c r="I88" s="6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3.5</v>
      </c>
      <c r="N88" s="14">
        <f>IF('Données projet'!$A$36&gt;35,N87+M88-V87,IF(A88&lt;'Données projet'!$A$36,$K$205^A88,IF(A88='Données projet'!$A$36,'Données projet'!$B$36,N87+M88-V87)))</f>
        <v>278.49999999999989</v>
      </c>
      <c r="O88" s="14">
        <f>N88*VLOOKUP('Données projet'!$B$9,Paramètres!$A$1:$I$89,3,0)*VLOOKUP('Données projet'!$B$9,Paramètres!$A$1:$I$89,5,0)</f>
        <v>282.39899999999989</v>
      </c>
      <c r="P88" s="14">
        <f t="shared" si="87"/>
        <v>67.473734542548371</v>
      </c>
      <c r="Q88" s="22">
        <f t="shared" si="54"/>
        <v>609.36167932827152</v>
      </c>
      <c r="R88" s="58">
        <f t="shared" si="55"/>
        <v>902.69501266160478</v>
      </c>
      <c r="S88" s="58">
        <f ca="1">AVERAGE(OFFSET($R$3,0,0,'Données projet'!$E$9+1,1))-AVERAGE(OFFSET($H$3,0,0,'Données projet'!$E$9+1,1))</f>
        <v>483.15009705023641</v>
      </c>
      <c r="T88" s="58">
        <f t="shared" si="88"/>
        <v>254.25036207346591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3.5</v>
      </c>
      <c r="AI88" s="14">
        <f>IF('Données projet'!$A$62&gt;35,AI87+AH88-AQ87,IF(A88&lt;'Données projet'!$A$62,$AF$205^A88,IF(A88='Données projet'!$A$62,'Données projet'!$B$62,AI87+AH88-AQ87)))</f>
        <v>278.49999999999989</v>
      </c>
      <c r="AJ88" s="14">
        <f>AI88*VLOOKUP('Données projet'!$B$10,Paramètres!$A$1:$I$89,3,0)*VLOOKUP('Données projet'!$B$10,Paramètres!$A$1:$I$89,5,0)</f>
        <v>251.98679999999987</v>
      </c>
      <c r="AK88" s="14">
        <f t="shared" si="89"/>
        <v>61.011187970194996</v>
      </c>
      <c r="AL88" s="22">
        <f t="shared" si="58"/>
        <v>545.1381623814226</v>
      </c>
      <c r="AM88" s="58">
        <f t="shared" si="59"/>
        <v>838.47149571475597</v>
      </c>
      <c r="AN88" s="58">
        <f ca="1">AVERAGE(OFFSET($AM$3,0,0,'Données projet'!$E$10+1,1))-AVERAGE(OFFSET($H$3,0,0,'Données projet'!$E$10+1,1))</f>
        <v>435.7095890216213</v>
      </c>
      <c r="AO88" s="58">
        <f t="shared" si="90"/>
        <v>231.36959598460686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-4.9658410716801891E-14</v>
      </c>
      <c r="BF88" s="14" t="e">
        <f t="shared" si="91"/>
        <v>#NUM!</v>
      </c>
      <c r="BG88" s="22" t="e">
        <f t="shared" si="61"/>
        <v>#NUM!</v>
      </c>
      <c r="BH88" s="58" t="e">
        <f t="shared" si="62"/>
        <v>#NUM!</v>
      </c>
      <c r="BI88" s="58">
        <f ca="1">AVERAGE(OFFSET($BH$3,0,0,'Données projet'!$E$11+1,1))-AVERAGE(OFFSET($H$3,0,0,'Données projet'!$E$11+1,1))</f>
        <v>218.76424742311815</v>
      </c>
      <c r="BJ88" s="58">
        <f t="shared" si="92"/>
        <v>264.34598683038593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0.78820489761303936</v>
      </c>
      <c r="BQ88" s="23">
        <f>EXP(-LN(2)/25)*BQ87+(1-EXP(-LN(2)/25))/(LN(2)/25)*Calculateur!BL88*Calculateur!BN88*VLOOKUP('Données projet'!$B$11,Paramètres!$A$1:$I$89,3,0)*0.475*44/12</f>
        <v>0.94989667773566167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1.738101575348701</v>
      </c>
      <c r="BT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214</v>
      </c>
      <c r="BW88" s="13">
        <f>VLOOKUP(A88,'Données projet'!$A$113:$I$133,9,0)</f>
        <v>4.5</v>
      </c>
      <c r="BX88" s="13">
        <f t="array" ref="BX88">INDEX(BW:BW,MIN(IF(ISNUMBER(BW88:BW284),ROW(BW88:BW284),"")))</f>
        <v>4.5</v>
      </c>
      <c r="BY88" s="13">
        <f>IF('Données projet'!$A$114&gt;35,BY87+BX88-CG87,IF(A88&lt;'Données projet'!$A$114,$BV$205^A88,IF(A88='Données projet'!$A$114,'Données projet'!$B$114,BY87+BX88-CG87)))</f>
        <v>214</v>
      </c>
      <c r="BZ88" s="14">
        <f>BY88*VLOOKUP('Données projet'!$B$12,Paramètres!$A$1:$I$89,3,0)*VLOOKUP('Données projet'!$B$12,Paramètres!$A$1:$I$89,5,0)</f>
        <v>206.98080000000002</v>
      </c>
      <c r="CA88" s="14">
        <f t="shared" si="93"/>
        <v>51.275259496675787</v>
      </c>
      <c r="CB88" s="22">
        <f t="shared" si="64"/>
        <v>449.79597029004367</v>
      </c>
      <c r="CC88" s="58">
        <f t="shared" si="65"/>
        <v>743.12930362337693</v>
      </c>
      <c r="CD88" s="58">
        <f ca="1">AVERAGE(OFFSET($CC$3,0,0,'Données projet'!$E$12+1,1))-AVERAGE(OFFSET($H$3,0,0,'Données projet'!$E$12+1,1))</f>
        <v>343.86347628565426</v>
      </c>
      <c r="CE88" s="58">
        <f t="shared" si="94"/>
        <v>129.28196646107097</v>
      </c>
      <c r="CF88" s="16">
        <f>IF(ISNA(VLOOKUP(A88,'Données projet'!$A$113:$I$133,3,0)),0,VLOOKUP(A88,'Données projet'!$A$113:$I$133,3,0))</f>
        <v>6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58" t="e">
        <f t="shared" si="68"/>
        <v>#N/A</v>
      </c>
      <c r="CY88" s="58" t="e">
        <f ca="1">AVERAGE(OFFSET($CX$3,0,0,'Données projet'!$E$13+1,1))-AVERAGE(OFFSET($H$3,0,0,'Données projet'!$E$13+1,1))</f>
        <v>#N/A</v>
      </c>
      <c r="CZ88" s="58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3.4545454545454533</v>
      </c>
      <c r="DO88" s="13">
        <f>IF('Données projet'!$A$166&gt;35,DO87+DN88-DW87,IF(A88&lt;'Données projet'!$A$166,$DL$205^A88,IF(A88='Données projet'!$A$166,'Données projet'!$B$166,DO87+DN88-DW87)))</f>
        <v>200.30303030303054</v>
      </c>
      <c r="DP88" s="18">
        <f>DO88*VLOOKUP('Données projet'!$B$14,Paramètres!$A$1:$I$89,3,0)*VLOOKUP('Données projet'!$B$14,Paramètres!$A$1:$I$89,5,0)</f>
        <v>190.60836363636386</v>
      </c>
      <c r="DQ88" s="14">
        <f t="shared" si="97"/>
        <v>47.674428378999259</v>
      </c>
      <c r="DR88" s="22">
        <f t="shared" si="70"/>
        <v>415.00919609342412</v>
      </c>
      <c r="DS88" s="58">
        <f t="shared" si="71"/>
        <v>708.34252942675744</v>
      </c>
      <c r="DT88" s="58">
        <f ca="1">AVERAGE(OFFSET($DS$3,0,0,'Données projet'!$E$14+1,1))-AVERAGE(OFFSET($H$3,0,0,'Données projet'!$E$14+1,1))</f>
        <v>332.49889399440514</v>
      </c>
      <c r="DU88" s="58">
        <f t="shared" si="98"/>
        <v>256.06044006790529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338.46153846153845</v>
      </c>
      <c r="EH88" s="13">
        <f>VLOOKUP(A88,'Données projet'!$A$191:$I$211,9,0)</f>
        <v>4.7435897435897347</v>
      </c>
      <c r="EI88" s="13">
        <f t="array" ref="EI88">INDEX(EH:EH,MIN(IF(ISNUMBER(EH88:EH284),ROW(EH88:EH284),"")))</f>
        <v>4.7435897435897347</v>
      </c>
      <c r="EJ88" s="13">
        <f>IF('Données projet'!$A$192&gt;35,EJ87+EI88-ER87,IF(A88&lt;'Données projet'!$A$192,$EG$205^A88,IF(A88='Données projet'!$A$192,'Données projet'!$B$192,EJ87+EI88-ER87)))</f>
        <v>338.46153846153868</v>
      </c>
      <c r="EK88" s="18">
        <f>EJ88*VLOOKUP('Données projet'!$B$15,Paramètres!$A$1:$I$89,3,0)*VLOOKUP('Données projet'!$B$15,Paramètres!$A$1:$I$89,5,0)</f>
        <v>353.76000000000022</v>
      </c>
      <c r="EL88" s="14">
        <f t="shared" si="99"/>
        <v>82.336252141072379</v>
      </c>
      <c r="EM88" s="22">
        <f t="shared" si="73"/>
        <v>759.53430581236807</v>
      </c>
      <c r="EN88" s="58">
        <f t="shared" si="74"/>
        <v>1052.8676391457013</v>
      </c>
      <c r="EO88" s="58">
        <f ca="1">AVERAGE(OFFSET($EN$3,0,0,'Données projet'!$E$15+1,1))-AVERAGE(OFFSET($H$3,0,0,'Données projet'!$E$15+1,1))</f>
        <v>596.00698505207174</v>
      </c>
      <c r="EP88" s="58">
        <f t="shared" si="100"/>
        <v>378.16197659288338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12.124038461538468</v>
      </c>
      <c r="FE88" s="13">
        <f>IF('Données projet'!$A$218&gt;35,FE87+FD88-FM87,IF(A88&lt;'Données projet'!$A$218,$FB$205^A88,IF(A88='Données projet'!$A$218,'Données projet'!$B$218,FE87+FD88-FM87)))</f>
        <v>432.26730769230778</v>
      </c>
      <c r="FF88" s="18">
        <f>FE88*VLOOKUP('Données projet'!$B$16,Paramètres!$A$1:$I$89,3,0)*VLOOKUP('Données projet'!$B$16,Paramètres!$A$1:$I$89,5,0)</f>
        <v>202.30110000000002</v>
      </c>
      <c r="FG88" s="14">
        <f t="shared" si="101"/>
        <v>50.249542664134772</v>
      </c>
      <c r="FH88" s="22">
        <f t="shared" si="76"/>
        <v>439.85903597336807</v>
      </c>
      <c r="FI88" s="58">
        <f t="shared" si="77"/>
        <v>733.19236930670138</v>
      </c>
      <c r="FJ88" s="58">
        <f ca="1">AVERAGE(OFFSET($FI$3,0,0,'Données projet'!$E$16+1,1))-AVERAGE(OFFSET($H$3,0,0,'Données projet'!$E$16+1,1))</f>
        <v>294.31042006404056</v>
      </c>
      <c r="FK88" s="58">
        <f t="shared" si="102"/>
        <v>260.93767498478502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320.5128205128205</v>
      </c>
      <c r="FX88" s="13">
        <f>VLOOKUP(A88,'Données projet'!$A$243:$I$263,9,0)</f>
        <v>4.4871794871794917</v>
      </c>
      <c r="FY88" s="13">
        <f t="array" ref="FY88">INDEX(FX:FX,MIN(IF(ISNUMBER(FX88:FX284),ROW(FX88:FX284),"")))</f>
        <v>4.4871794871794917</v>
      </c>
      <c r="FZ88" s="13">
        <f>IF('Données projet'!$A$244&gt;35,FZ87+FY88-GH87,IF(A88&lt;'Données projet'!$A$244,$FW$205^A88,IF(A88='Données projet'!$A$244,'Données projet'!$B$244,FZ87+FY88-GH87)))</f>
        <v>320.51282051282055</v>
      </c>
      <c r="GA88" s="18">
        <f>FZ88*VLOOKUP('Données projet'!$B$17,Paramètres!$A$1:$I$89,3,0)*VLOOKUP('Données projet'!$B$17,Paramètres!$A$1:$I$89,5,0)</f>
        <v>215.00000000000006</v>
      </c>
      <c r="GB88" s="14">
        <f t="shared" si="103"/>
        <v>53.026710677875606</v>
      </c>
      <c r="GC88" s="22">
        <f t="shared" si="79"/>
        <v>466.81318776396671</v>
      </c>
      <c r="GD88" s="58">
        <f t="shared" si="80"/>
        <v>760.14652109730002</v>
      </c>
      <c r="GE88" s="58">
        <f ca="1">AVERAGE(OFFSET($GD$3,0,0,'Données projet'!$E$17+1,1))-AVERAGE(OFFSET($H$3,0,0,'Données projet'!$E$17+1,1))</f>
        <v>362.1372269575329</v>
      </c>
      <c r="GF88" s="58">
        <f t="shared" si="104"/>
        <v>308.1559670593121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58" t="e">
        <f t="shared" si="83"/>
        <v>#N/A</v>
      </c>
      <c r="GZ88" s="58" t="e">
        <f ca="1">AVERAGE(OFFSET($GY$3,0,0,'Données projet'!$E$18+1,1))-AVERAGE(OFFSET($H$3,0,0,'Données projet'!$E$18+1,1))</f>
        <v>#N/A</v>
      </c>
      <c r="HA88" s="58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0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3">
        <f t="shared" si="56"/>
        <v>256.66666666666669</v>
      </c>
      <c r="I89" s="6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3.5</v>
      </c>
      <c r="N89" s="14">
        <f>IF('Données projet'!$A$36&gt;35,N88+M89-V88,IF(A89&lt;'Données projet'!$A$36,$K$205^A89,IF(A89='Données projet'!$A$36,'Données projet'!$B$36,N88+M89-V88)))</f>
        <v>281.99999999999989</v>
      </c>
      <c r="O89" s="14">
        <f>N89*VLOOKUP('Données projet'!$B$9,Paramètres!$A$1:$I$89,3,0)*VLOOKUP('Données projet'!$B$9,Paramètres!$A$1:$I$89,5,0)</f>
        <v>285.94799999999992</v>
      </c>
      <c r="P89" s="14">
        <f t="shared" si="87"/>
        <v>68.222450362989363</v>
      </c>
      <c r="Q89" s="22">
        <f t="shared" si="54"/>
        <v>616.84686771553959</v>
      </c>
      <c r="R89" s="58">
        <f t="shared" si="55"/>
        <v>910.18020104887296</v>
      </c>
      <c r="S89" s="58">
        <f ca="1">AVERAGE(OFFSET($R$3,0,0,'Données projet'!$E$9+1,1))-AVERAGE(OFFSET($H$3,0,0,'Données projet'!$E$9+1,1))</f>
        <v>483.15009705023641</v>
      </c>
      <c r="T89" s="58">
        <f t="shared" si="88"/>
        <v>254.25036207346591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3.5</v>
      </c>
      <c r="AI89" s="14">
        <f>IF('Données projet'!$A$62&gt;35,AI88+AH89-AQ88,IF(A89&lt;'Données projet'!$A$62,$AF$205^A89,IF(A89='Données projet'!$A$62,'Données projet'!$B$62,AI88+AH89-AQ88)))</f>
        <v>281.99999999999989</v>
      </c>
      <c r="AJ89" s="14">
        <f>AI89*VLOOKUP('Données projet'!$B$10,Paramètres!$A$1:$I$89,3,0)*VLOOKUP('Données projet'!$B$10,Paramètres!$A$1:$I$89,5,0)</f>
        <v>255.15359999999987</v>
      </c>
      <c r="AK89" s="14">
        <f t="shared" si="89"/>
        <v>61.688192762754376</v>
      </c>
      <c r="AL89" s="22">
        <f t="shared" si="58"/>
        <v>551.83278906179692</v>
      </c>
      <c r="AM89" s="58">
        <f t="shared" si="59"/>
        <v>845.16612239513029</v>
      </c>
      <c r="AN89" s="58">
        <f ca="1">AVERAGE(OFFSET($AM$3,0,0,'Données projet'!$E$10+1,1))-AVERAGE(OFFSET($H$3,0,0,'Données projet'!$E$10+1,1))</f>
        <v>435.7095890216213</v>
      </c>
      <c r="AO89" s="58">
        <f t="shared" si="90"/>
        <v>231.36959598460686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-4.9658410716801891E-14</v>
      </c>
      <c r="BF89" s="14" t="e">
        <f t="shared" si="91"/>
        <v>#NUM!</v>
      </c>
      <c r="BG89" s="22" t="e">
        <f t="shared" si="61"/>
        <v>#NUM!</v>
      </c>
      <c r="BH89" s="58" t="e">
        <f t="shared" si="62"/>
        <v>#NUM!</v>
      </c>
      <c r="BI89" s="58">
        <f ca="1">AVERAGE(OFFSET($BH$3,0,0,'Données projet'!$E$11+1,1))-AVERAGE(OFFSET($H$3,0,0,'Données projet'!$E$11+1,1))</f>
        <v>218.76424742311815</v>
      </c>
      <c r="BJ89" s="58">
        <f t="shared" si="92"/>
        <v>264.34598683038593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0.7727486803283643</v>
      </c>
      <c r="BQ89" s="23">
        <f>EXP(-LN(2)/25)*BQ88+(1-EXP(-LN(2)/25))/(LN(2)/25)*Calculateur!BL89*Calculateur!BN89*VLOOKUP('Données projet'!$B$11,Paramètres!$A$1:$I$89,3,0)*0.475*44/12</f>
        <v>0.9239217031300847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1.6966703834584491</v>
      </c>
      <c r="BT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</v>
      </c>
      <c r="BY89" s="13">
        <f>IF('Données projet'!$A$114&gt;35,BY88+BX89-CG88,IF(A89&lt;'Données projet'!$A$114,$BV$205^A89,IF(A89='Données projet'!$A$114,'Données projet'!$B$114,BY88+BX89-CG88)))</f>
        <v>190</v>
      </c>
      <c r="BZ89" s="14">
        <f>BY89*VLOOKUP('Données projet'!$B$12,Paramètres!$A$1:$I$89,3,0)*VLOOKUP('Données projet'!$B$12,Paramètres!$A$1:$I$89,5,0)</f>
        <v>183.768</v>
      </c>
      <c r="CA89" s="14">
        <f t="shared" si="93"/>
        <v>46.159483283907285</v>
      </c>
      <c r="CB89" s="22">
        <f t="shared" si="64"/>
        <v>400.45703338613856</v>
      </c>
      <c r="CC89" s="58">
        <f t="shared" si="65"/>
        <v>693.79036671947188</v>
      </c>
      <c r="CD89" s="58">
        <f ca="1">AVERAGE(OFFSET($CC$3,0,0,'Données projet'!$E$12+1,1))-AVERAGE(OFFSET($H$3,0,0,'Données projet'!$E$12+1,1))</f>
        <v>343.86347628565426</v>
      </c>
      <c r="CE89" s="58">
        <f t="shared" si="94"/>
        <v>129.28196646107097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58" t="e">
        <f t="shared" si="68"/>
        <v>#N/A</v>
      </c>
      <c r="CY89" s="58" t="e">
        <f ca="1">AVERAGE(OFFSET($CX$3,0,0,'Données projet'!$E$13+1,1))-AVERAGE(OFFSET($H$3,0,0,'Données projet'!$E$13+1,1))</f>
        <v>#N/A</v>
      </c>
      <c r="CZ89" s="58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3.4545454545454533</v>
      </c>
      <c r="DO89" s="13">
        <f>IF('Données projet'!$A$166&gt;35,DO88+DN89-DW88,IF(A89&lt;'Données projet'!$A$166,$DL$205^A89,IF(A89='Données projet'!$A$166,'Données projet'!$B$166,DO88+DN89-DW88)))</f>
        <v>203.75757575757598</v>
      </c>
      <c r="DP89" s="18">
        <f>DO89*VLOOKUP('Données projet'!$B$14,Paramètres!$A$1:$I$89,3,0)*VLOOKUP('Données projet'!$B$14,Paramètres!$A$1:$I$89,5,0)</f>
        <v>193.89570909090929</v>
      </c>
      <c r="DQ89" s="14">
        <f t="shared" si="97"/>
        <v>48.400218789891895</v>
      </c>
      <c r="DR89" s="22">
        <f t="shared" si="70"/>
        <v>421.99874105906201</v>
      </c>
      <c r="DS89" s="58">
        <f t="shared" si="71"/>
        <v>715.33207439239527</v>
      </c>
      <c r="DT89" s="58">
        <f ca="1">AVERAGE(OFFSET($DS$3,0,0,'Données projet'!$E$14+1,1))-AVERAGE(OFFSET($H$3,0,0,'Données projet'!$E$14+1,1))</f>
        <v>332.49889399440514</v>
      </c>
      <c r="DU89" s="58">
        <f t="shared" si="98"/>
        <v>256.06044006790529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4.4871794871794917</v>
      </c>
      <c r="EJ89" s="13">
        <f>IF('Données projet'!$A$192&gt;35,EJ88+EI89-ER88,IF(A89&lt;'Données projet'!$A$192,$EG$205^A89,IF(A89='Données projet'!$A$192,'Données projet'!$B$192,EJ88+EI89-ER88)))</f>
        <v>342.94871794871818</v>
      </c>
      <c r="EK89" s="18">
        <f>EJ89*VLOOKUP('Données projet'!$B$15,Paramètres!$A$1:$I$89,3,0)*VLOOKUP('Données projet'!$B$15,Paramètres!$A$1:$I$89,5,0)</f>
        <v>358.45000000000027</v>
      </c>
      <c r="EL89" s="14">
        <f t="shared" si="99"/>
        <v>83.300030865929031</v>
      </c>
      <c r="EM89" s="22">
        <f t="shared" si="73"/>
        <v>769.38130375816024</v>
      </c>
      <c r="EN89" s="58">
        <f t="shared" si="74"/>
        <v>1062.7146370914936</v>
      </c>
      <c r="EO89" s="58">
        <f ca="1">AVERAGE(OFFSET($EN$3,0,0,'Données projet'!$E$15+1,1))-AVERAGE(OFFSET($H$3,0,0,'Données projet'!$E$15+1,1))</f>
        <v>596.00698505207174</v>
      </c>
      <c r="EP89" s="58">
        <f t="shared" si="100"/>
        <v>378.16197659288338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12.124038461538468</v>
      </c>
      <c r="FE89" s="13">
        <f>IF('Données projet'!$A$218&gt;35,FE88+FD89-FM88,IF(A89&lt;'Données projet'!$A$218,$FB$205^A89,IF(A89='Données projet'!$A$218,'Données projet'!$B$218,FE88+FD89-FM88)))</f>
        <v>444.39134615384626</v>
      </c>
      <c r="FF89" s="18">
        <f>FE89*VLOOKUP('Données projet'!$B$16,Paramètres!$A$1:$I$89,3,0)*VLOOKUP('Données projet'!$B$16,Paramètres!$A$1:$I$89,5,0)</f>
        <v>207.97515000000004</v>
      </c>
      <c r="FG89" s="14">
        <f t="shared" si="101"/>
        <v>51.492855825196166</v>
      </c>
      <c r="FH89" s="22">
        <f t="shared" si="76"/>
        <v>451.90677681221672</v>
      </c>
      <c r="FI89" s="58">
        <f t="shared" si="77"/>
        <v>745.24011014555003</v>
      </c>
      <c r="FJ89" s="58">
        <f ca="1">AVERAGE(OFFSET($FI$3,0,0,'Données projet'!$E$16+1,1))-AVERAGE(OFFSET($H$3,0,0,'Données projet'!$E$16+1,1))</f>
        <v>294.31042006404056</v>
      </c>
      <c r="FK89" s="58">
        <f t="shared" si="102"/>
        <v>260.93767498478502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4.3589743589743648</v>
      </c>
      <c r="FZ89" s="13">
        <f>IF('Données projet'!$A$244&gt;35,FZ88+FY89-GH88,IF(A89&lt;'Données projet'!$A$244,$FW$205^A89,IF(A89='Données projet'!$A$244,'Données projet'!$B$244,FZ88+FY89-GH88)))</f>
        <v>324.87179487179492</v>
      </c>
      <c r="GA89" s="18">
        <f>FZ89*VLOOKUP('Données projet'!$B$17,Paramètres!$A$1:$I$89,3,0)*VLOOKUP('Données projet'!$B$17,Paramètres!$A$1:$I$89,5,0)</f>
        <v>217.92400000000001</v>
      </c>
      <c r="GB89" s="14">
        <f t="shared" si="103"/>
        <v>53.663428701179583</v>
      </c>
      <c r="GC89" s="22">
        <f t="shared" si="79"/>
        <v>473.01477165455441</v>
      </c>
      <c r="GD89" s="58">
        <f t="shared" si="80"/>
        <v>766.34810498788772</v>
      </c>
      <c r="GE89" s="58">
        <f ca="1">AVERAGE(OFFSET($GD$3,0,0,'Données projet'!$E$17+1,1))-AVERAGE(OFFSET($H$3,0,0,'Données projet'!$E$17+1,1))</f>
        <v>362.1372269575329</v>
      </c>
      <c r="GF89" s="58">
        <f t="shared" si="104"/>
        <v>308.1559670593121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58" t="e">
        <f t="shared" si="83"/>
        <v>#N/A</v>
      </c>
      <c r="GZ89" s="58" t="e">
        <f ca="1">AVERAGE(OFFSET($GY$3,0,0,'Données projet'!$E$18+1,1))-AVERAGE(OFFSET($H$3,0,0,'Données projet'!$E$18+1,1))</f>
        <v>#N/A</v>
      </c>
      <c r="HA89" s="58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0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3">
        <f t="shared" si="56"/>
        <v>256.66666666666669</v>
      </c>
      <c r="I90" s="6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3.5</v>
      </c>
      <c r="N90" s="14">
        <f>IF('Données projet'!$A$36&gt;35,N89+M90-V89,IF(A90&lt;'Données projet'!$A$36,$K$205^A90,IF(A90='Données projet'!$A$36,'Données projet'!$B$36,N89+M90-V89)))</f>
        <v>285.49999999999989</v>
      </c>
      <c r="O90" s="14">
        <f>N90*VLOOKUP('Données projet'!$B$9,Paramètres!$A$1:$I$89,3,0)*VLOOKUP('Données projet'!$B$9,Paramètres!$A$1:$I$89,5,0)</f>
        <v>289.4969999999999</v>
      </c>
      <c r="P90" s="14">
        <f t="shared" si="87"/>
        <v>68.970085279623376</v>
      </c>
      <c r="Q90" s="22">
        <f t="shared" si="54"/>
        <v>624.33017352867716</v>
      </c>
      <c r="R90" s="58">
        <f t="shared" si="55"/>
        <v>917.66350686201054</v>
      </c>
      <c r="S90" s="58">
        <f ca="1">AVERAGE(OFFSET($R$3,0,0,'Données projet'!$E$9+1,1))-AVERAGE(OFFSET($H$3,0,0,'Données projet'!$E$9+1,1))</f>
        <v>483.15009705023641</v>
      </c>
      <c r="T90" s="58">
        <f t="shared" si="88"/>
        <v>254.25036207346591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3.5</v>
      </c>
      <c r="AI90" s="14">
        <f>IF('Données projet'!$A$62&gt;35,AI89+AH90-AQ89,IF(A90&lt;'Données projet'!$A$62,$AF$205^A90,IF(A90='Données projet'!$A$62,'Données projet'!$B$62,AI89+AH90-AQ89)))</f>
        <v>285.49999999999989</v>
      </c>
      <c r="AJ90" s="14">
        <f>AI90*VLOOKUP('Données projet'!$B$10,Paramètres!$A$1:$I$89,3,0)*VLOOKUP('Données projet'!$B$10,Paramètres!$A$1:$I$89,5,0)</f>
        <v>258.32039999999989</v>
      </c>
      <c r="AK90" s="14">
        <f t="shared" si="89"/>
        <v>62.364220179068163</v>
      </c>
      <c r="AL90" s="22">
        <f t="shared" si="58"/>
        <v>558.52571347854348</v>
      </c>
      <c r="AM90" s="58">
        <f t="shared" si="59"/>
        <v>851.85904681187685</v>
      </c>
      <c r="AN90" s="58">
        <f ca="1">AVERAGE(OFFSET($AM$3,0,0,'Données projet'!$E$10+1,1))-AVERAGE(OFFSET($H$3,0,0,'Données projet'!$E$10+1,1))</f>
        <v>435.7095890216213</v>
      </c>
      <c r="AO90" s="58">
        <f t="shared" si="90"/>
        <v>231.36959598460686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-4.9658410716801891E-14</v>
      </c>
      <c r="BF90" s="14" t="e">
        <f t="shared" si="91"/>
        <v>#NUM!</v>
      </c>
      <c r="BG90" s="22" t="e">
        <f t="shared" si="61"/>
        <v>#NUM!</v>
      </c>
      <c r="BH90" s="58" t="e">
        <f t="shared" si="62"/>
        <v>#NUM!</v>
      </c>
      <c r="BI90" s="58">
        <f ca="1">AVERAGE(OFFSET($BH$3,0,0,'Données projet'!$E$11+1,1))-AVERAGE(OFFSET($H$3,0,0,'Données projet'!$E$11+1,1))</f>
        <v>218.76424742311815</v>
      </c>
      <c r="BJ90" s="58">
        <f t="shared" si="92"/>
        <v>264.34598683038593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0.75759555003728007</v>
      </c>
      <c r="BQ90" s="23">
        <f>EXP(-LN(2)/25)*BQ89+(1-EXP(-LN(2)/25))/(LN(2)/25)*Calculateur!BL90*Calculateur!BN90*VLOOKUP('Données projet'!$B$11,Paramètres!$A$1:$I$89,3,0)*0.475*44/12</f>
        <v>0.89865701557106181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1.6562525656083418</v>
      </c>
      <c r="BT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</v>
      </c>
      <c r="BY90" s="13">
        <f>IF('Données projet'!$A$114&gt;35,BY89+BX90-CG89,IF(A90&lt;'Données projet'!$A$114,$BV$205^A90,IF(A90='Données projet'!$A$114,'Données projet'!$B$114,BY89+BX90-CG89)))</f>
        <v>194</v>
      </c>
      <c r="BZ90" s="14">
        <f>BY90*VLOOKUP('Données projet'!$B$12,Paramètres!$A$1:$I$89,3,0)*VLOOKUP('Données projet'!$B$12,Paramètres!$A$1:$I$89,5,0)</f>
        <v>187.63680000000002</v>
      </c>
      <c r="CA90" s="14">
        <f t="shared" si="93"/>
        <v>47.01710291385907</v>
      </c>
      <c r="CB90" s="22">
        <f t="shared" si="64"/>
        <v>408.68888090830461</v>
      </c>
      <c r="CC90" s="58">
        <f t="shared" si="65"/>
        <v>702.02221424163793</v>
      </c>
      <c r="CD90" s="58">
        <f ca="1">AVERAGE(OFFSET($CC$3,0,0,'Données projet'!$E$12+1,1))-AVERAGE(OFFSET($H$3,0,0,'Données projet'!$E$12+1,1))</f>
        <v>343.86347628565426</v>
      </c>
      <c r="CE90" s="58">
        <f t="shared" si="94"/>
        <v>129.28196646107097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58" t="e">
        <f t="shared" si="68"/>
        <v>#N/A</v>
      </c>
      <c r="CY90" s="58" t="e">
        <f ca="1">AVERAGE(OFFSET($CX$3,0,0,'Données projet'!$E$13+1,1))-AVERAGE(OFFSET($H$3,0,0,'Données projet'!$E$13+1,1))</f>
        <v>#N/A</v>
      </c>
      <c r="CZ90" s="58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3.4545454545454533</v>
      </c>
      <c r="DO90" s="13">
        <f>IF('Données projet'!$A$166&gt;35,DO89+DN90-DW89,IF(A90&lt;'Données projet'!$A$166,$DL$205^A90,IF(A90='Données projet'!$A$166,'Données projet'!$B$166,DO89+DN90-DW89)))</f>
        <v>207.21212121212142</v>
      </c>
      <c r="DP90" s="18">
        <f>DO90*VLOOKUP('Données projet'!$B$14,Paramètres!$A$1:$I$89,3,0)*VLOOKUP('Données projet'!$B$14,Paramètres!$A$1:$I$89,5,0)</f>
        <v>197.18305454545475</v>
      </c>
      <c r="DQ90" s="14">
        <f t="shared" si="97"/>
        <v>49.12457821642365</v>
      </c>
      <c r="DR90" s="22">
        <f t="shared" si="70"/>
        <v>428.98579372693825</v>
      </c>
      <c r="DS90" s="58">
        <f t="shared" si="71"/>
        <v>722.31912706027151</v>
      </c>
      <c r="DT90" s="58">
        <f ca="1">AVERAGE(OFFSET($DS$3,0,0,'Données projet'!$E$14+1,1))-AVERAGE(OFFSET($H$3,0,0,'Données projet'!$E$14+1,1))</f>
        <v>332.49889399440514</v>
      </c>
      <c r="DU90" s="58">
        <f t="shared" si="98"/>
        <v>256.06044006790529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4.4871794871794917</v>
      </c>
      <c r="EJ90" s="13">
        <f>IF('Données projet'!$A$192&gt;35,EJ89+EI90-ER89,IF(A90&lt;'Données projet'!$A$192,$EG$205^A90,IF(A90='Données projet'!$A$192,'Données projet'!$B$192,EJ89+EI90-ER89)))</f>
        <v>347.43589743589769</v>
      </c>
      <c r="EK90" s="18">
        <f>EJ90*VLOOKUP('Données projet'!$B$15,Paramètres!$A$1:$I$89,3,0)*VLOOKUP('Données projet'!$B$15,Paramètres!$A$1:$I$89,5,0)</f>
        <v>363.14000000000033</v>
      </c>
      <c r="EL90" s="14">
        <f t="shared" si="99"/>
        <v>84.262342837716815</v>
      </c>
      <c r="EM90" s="22">
        <f t="shared" si="73"/>
        <v>779.22574710902393</v>
      </c>
      <c r="EN90" s="58">
        <f t="shared" si="74"/>
        <v>1072.5590804423573</v>
      </c>
      <c r="EO90" s="58">
        <f ca="1">AVERAGE(OFFSET($EN$3,0,0,'Données projet'!$E$15+1,1))-AVERAGE(OFFSET($H$3,0,0,'Données projet'!$E$15+1,1))</f>
        <v>596.00698505207174</v>
      </c>
      <c r="EP90" s="58">
        <f t="shared" si="100"/>
        <v>378.16197659288338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>
        <f>VLOOKUP(A90,'Données projet'!$A$217:$I$237,2,0)</f>
        <v>456.51538461538462</v>
      </c>
      <c r="FC90" s="13">
        <f>VLOOKUP(A90,'Données projet'!$A$217:$I$237,9,0)</f>
        <v>12.124038461538468</v>
      </c>
      <c r="FD90" s="13">
        <f t="array" ref="FD90">INDEX(FC:FC,MIN(IF(ISNUMBER(FC90:FC286),ROW(FC90:FC286),"")))</f>
        <v>12.124038461538468</v>
      </c>
      <c r="FE90" s="13">
        <f>IF('Données projet'!$A$218&gt;35,FE89+FD90-FM89,IF(A90&lt;'Données projet'!$A$218,$FB$205^A90,IF(A90='Données projet'!$A$218,'Données projet'!$B$218,FE89+FD90-FM89)))</f>
        <v>456.51538461538473</v>
      </c>
      <c r="FF90" s="18">
        <f>FE90*VLOOKUP('Données projet'!$B$16,Paramètres!$A$1:$I$89,3,0)*VLOOKUP('Données projet'!$B$16,Paramètres!$A$1:$I$89,5,0)</f>
        <v>213.64920000000006</v>
      </c>
      <c r="FG90" s="14">
        <f t="shared" si="101"/>
        <v>52.732226385923781</v>
      </c>
      <c r="FH90" s="22">
        <f t="shared" si="76"/>
        <v>463.94765095548405</v>
      </c>
      <c r="FI90" s="58">
        <f t="shared" si="77"/>
        <v>757.28098428881731</v>
      </c>
      <c r="FJ90" s="58">
        <f ca="1">AVERAGE(OFFSET($FI$3,0,0,'Données projet'!$E$16+1,1))-AVERAGE(OFFSET($H$3,0,0,'Données projet'!$E$16+1,1))</f>
        <v>294.31042006404056</v>
      </c>
      <c r="FK90" s="58">
        <f t="shared" si="102"/>
        <v>260.93767498478502</v>
      </c>
      <c r="FL90" s="16">
        <f>IF(ISNA(VLOOKUP(A90,'Données projet'!$A$217:$I$237,3,0)),0,VLOOKUP(A90,'Données projet'!$A$217:$I$237,3,0))</f>
        <v>7</v>
      </c>
      <c r="FM90" s="16">
        <f>IF(ISNA(VLOOKUP(A90,'Données projet'!$A$217:$I$237,4,0)),0,VLOOKUP(A90,'Données projet'!$A$217:$I$237,4,0))</f>
        <v>77.330769230769235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4.3589743589743648</v>
      </c>
      <c r="FZ90" s="13">
        <f>IF('Données projet'!$A$244&gt;35,FZ89+FY90-GH89,IF(A90&lt;'Données projet'!$A$244,$FW$205^A90,IF(A90='Données projet'!$A$244,'Données projet'!$B$244,FZ89+FY90-GH89)))</f>
        <v>329.23076923076928</v>
      </c>
      <c r="GA90" s="18">
        <f>FZ90*VLOOKUP('Données projet'!$B$17,Paramètres!$A$1:$I$89,3,0)*VLOOKUP('Données projet'!$B$17,Paramètres!$A$1:$I$89,5,0)</f>
        <v>220.84800000000004</v>
      </c>
      <c r="GB90" s="14">
        <f t="shared" si="103"/>
        <v>54.299153043191723</v>
      </c>
      <c r="GC90" s="22">
        <f t="shared" si="79"/>
        <v>479.214624883559</v>
      </c>
      <c r="GD90" s="58">
        <f t="shared" si="80"/>
        <v>772.54795821689231</v>
      </c>
      <c r="GE90" s="58">
        <f ca="1">AVERAGE(OFFSET($GD$3,0,0,'Données projet'!$E$17+1,1))-AVERAGE(OFFSET($H$3,0,0,'Données projet'!$E$17+1,1))</f>
        <v>362.1372269575329</v>
      </c>
      <c r="GF90" s="58">
        <f t="shared" si="104"/>
        <v>308.1559670593121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58" t="e">
        <f t="shared" si="83"/>
        <v>#N/A</v>
      </c>
      <c r="GZ90" s="58" t="e">
        <f ca="1">AVERAGE(OFFSET($GY$3,0,0,'Données projet'!$E$18+1,1))-AVERAGE(OFFSET($H$3,0,0,'Données projet'!$E$18+1,1))</f>
        <v>#N/A</v>
      </c>
      <c r="HA90" s="58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0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3">
        <f t="shared" si="56"/>
        <v>256.66666666666669</v>
      </c>
      <c r="I91" s="6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3.5</v>
      </c>
      <c r="N91" s="14">
        <f>IF('Données projet'!$A$36&gt;35,N90+M91-V90,IF(A91&lt;'Données projet'!$A$36,$K$205^A91,IF(A91='Données projet'!$A$36,'Données projet'!$B$36,N90+M91-V90)))</f>
        <v>288.99999999999989</v>
      </c>
      <c r="O91" s="14">
        <f>N91*VLOOKUP('Données projet'!$B$9,Paramètres!$A$1:$I$89,3,0)*VLOOKUP('Données projet'!$B$9,Paramètres!$A$1:$I$89,5,0)</f>
        <v>293.04599999999994</v>
      </c>
      <c r="P91" s="14">
        <f t="shared" si="87"/>
        <v>69.716654076072615</v>
      </c>
      <c r="Q91" s="22">
        <f t="shared" si="54"/>
        <v>631.81162251582634</v>
      </c>
      <c r="R91" s="58">
        <f t="shared" si="55"/>
        <v>925.14495584915971</v>
      </c>
      <c r="S91" s="58">
        <f ca="1">AVERAGE(OFFSET($R$3,0,0,'Données projet'!$E$9+1,1))-AVERAGE(OFFSET($H$3,0,0,'Données projet'!$E$9+1,1))</f>
        <v>483.15009705023641</v>
      </c>
      <c r="T91" s="58">
        <f t="shared" si="88"/>
        <v>254.25036207346591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3.5</v>
      </c>
      <c r="AI91" s="14">
        <f>IF('Données projet'!$A$62&gt;35,AI90+AH91-AQ90,IF(A91&lt;'Données projet'!$A$62,$AF$205^A91,IF(A91='Données projet'!$A$62,'Données projet'!$B$62,AI90+AH91-AQ90)))</f>
        <v>288.99999999999989</v>
      </c>
      <c r="AJ91" s="14">
        <f>AI91*VLOOKUP('Données projet'!$B$10,Paramètres!$A$1:$I$89,3,0)*VLOOKUP('Données projet'!$B$10,Paramètres!$A$1:$I$89,5,0)</f>
        <v>261.48719999999986</v>
      </c>
      <c r="AK91" s="14">
        <f t="shared" si="89"/>
        <v>63.039283586802334</v>
      </c>
      <c r="AL91" s="22">
        <f t="shared" si="58"/>
        <v>565.21695891368051</v>
      </c>
      <c r="AM91" s="58">
        <f t="shared" si="59"/>
        <v>858.55029224701389</v>
      </c>
      <c r="AN91" s="58">
        <f ca="1">AVERAGE(OFFSET($AM$3,0,0,'Données projet'!$E$10+1,1))-AVERAGE(OFFSET($H$3,0,0,'Données projet'!$E$10+1,1))</f>
        <v>435.7095890216213</v>
      </c>
      <c r="AO91" s="58">
        <f t="shared" si="90"/>
        <v>231.36959598460686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-4.9658410716801891E-14</v>
      </c>
      <c r="BF91" s="14" t="e">
        <f t="shared" si="91"/>
        <v>#NUM!</v>
      </c>
      <c r="BG91" s="22" t="e">
        <f t="shared" si="61"/>
        <v>#NUM!</v>
      </c>
      <c r="BH91" s="58" t="e">
        <f t="shared" si="62"/>
        <v>#NUM!</v>
      </c>
      <c r="BI91" s="58">
        <f ca="1">AVERAGE(OFFSET($BH$3,0,0,'Données projet'!$E$11+1,1))-AVERAGE(OFFSET($H$3,0,0,'Données projet'!$E$11+1,1))</f>
        <v>218.76424742311815</v>
      </c>
      <c r="BJ91" s="58">
        <f t="shared" si="92"/>
        <v>264.34598683038593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0.74273956338870717</v>
      </c>
      <c r="BQ91" s="23">
        <f>EXP(-LN(2)/25)*BQ90+(1-EXP(-LN(2)/25))/(LN(2)/25)*Calculateur!BL91*Calculateur!BN91*VLOOKUP('Données projet'!$B$11,Paramètres!$A$1:$I$89,3,0)*0.475*44/12</f>
        <v>0.87408319222195263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1.6168227556106598</v>
      </c>
      <c r="BT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</v>
      </c>
      <c r="BY91" s="13">
        <f>IF('Données projet'!$A$114&gt;35,BY90+BX91-CG90,IF(A91&lt;'Données projet'!$A$114,$BV$205^A91,IF(A91='Données projet'!$A$114,'Données projet'!$B$114,BY90+BX91-CG90)))</f>
        <v>198</v>
      </c>
      <c r="BZ91" s="14">
        <f>BY91*VLOOKUP('Données projet'!$B$12,Paramètres!$A$1:$I$89,3,0)*VLOOKUP('Données projet'!$B$12,Paramètres!$A$1:$I$89,5,0)</f>
        <v>191.50560000000002</v>
      </c>
      <c r="CA91" s="14">
        <f t="shared" si="93"/>
        <v>47.872666570685276</v>
      </c>
      <c r="CB91" s="22">
        <f t="shared" si="64"/>
        <v>416.91714761061024</v>
      </c>
      <c r="CC91" s="58">
        <f t="shared" si="65"/>
        <v>710.25048094394356</v>
      </c>
      <c r="CD91" s="58">
        <f ca="1">AVERAGE(OFFSET($CC$3,0,0,'Données projet'!$E$12+1,1))-AVERAGE(OFFSET($H$3,0,0,'Données projet'!$E$12+1,1))</f>
        <v>343.86347628565426</v>
      </c>
      <c r="CE91" s="58">
        <f t="shared" si="94"/>
        <v>129.28196646107097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58" t="e">
        <f t="shared" si="68"/>
        <v>#N/A</v>
      </c>
      <c r="CY91" s="58" t="e">
        <f ca="1">AVERAGE(OFFSET($CX$3,0,0,'Données projet'!$E$13+1,1))-AVERAGE(OFFSET($H$3,0,0,'Données projet'!$E$13+1,1))</f>
        <v>#N/A</v>
      </c>
      <c r="CZ91" s="58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3.4545454545454533</v>
      </c>
      <c r="DO91" s="13">
        <f>IF('Données projet'!$A$166&gt;35,DO90+DN91-DW90,IF(A91&lt;'Données projet'!$A$166,$DL$205^A91,IF(A91='Données projet'!$A$166,'Données projet'!$B$166,DO90+DN91-DW90)))</f>
        <v>210.66666666666686</v>
      </c>
      <c r="DP91" s="18">
        <f>DO91*VLOOKUP('Données projet'!$B$14,Paramètres!$A$1:$I$89,3,0)*VLOOKUP('Données projet'!$B$14,Paramètres!$A$1:$I$89,5,0)</f>
        <v>200.47040000000018</v>
      </c>
      <c r="DQ91" s="14">
        <f t="shared" si="97"/>
        <v>49.847533268889535</v>
      </c>
      <c r="DR91" s="22">
        <f t="shared" si="70"/>
        <v>435.97040044331624</v>
      </c>
      <c r="DS91" s="58">
        <f t="shared" si="71"/>
        <v>729.30373377664955</v>
      </c>
      <c r="DT91" s="58">
        <f ca="1">AVERAGE(OFFSET($DS$3,0,0,'Données projet'!$E$14+1,1))-AVERAGE(OFFSET($H$3,0,0,'Données projet'!$E$14+1,1))</f>
        <v>332.49889399440514</v>
      </c>
      <c r="DU91" s="58">
        <f t="shared" si="98"/>
        <v>256.06044006790529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4.4871794871794917</v>
      </c>
      <c r="EJ91" s="13">
        <f>IF('Données projet'!$A$192&gt;35,EJ90+EI91-ER90,IF(A91&lt;'Données projet'!$A$192,$EG$205^A91,IF(A91='Données projet'!$A$192,'Données projet'!$B$192,EJ90+EI91-ER90)))</f>
        <v>351.92307692307719</v>
      </c>
      <c r="EK91" s="18">
        <f>EJ91*VLOOKUP('Données projet'!$B$15,Paramètres!$A$1:$I$89,3,0)*VLOOKUP('Données projet'!$B$15,Paramètres!$A$1:$I$89,5,0)</f>
        <v>367.83000000000027</v>
      </c>
      <c r="EL91" s="14">
        <f t="shared" si="99"/>
        <v>85.223209190035149</v>
      </c>
      <c r="EM91" s="22">
        <f t="shared" si="73"/>
        <v>789.06767267264502</v>
      </c>
      <c r="EN91" s="58">
        <f t="shared" si="74"/>
        <v>1082.4010060059784</v>
      </c>
      <c r="EO91" s="58">
        <f ca="1">AVERAGE(OFFSET($EN$3,0,0,'Données projet'!$E$15+1,1))-AVERAGE(OFFSET($H$3,0,0,'Données projet'!$E$15+1,1))</f>
        <v>596.00698505207174</v>
      </c>
      <c r="EP91" s="58">
        <f t="shared" si="100"/>
        <v>378.16197659288338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11.242307692307691</v>
      </c>
      <c r="FE91" s="13">
        <f>IF('Données projet'!$A$218&gt;35,FE90+FD91-FM90,IF(A91&lt;'Données projet'!$A$218,$FB$205^A91,IF(A91='Données projet'!$A$218,'Données projet'!$B$218,FE90+FD91-FM90)))</f>
        <v>390.42692307692317</v>
      </c>
      <c r="FF91" s="18">
        <f>FE91*VLOOKUP('Données projet'!$B$16,Paramètres!$A$1:$I$89,3,0)*VLOOKUP('Données projet'!$B$16,Paramètres!$A$1:$I$89,5,0)</f>
        <v>182.71980000000005</v>
      </c>
      <c r="FG91" s="14">
        <f t="shared" si="101"/>
        <v>45.926762394770499</v>
      </c>
      <c r="FH91" s="22">
        <f t="shared" si="76"/>
        <v>398.22609617089205</v>
      </c>
      <c r="FI91" s="58">
        <f t="shared" si="77"/>
        <v>691.55942950422536</v>
      </c>
      <c r="FJ91" s="58">
        <f ca="1">AVERAGE(OFFSET($FI$3,0,0,'Données projet'!$E$16+1,1))-AVERAGE(OFFSET($H$3,0,0,'Données projet'!$E$16+1,1))</f>
        <v>294.31042006404056</v>
      </c>
      <c r="FK91" s="58">
        <f t="shared" si="102"/>
        <v>260.93767498478502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4.3589743589743648</v>
      </c>
      <c r="FZ91" s="13">
        <f>IF('Données projet'!$A$244&gt;35,FZ90+FY91-GH90,IF(A91&lt;'Données projet'!$A$244,$FW$205^A91,IF(A91='Données projet'!$A$244,'Données projet'!$B$244,FZ90+FY91-GH90)))</f>
        <v>333.58974358974365</v>
      </c>
      <c r="GA91" s="18">
        <f>FZ91*VLOOKUP('Données projet'!$B$17,Paramètres!$A$1:$I$89,3,0)*VLOOKUP('Données projet'!$B$17,Paramètres!$A$1:$I$89,5,0)</f>
        <v>223.77200000000005</v>
      </c>
      <c r="GB91" s="14">
        <f t="shared" si="103"/>
        <v>54.933898381063038</v>
      </c>
      <c r="GC91" s="22">
        <f t="shared" si="79"/>
        <v>485.4127730136849</v>
      </c>
      <c r="GD91" s="58">
        <f t="shared" si="80"/>
        <v>778.74610634701821</v>
      </c>
      <c r="GE91" s="58">
        <f ca="1">AVERAGE(OFFSET($GD$3,0,0,'Données projet'!$E$17+1,1))-AVERAGE(OFFSET($H$3,0,0,'Données projet'!$E$17+1,1))</f>
        <v>362.1372269575329</v>
      </c>
      <c r="GF91" s="58">
        <f t="shared" si="104"/>
        <v>308.1559670593121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58" t="e">
        <f t="shared" si="83"/>
        <v>#N/A</v>
      </c>
      <c r="GZ91" s="58" t="e">
        <f ca="1">AVERAGE(OFFSET($GY$3,0,0,'Données projet'!$E$18+1,1))-AVERAGE(OFFSET($H$3,0,0,'Données projet'!$E$18+1,1))</f>
        <v>#N/A</v>
      </c>
      <c r="HA91" s="58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0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3">
        <f t="shared" si="56"/>
        <v>256.66666666666669</v>
      </c>
      <c r="I92" s="6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3.5</v>
      </c>
      <c r="N92" s="14">
        <f>IF('Données projet'!$A$36&gt;35,N91+M92-V91,IF(A92&lt;'Données projet'!$A$36,$K$205^A92,IF(A92='Données projet'!$A$36,'Données projet'!$B$36,N91+M92-V91)))</f>
        <v>292.49999999999989</v>
      </c>
      <c r="O92" s="14">
        <f>N92*VLOOKUP('Données projet'!$B$9,Paramètres!$A$1:$I$89,3,0)*VLOOKUP('Données projet'!$B$9,Paramètres!$A$1:$I$89,5,0)</f>
        <v>296.59499999999991</v>
      </c>
      <c r="P92" s="14">
        <f t="shared" si="87"/>
        <v>70.462171157277652</v>
      </c>
      <c r="Q92" s="22">
        <f t="shared" si="54"/>
        <v>639.29123976559174</v>
      </c>
      <c r="R92" s="58">
        <f t="shared" si="55"/>
        <v>932.62457309892511</v>
      </c>
      <c r="S92" s="58">
        <f ca="1">AVERAGE(OFFSET($R$3,0,0,'Données projet'!$E$9+1,1))-AVERAGE(OFFSET($H$3,0,0,'Données projet'!$E$9+1,1))</f>
        <v>483.15009705023641</v>
      </c>
      <c r="T92" s="58">
        <f t="shared" si="88"/>
        <v>254.25036207346591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3.5</v>
      </c>
      <c r="AI92" s="14">
        <f>IF('Données projet'!$A$62&gt;35,AI91+AH92-AQ91,IF(A92&lt;'Données projet'!$A$62,$AF$205^A92,IF(A92='Données projet'!$A$62,'Données projet'!$B$62,AI91+AH92-AQ91)))</f>
        <v>292.49999999999989</v>
      </c>
      <c r="AJ92" s="14">
        <f>AI92*VLOOKUP('Données projet'!$B$10,Paramètres!$A$1:$I$89,3,0)*VLOOKUP('Données projet'!$B$10,Paramètres!$A$1:$I$89,5,0)</f>
        <v>264.65399999999988</v>
      </c>
      <c r="AK92" s="14">
        <f t="shared" si="89"/>
        <v>63.71339601121106</v>
      </c>
      <c r="AL92" s="22">
        <f t="shared" si="58"/>
        <v>571.90654805285897</v>
      </c>
      <c r="AM92" s="58">
        <f t="shared" si="59"/>
        <v>865.23988138619234</v>
      </c>
      <c r="AN92" s="58">
        <f ca="1">AVERAGE(OFFSET($AM$3,0,0,'Données projet'!$E$10+1,1))-AVERAGE(OFFSET($H$3,0,0,'Données projet'!$E$10+1,1))</f>
        <v>435.7095890216213</v>
      </c>
      <c r="AO92" s="58">
        <f t="shared" si="90"/>
        <v>231.36959598460686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-4.9658410716801891E-14</v>
      </c>
      <c r="BF92" s="14" t="e">
        <f t="shared" si="91"/>
        <v>#NUM!</v>
      </c>
      <c r="BG92" s="22" t="e">
        <f t="shared" si="61"/>
        <v>#NUM!</v>
      </c>
      <c r="BH92" s="58" t="e">
        <f t="shared" si="62"/>
        <v>#NUM!</v>
      </c>
      <c r="BI92" s="58">
        <f ca="1">AVERAGE(OFFSET($BH$3,0,0,'Données projet'!$E$11+1,1))-AVERAGE(OFFSET($H$3,0,0,'Données projet'!$E$11+1,1))</f>
        <v>218.76424742311815</v>
      </c>
      <c r="BJ92" s="58">
        <f t="shared" si="92"/>
        <v>264.34598683038593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0.72817489357705567</v>
      </c>
      <c r="BQ92" s="23">
        <f>EXP(-LN(2)/25)*BQ91+(1-EXP(-LN(2)/25))/(LN(2)/25)*Calculateur!BL92*Calculateur!BN92*VLOOKUP('Données projet'!$B$11,Paramètres!$A$1:$I$89,3,0)*0.475*44/12</f>
        <v>0.85018134136460599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1.5783562349416616</v>
      </c>
      <c r="BT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</v>
      </c>
      <c r="BY92" s="13">
        <f>IF('Données projet'!$A$114&gt;35,BY91+BX92-CG91,IF(A92&lt;'Données projet'!$A$114,$BV$205^A92,IF(A92='Données projet'!$A$114,'Données projet'!$B$114,BY91+BX92-CG91)))</f>
        <v>202</v>
      </c>
      <c r="BZ92" s="14">
        <f>BY92*VLOOKUP('Données projet'!$B$12,Paramètres!$A$1:$I$89,3,0)*VLOOKUP('Données projet'!$B$12,Paramètres!$A$1:$I$89,5,0)</f>
        <v>195.37440000000001</v>
      </c>
      <c r="CA92" s="14">
        <f t="shared" si="93"/>
        <v>48.726220575731652</v>
      </c>
      <c r="CB92" s="22">
        <f t="shared" si="64"/>
        <v>425.14191416939929</v>
      </c>
      <c r="CC92" s="58">
        <f t="shared" si="65"/>
        <v>718.4752475027326</v>
      </c>
      <c r="CD92" s="58">
        <f ca="1">AVERAGE(OFFSET($CC$3,0,0,'Données projet'!$E$12+1,1))-AVERAGE(OFFSET($H$3,0,0,'Données projet'!$E$12+1,1))</f>
        <v>343.86347628565426</v>
      </c>
      <c r="CE92" s="58">
        <f t="shared" si="94"/>
        <v>129.28196646107097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58" t="e">
        <f t="shared" si="68"/>
        <v>#N/A</v>
      </c>
      <c r="CY92" s="58" t="e">
        <f ca="1">AVERAGE(OFFSET($CX$3,0,0,'Données projet'!$E$13+1,1))-AVERAGE(OFFSET($H$3,0,0,'Données projet'!$E$13+1,1))</f>
        <v>#N/A</v>
      </c>
      <c r="CZ92" s="58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3.4545454545454533</v>
      </c>
      <c r="DO92" s="13">
        <f>IF('Données projet'!$A$166&gt;35,DO91+DN92-DW91,IF(A92&lt;'Données projet'!$A$166,$DL$205^A92,IF(A92='Données projet'!$A$166,'Données projet'!$B$166,DO91+DN92-DW91)))</f>
        <v>214.1212121212123</v>
      </c>
      <c r="DP92" s="18">
        <f>DO92*VLOOKUP('Données projet'!$B$14,Paramètres!$A$1:$I$89,3,0)*VLOOKUP('Données projet'!$B$14,Paramètres!$A$1:$I$89,5,0)</f>
        <v>203.75774545454561</v>
      </c>
      <c r="DQ92" s="14">
        <f t="shared" si="97"/>
        <v>50.569109634830042</v>
      </c>
      <c r="DR92" s="22">
        <f t="shared" si="70"/>
        <v>442.95260594732923</v>
      </c>
      <c r="DS92" s="58">
        <f t="shared" si="71"/>
        <v>736.28593928066255</v>
      </c>
      <c r="DT92" s="58">
        <f ca="1">AVERAGE(OFFSET($DS$3,0,0,'Données projet'!$E$14+1,1))-AVERAGE(OFFSET($H$3,0,0,'Données projet'!$E$14+1,1))</f>
        <v>332.49889399440514</v>
      </c>
      <c r="DU92" s="58">
        <f t="shared" si="98"/>
        <v>256.06044006790529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4.4871794871794917</v>
      </c>
      <c r="EJ92" s="13">
        <f>IF('Données projet'!$A$192&gt;35,EJ91+EI92-ER91,IF(A92&lt;'Données projet'!$A$192,$EG$205^A92,IF(A92='Données projet'!$A$192,'Données projet'!$B$192,EJ91+EI92-ER91)))</f>
        <v>356.41025641025669</v>
      </c>
      <c r="EK92" s="18">
        <f>EJ92*VLOOKUP('Données projet'!$B$15,Paramètres!$A$1:$I$89,3,0)*VLOOKUP('Données projet'!$B$15,Paramètres!$A$1:$I$89,5,0)</f>
        <v>372.52000000000032</v>
      </c>
      <c r="EL92" s="14">
        <f t="shared" si="99"/>
        <v>86.182650486569059</v>
      </c>
      <c r="EM92" s="22">
        <f t="shared" si="73"/>
        <v>798.90711626410837</v>
      </c>
      <c r="EN92" s="58">
        <f t="shared" si="74"/>
        <v>1092.2404495974417</v>
      </c>
      <c r="EO92" s="58">
        <f ca="1">AVERAGE(OFFSET($EN$3,0,0,'Données projet'!$E$15+1,1))-AVERAGE(OFFSET($H$3,0,0,'Données projet'!$E$15+1,1))</f>
        <v>596.00698505207174</v>
      </c>
      <c r="EP92" s="58">
        <f t="shared" si="100"/>
        <v>378.16197659288338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11.242307692307691</v>
      </c>
      <c r="FE92" s="13">
        <f>IF('Données projet'!$A$218&gt;35,FE91+FD92-FM91,IF(A92&lt;'Données projet'!$A$218,$FB$205^A92,IF(A92='Données projet'!$A$218,'Données projet'!$B$218,FE91+FD92-FM91)))</f>
        <v>401.66923076923086</v>
      </c>
      <c r="FF92" s="18">
        <f>FE92*VLOOKUP('Données projet'!$B$16,Paramètres!$A$1:$I$89,3,0)*VLOOKUP('Données projet'!$B$16,Paramètres!$A$1:$I$89,5,0)</f>
        <v>187.98120000000003</v>
      </c>
      <c r="FG92" s="14">
        <f t="shared" si="101"/>
        <v>47.093347732155564</v>
      </c>
      <c r="FH92" s="22">
        <f t="shared" si="76"/>
        <v>409.42150396683769</v>
      </c>
      <c r="FI92" s="58">
        <f t="shared" si="77"/>
        <v>702.75483730017095</v>
      </c>
      <c r="FJ92" s="58">
        <f ca="1">AVERAGE(OFFSET($FI$3,0,0,'Données projet'!$E$16+1,1))-AVERAGE(OFFSET($H$3,0,0,'Données projet'!$E$16+1,1))</f>
        <v>294.31042006404056</v>
      </c>
      <c r="FK92" s="58">
        <f t="shared" si="102"/>
        <v>260.93767498478502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4.3589743589743648</v>
      </c>
      <c r="FZ92" s="13">
        <f>IF('Données projet'!$A$244&gt;35,FZ91+FY92-GH91,IF(A92&lt;'Données projet'!$A$244,$FW$205^A92,IF(A92='Données projet'!$A$244,'Données projet'!$B$244,FZ91+FY92-GH91)))</f>
        <v>337.94871794871801</v>
      </c>
      <c r="GA92" s="18">
        <f>FZ92*VLOOKUP('Données projet'!$B$17,Paramètres!$A$1:$I$89,3,0)*VLOOKUP('Données projet'!$B$17,Paramètres!$A$1:$I$89,5,0)</f>
        <v>226.69600000000005</v>
      </c>
      <c r="GB92" s="14">
        <f t="shared" si="103"/>
        <v>55.567678986325824</v>
      </c>
      <c r="GC92" s="22">
        <f t="shared" si="79"/>
        <v>491.60924090118425</v>
      </c>
      <c r="GD92" s="58">
        <f t="shared" si="80"/>
        <v>784.94257423451756</v>
      </c>
      <c r="GE92" s="58">
        <f ca="1">AVERAGE(OFFSET($GD$3,0,0,'Données projet'!$E$17+1,1))-AVERAGE(OFFSET($H$3,0,0,'Données projet'!$E$17+1,1))</f>
        <v>362.1372269575329</v>
      </c>
      <c r="GF92" s="58">
        <f t="shared" si="104"/>
        <v>308.1559670593121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58" t="e">
        <f t="shared" si="83"/>
        <v>#N/A</v>
      </c>
      <c r="GZ92" s="58" t="e">
        <f ca="1">AVERAGE(OFFSET($GY$3,0,0,'Données projet'!$E$18+1,1))-AVERAGE(OFFSET($H$3,0,0,'Données projet'!$E$18+1,1))</f>
        <v>#N/A</v>
      </c>
      <c r="HA92" s="58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0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3">
        <f t="shared" si="56"/>
        <v>256.66666666666669</v>
      </c>
      <c r="I93" s="6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3.5</v>
      </c>
      <c r="M93" s="13">
        <f t="array" ref="M93">INDEX(L:L,MIN(IF(ISNUMBER(L93:L289),ROW(L93:L289),"")))</f>
        <v>3.5</v>
      </c>
      <c r="N93" s="14">
        <f>IF('Données projet'!$A$36&gt;35,N92+M93-V92,IF(A93&lt;'Données projet'!$A$36,$K$205^A93,IF(A93='Données projet'!$A$36,'Données projet'!$B$36,N92+M93-V92)))</f>
        <v>295.99999999999989</v>
      </c>
      <c r="O93" s="14">
        <f>N93*VLOOKUP('Données projet'!$B$9,Paramètres!$A$1:$I$89,3,0)*VLOOKUP('Données projet'!$B$9,Paramètres!$A$1:$I$89,5,0)</f>
        <v>300.14399999999989</v>
      </c>
      <c r="P93" s="14">
        <f t="shared" si="87"/>
        <v>71.206650563609855</v>
      </c>
      <c r="Q93" s="22">
        <f t="shared" si="54"/>
        <v>646.76904973162027</v>
      </c>
      <c r="R93" s="58">
        <f t="shared" si="55"/>
        <v>940.10238306495353</v>
      </c>
      <c r="S93" s="58">
        <f ca="1">AVERAGE(OFFSET($R$3,0,0,'Données projet'!$E$9+1,1))-AVERAGE(OFFSET($H$3,0,0,'Données projet'!$E$9+1,1))</f>
        <v>483.15009705023641</v>
      </c>
      <c r="T93" s="58">
        <f t="shared" si="88"/>
        <v>254.25036207346591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3.5</v>
      </c>
      <c r="AH93" s="13">
        <f t="array" ref="AH93">INDEX(AG:AG,MIN(IF(ISNUMBER(AG93:AG289),ROW(AG93:AG289),"")))</f>
        <v>3.5</v>
      </c>
      <c r="AI93" s="14">
        <f>IF('Données projet'!$A$62&gt;35,AI92+AH93-AQ92,IF(A93&lt;'Données projet'!$A$62,$AF$205^A93,IF(A93='Données projet'!$A$62,'Données projet'!$B$62,AI92+AH93-AQ92)))</f>
        <v>295.99999999999989</v>
      </c>
      <c r="AJ93" s="14">
        <f>AI93*VLOOKUP('Données projet'!$B$10,Paramètres!$A$1:$I$89,3,0)*VLOOKUP('Données projet'!$B$10,Paramètres!$A$1:$I$89,5,0)</f>
        <v>267.82079999999991</v>
      </c>
      <c r="AK93" s="14">
        <f t="shared" si="89"/>
        <v>64.386570147897302</v>
      </c>
      <c r="AL93" s="22">
        <f t="shared" si="58"/>
        <v>578.5945030075876</v>
      </c>
      <c r="AM93" s="58">
        <f t="shared" si="59"/>
        <v>871.92783634092098</v>
      </c>
      <c r="AN93" s="58">
        <f ca="1">AVERAGE(OFFSET($AM$3,0,0,'Données projet'!$E$10+1,1))-AVERAGE(OFFSET($H$3,0,0,'Données projet'!$E$10+1,1))</f>
        <v>435.7095890216213</v>
      </c>
      <c r="AO93" s="58">
        <f t="shared" si="90"/>
        <v>231.36959598460686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-4.9658410716801891E-14</v>
      </c>
      <c r="BF93" s="14" t="e">
        <f t="shared" si="91"/>
        <v>#NUM!</v>
      </c>
      <c r="BG93" s="22" t="e">
        <f t="shared" si="61"/>
        <v>#NUM!</v>
      </c>
      <c r="BH93" s="58" t="e">
        <f t="shared" si="62"/>
        <v>#NUM!</v>
      </c>
      <c r="BI93" s="58">
        <f ca="1">AVERAGE(OFFSET($BH$3,0,0,'Données projet'!$E$11+1,1))-AVERAGE(OFFSET($H$3,0,0,'Données projet'!$E$11+1,1))</f>
        <v>218.76424742311815</v>
      </c>
      <c r="BJ93" s="58">
        <f t="shared" si="92"/>
        <v>264.34598683038593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0.71389582805683927</v>
      </c>
      <c r="BQ93" s="23">
        <f>EXP(-LN(2)/25)*BQ92+(1-EXP(-LN(2)/25))/(LN(2)/25)*Calculateur!BL93*Calculateur!BN93*VLOOKUP('Données projet'!$B$11,Paramètres!$A$1:$I$89,3,0)*0.475*44/12</f>
        <v>0.82693308787589725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1.5408289159327366</v>
      </c>
      <c r="BT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4</v>
      </c>
      <c r="BY93" s="13">
        <f>IF('Données projet'!$A$114&gt;35,BY92+BX93-CG92,IF(A93&lt;'Données projet'!$A$114,$BV$205^A93,IF(A93='Données projet'!$A$114,'Données projet'!$B$114,BY92+BX93-CG92)))</f>
        <v>206</v>
      </c>
      <c r="BZ93" s="14">
        <f>BY93*VLOOKUP('Données projet'!$B$12,Paramètres!$A$1:$I$89,3,0)*VLOOKUP('Données projet'!$B$12,Paramètres!$A$1:$I$89,5,0)</f>
        <v>199.2432</v>
      </c>
      <c r="CA93" s="14">
        <f t="shared" si="93"/>
        <v>49.577809310922277</v>
      </c>
      <c r="CB93" s="22">
        <f t="shared" si="64"/>
        <v>433.36325788318965</v>
      </c>
      <c r="CC93" s="58">
        <f t="shared" si="65"/>
        <v>726.69659121652296</v>
      </c>
      <c r="CD93" s="58">
        <f ca="1">AVERAGE(OFFSET($CC$3,0,0,'Données projet'!$E$12+1,1))-AVERAGE(OFFSET($H$3,0,0,'Données projet'!$E$12+1,1))</f>
        <v>343.86347628565426</v>
      </c>
      <c r="CE93" s="58">
        <f t="shared" si="94"/>
        <v>129.28196646107097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58" t="e">
        <f t="shared" si="68"/>
        <v>#N/A</v>
      </c>
      <c r="CY93" s="58" t="e">
        <f ca="1">AVERAGE(OFFSET($CX$3,0,0,'Données projet'!$E$13+1,1))-AVERAGE(OFFSET($H$3,0,0,'Données projet'!$E$13+1,1))</f>
        <v>#N/A</v>
      </c>
      <c r="CZ93" s="58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217.57575757575759</v>
      </c>
      <c r="DM93" s="13">
        <f>VLOOKUP(A93,'Données projet'!$A$165:$I$185,9,0)</f>
        <v>3.4545454545454533</v>
      </c>
      <c r="DN93" s="13">
        <f t="array" ref="DN93">INDEX(DM:DM,MIN(IF(ISNUMBER(DM93:DM289),ROW(DM93:DM289),"")))</f>
        <v>3.4545454545454533</v>
      </c>
      <c r="DO93" s="13">
        <f>IF('Données projet'!$A$166&gt;35,DO92+DN93-DW92,IF(A93&lt;'Données projet'!$A$166,$DL$205^A93,IF(A93='Données projet'!$A$166,'Données projet'!$B$166,DO92+DN93-DW92)))</f>
        <v>217.57575757575773</v>
      </c>
      <c r="DP93" s="18">
        <f>DO93*VLOOKUP('Données projet'!$B$14,Paramètres!$A$1:$I$89,3,0)*VLOOKUP('Données projet'!$B$14,Paramètres!$A$1:$I$89,5,0)</f>
        <v>207.04509090909104</v>
      </c>
      <c r="DQ93" s="14">
        <f t="shared" si="97"/>
        <v>51.289332125390125</v>
      </c>
      <c r="DR93" s="22">
        <f t="shared" si="70"/>
        <v>449.93245345172136</v>
      </c>
      <c r="DS93" s="58">
        <f t="shared" si="71"/>
        <v>743.26578678505462</v>
      </c>
      <c r="DT93" s="58">
        <f ca="1">AVERAGE(OFFSET($DS$3,0,0,'Données projet'!$E$14+1,1))-AVERAGE(OFFSET($H$3,0,0,'Données projet'!$E$14+1,1))</f>
        <v>332.49889399440514</v>
      </c>
      <c r="DU93" s="58">
        <f t="shared" si="98"/>
        <v>256.06044006790529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23.636363636363637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360.89743589743591</v>
      </c>
      <c r="EH93" s="13">
        <f>VLOOKUP(A93,'Données projet'!$A$191:$I$211,9,0)</f>
        <v>4.4871794871794917</v>
      </c>
      <c r="EI93" s="13">
        <f t="array" ref="EI93">INDEX(EH:EH,MIN(IF(ISNUMBER(EH93:EH289),ROW(EH93:EH289),"")))</f>
        <v>4.4871794871794917</v>
      </c>
      <c r="EJ93" s="13">
        <f>IF('Données projet'!$A$192&gt;35,EJ92+EI93-ER92,IF(A93&lt;'Données projet'!$A$192,$EG$205^A93,IF(A93='Données projet'!$A$192,'Données projet'!$B$192,EJ92+EI93-ER92)))</f>
        <v>360.8974358974362</v>
      </c>
      <c r="EK93" s="18">
        <f>EJ93*VLOOKUP('Données projet'!$B$15,Paramètres!$A$1:$I$89,3,0)*VLOOKUP('Données projet'!$B$15,Paramètres!$A$1:$I$89,5,0)</f>
        <v>377.21000000000038</v>
      </c>
      <c r="EL93" s="14">
        <f t="shared" si="99"/>
        <v>87.140686743435865</v>
      </c>
      <c r="EM93" s="22">
        <f t="shared" si="73"/>
        <v>808.74411274481815</v>
      </c>
      <c r="EN93" s="58">
        <f t="shared" si="74"/>
        <v>1102.0774460781515</v>
      </c>
      <c r="EO93" s="58">
        <f ca="1">AVERAGE(OFFSET($EN$3,0,0,'Données projet'!$E$15+1,1))-AVERAGE(OFFSET($H$3,0,0,'Données projet'!$E$15+1,1))</f>
        <v>596.00698505207174</v>
      </c>
      <c r="EP93" s="58">
        <f t="shared" si="100"/>
        <v>378.16197659288338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26.282051282051281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11.242307692307691</v>
      </c>
      <c r="FE93" s="13">
        <f>IF('Données projet'!$A$218&gt;35,FE92+FD93-FM92,IF(A93&lt;'Données projet'!$A$218,$FB$205^A93,IF(A93='Données projet'!$A$218,'Données projet'!$B$218,FE92+FD93-FM92)))</f>
        <v>412.91153846153856</v>
      </c>
      <c r="FF93" s="18">
        <f>FE93*VLOOKUP('Données projet'!$B$16,Paramètres!$A$1:$I$89,3,0)*VLOOKUP('Données projet'!$B$16,Paramètres!$A$1:$I$89,5,0)</f>
        <v>193.24260000000004</v>
      </c>
      <c r="FG93" s="14">
        <f t="shared" si="101"/>
        <v>48.256138093290375</v>
      </c>
      <c r="FH93" s="22">
        <f t="shared" si="76"/>
        <v>420.61030217914748</v>
      </c>
      <c r="FI93" s="58">
        <f t="shared" si="77"/>
        <v>713.9436355124808</v>
      </c>
      <c r="FJ93" s="58">
        <f ca="1">AVERAGE(OFFSET($FI$3,0,0,'Données projet'!$E$16+1,1))-AVERAGE(OFFSET($H$3,0,0,'Données projet'!$E$16+1,1))</f>
        <v>294.31042006404056</v>
      </c>
      <c r="FK93" s="58">
        <f t="shared" si="102"/>
        <v>260.93767498478502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342.30769230769232</v>
      </c>
      <c r="FX93" s="13">
        <f>VLOOKUP(A93,'Données projet'!$A$243:$I$263,9,0)</f>
        <v>4.3589743589743648</v>
      </c>
      <c r="FY93" s="13">
        <f t="array" ref="FY93">INDEX(FX:FX,MIN(IF(ISNUMBER(FX93:FX289),ROW(FX93:FX289),"")))</f>
        <v>4.3589743589743648</v>
      </c>
      <c r="FZ93" s="13">
        <f>IF('Données projet'!$A$244&gt;35,FZ92+FY93-GH92,IF(A93&lt;'Données projet'!$A$244,$FW$205^A93,IF(A93='Données projet'!$A$244,'Données projet'!$B$244,FZ92+FY93-GH92)))</f>
        <v>342.30769230769238</v>
      </c>
      <c r="GA93" s="18">
        <f>FZ93*VLOOKUP('Données projet'!$B$17,Paramètres!$A$1:$I$89,3,0)*VLOOKUP('Données projet'!$B$17,Paramètres!$A$1:$I$89,5,0)</f>
        <v>229.62000000000003</v>
      </c>
      <c r="GB93" s="14">
        <f t="shared" si="103"/>
        <v>56.200508741188202</v>
      </c>
      <c r="GC93" s="22">
        <f t="shared" si="79"/>
        <v>497.8040527242361</v>
      </c>
      <c r="GD93" s="58">
        <f t="shared" si="80"/>
        <v>791.13738605756942</v>
      </c>
      <c r="GE93" s="58">
        <f ca="1">AVERAGE(OFFSET($GD$3,0,0,'Données projet'!$E$17+1,1))-AVERAGE(OFFSET($H$3,0,0,'Données projet'!$E$17+1,1))</f>
        <v>362.1372269575329</v>
      </c>
      <c r="GF93" s="58">
        <f t="shared" si="104"/>
        <v>308.1559670593121</v>
      </c>
      <c r="GG93" s="16">
        <f>IF(ISNA(VLOOKUP(A93,'Données projet'!$A$243:$I$263,3,0)),0,VLOOKUP(A93,'Données projet'!$A$243:$I$263,3,0))</f>
        <v>8</v>
      </c>
      <c r="GH93" s="16">
        <f>IF(ISNA(VLOOKUP(A93,'Données projet'!$A$243:$I$263,4,0)),0,VLOOKUP(A93,'Données projet'!$A$243:$I$263,4,0))</f>
        <v>27.564102564102562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58" t="e">
        <f t="shared" si="83"/>
        <v>#N/A</v>
      </c>
      <c r="GZ93" s="58" t="e">
        <f ca="1">AVERAGE(OFFSET($GY$3,0,0,'Données projet'!$E$18+1,1))-AVERAGE(OFFSET($H$3,0,0,'Données projet'!$E$18+1,1))</f>
        <v>#N/A</v>
      </c>
      <c r="HA93" s="58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0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3">
        <f t="shared" si="56"/>
        <v>256.66666666666669</v>
      </c>
      <c r="I94" s="6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4.8</v>
      </c>
      <c r="N94" s="14">
        <f>IF('Données projet'!$A$36&gt;35,N93+M94-V93,IF(A94&lt;'Données projet'!$A$36,$K$205^A94,IF(A94='Données projet'!$A$36,'Données projet'!$B$36,N93+M94-V93)))</f>
        <v>258.7999999999999</v>
      </c>
      <c r="O94" s="14">
        <f>N94*VLOOKUP('Données projet'!$B$9,Paramètres!$A$1:$I$89,3,0)*VLOOKUP('Données projet'!$B$9,Paramètres!$A$1:$I$89,5,0)</f>
        <v>262.42319999999989</v>
      </c>
      <c r="P94" s="14">
        <f t="shared" si="87"/>
        <v>63.238627062047733</v>
      </c>
      <c r="Q94" s="22">
        <f t="shared" si="54"/>
        <v>567.19434879973289</v>
      </c>
      <c r="R94" s="58">
        <f t="shared" si="55"/>
        <v>860.52768213306626</v>
      </c>
      <c r="S94" s="58">
        <f ca="1">AVERAGE(OFFSET($R$3,0,0,'Données projet'!$E$9+1,1))-AVERAGE(OFFSET($H$3,0,0,'Données projet'!$E$9+1,1))</f>
        <v>483.15009705023641</v>
      </c>
      <c r="T94" s="58">
        <f t="shared" si="88"/>
        <v>254.25036207346591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4.8</v>
      </c>
      <c r="AI94" s="14">
        <f>IF('Données projet'!$A$62&gt;35,AI93+AH94-AQ93,IF(A94&lt;'Données projet'!$A$62,$AF$205^A94,IF(A94='Données projet'!$A$62,'Données projet'!$B$62,AI93+AH94-AQ93)))</f>
        <v>258.7999999999999</v>
      </c>
      <c r="AJ94" s="14">
        <f>AI94*VLOOKUP('Données projet'!$B$10,Paramètres!$A$1:$I$89,3,0)*VLOOKUP('Données projet'!$B$10,Paramètres!$A$1:$I$89,5,0)</f>
        <v>234.16223999999988</v>
      </c>
      <c r="AK94" s="14">
        <f t="shared" si="89"/>
        <v>57.181713578143047</v>
      </c>
      <c r="AL94" s="22">
        <f t="shared" si="58"/>
        <v>507.42405248193222</v>
      </c>
      <c r="AM94" s="58">
        <f t="shared" si="59"/>
        <v>800.75738581526548</v>
      </c>
      <c r="AN94" s="58">
        <f ca="1">AVERAGE(OFFSET($AM$3,0,0,'Données projet'!$E$10+1,1))-AVERAGE(OFFSET($H$3,0,0,'Données projet'!$E$10+1,1))</f>
        <v>435.7095890216213</v>
      </c>
      <c r="AO94" s="58">
        <f t="shared" si="90"/>
        <v>231.36959598460686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-4.9658410716801891E-14</v>
      </c>
      <c r="BF94" s="14" t="e">
        <f t="shared" si="91"/>
        <v>#NUM!</v>
      </c>
      <c r="BG94" s="22" t="e">
        <f t="shared" si="61"/>
        <v>#NUM!</v>
      </c>
      <c r="BH94" s="58" t="e">
        <f t="shared" si="62"/>
        <v>#NUM!</v>
      </c>
      <c r="BI94" s="58">
        <f ca="1">AVERAGE(OFFSET($BH$3,0,0,'Données projet'!$E$11+1,1))-AVERAGE(OFFSET($H$3,0,0,'Données projet'!$E$11+1,1))</f>
        <v>218.76424742311815</v>
      </c>
      <c r="BJ94" s="58">
        <f t="shared" si="92"/>
        <v>264.34598683038593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0.69989676630210429</v>
      </c>
      <c r="BQ94" s="23">
        <f>EXP(-LN(2)/25)*BQ93+(1-EXP(-LN(2)/25))/(LN(2)/25)*Calculateur!BL94*Calculateur!BN94*VLOOKUP('Données projet'!$B$11,Paramètres!$A$1:$I$89,3,0)*0.475*44/12</f>
        <v>0.80432055910140976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1.504217325403514</v>
      </c>
      <c r="BT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</v>
      </c>
      <c r="BY94" s="13">
        <f>IF('Données projet'!$A$114&gt;35,BY93+BX94-CG93,IF(A94&lt;'Données projet'!$A$114,$BV$205^A94,IF(A94='Données projet'!$A$114,'Données projet'!$B$114,BY93+BX94-CG93)))</f>
        <v>210</v>
      </c>
      <c r="BZ94" s="14">
        <f>BY94*VLOOKUP('Données projet'!$B$12,Paramètres!$A$1:$I$89,3,0)*VLOOKUP('Données projet'!$B$12,Paramètres!$A$1:$I$89,5,0)</f>
        <v>203.11199999999999</v>
      </c>
      <c r="CA94" s="14">
        <f t="shared" si="93"/>
        <v>50.427475336015782</v>
      </c>
      <c r="CB94" s="22">
        <f t="shared" si="64"/>
        <v>441.5812528768941</v>
      </c>
      <c r="CC94" s="58">
        <f t="shared" si="65"/>
        <v>734.91458621022741</v>
      </c>
      <c r="CD94" s="58">
        <f ca="1">AVERAGE(OFFSET($CC$3,0,0,'Données projet'!$E$12+1,1))-AVERAGE(OFFSET($H$3,0,0,'Données projet'!$E$12+1,1))</f>
        <v>343.86347628565426</v>
      </c>
      <c r="CE94" s="58">
        <f t="shared" si="94"/>
        <v>129.28196646107097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58" t="e">
        <f t="shared" si="68"/>
        <v>#N/A</v>
      </c>
      <c r="CY94" s="58" t="e">
        <f ca="1">AVERAGE(OFFSET($CX$3,0,0,'Données projet'!$E$13+1,1))-AVERAGE(OFFSET($H$3,0,0,'Données projet'!$E$13+1,1))</f>
        <v>#N/A</v>
      </c>
      <c r="CZ94" s="58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3.0909090909090908</v>
      </c>
      <c r="DO94" s="13">
        <f>IF('Données projet'!$A$166&gt;35,DO93+DN94-DW93,IF(A94&lt;'Données projet'!$A$166,$DL$205^A94,IF(A94='Données projet'!$A$166,'Données projet'!$B$166,DO93+DN94-DW93)))</f>
        <v>197.0303030303032</v>
      </c>
      <c r="DP94" s="18">
        <f>DO94*VLOOKUP('Données projet'!$B$14,Paramètres!$A$1:$I$89,3,0)*VLOOKUP('Données projet'!$B$14,Paramètres!$A$1:$I$89,5,0)</f>
        <v>187.49403636363652</v>
      </c>
      <c r="DQ94" s="14">
        <f t="shared" si="97"/>
        <v>46.98549248467117</v>
      </c>
      <c r="DR94" s="22">
        <f t="shared" si="70"/>
        <v>408.38517941080255</v>
      </c>
      <c r="DS94" s="58">
        <f t="shared" si="71"/>
        <v>701.71851274413586</v>
      </c>
      <c r="DT94" s="58">
        <f ca="1">AVERAGE(OFFSET($DS$3,0,0,'Données projet'!$E$14+1,1))-AVERAGE(OFFSET($H$3,0,0,'Données projet'!$E$14+1,1))</f>
        <v>332.49889399440514</v>
      </c>
      <c r="DU94" s="58">
        <f t="shared" si="98"/>
        <v>256.06044006790529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4.1025641025640995</v>
      </c>
      <c r="EJ94" s="13">
        <f>IF('Données projet'!$A$192&gt;35,EJ93+EI94-ER93,IF(A94&lt;'Données projet'!$A$192,$EG$205^A94,IF(A94='Données projet'!$A$192,'Données projet'!$B$192,EJ93+EI94-ER93)))</f>
        <v>338.71794871794901</v>
      </c>
      <c r="EK94" s="18">
        <f>EJ94*VLOOKUP('Données projet'!$B$15,Paramètres!$A$1:$I$89,3,0)*VLOOKUP('Données projet'!$B$15,Paramètres!$A$1:$I$89,5,0)</f>
        <v>354.0280000000003</v>
      </c>
      <c r="EL94" s="14">
        <f t="shared" si="99"/>
        <v>82.391365099845245</v>
      </c>
      <c r="EM94" s="22">
        <f t="shared" si="73"/>
        <v>760.09706088223095</v>
      </c>
      <c r="EN94" s="58">
        <f t="shared" si="74"/>
        <v>1053.4303942155643</v>
      </c>
      <c r="EO94" s="58">
        <f ca="1">AVERAGE(OFFSET($EN$3,0,0,'Données projet'!$E$15+1,1))-AVERAGE(OFFSET($H$3,0,0,'Données projet'!$E$15+1,1))</f>
        <v>596.00698505207174</v>
      </c>
      <c r="EP94" s="58">
        <f t="shared" si="100"/>
        <v>378.16197659288338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11.242307692307691</v>
      </c>
      <c r="FE94" s="13">
        <f>IF('Données projet'!$A$218&gt;35,FE93+FD94-FM93,IF(A94&lt;'Données projet'!$A$218,$FB$205^A94,IF(A94='Données projet'!$A$218,'Données projet'!$B$218,FE93+FD94-FM93)))</f>
        <v>424.15384615384625</v>
      </c>
      <c r="FF94" s="18">
        <f>FE94*VLOOKUP('Données projet'!$B$16,Paramètres!$A$1:$I$89,3,0)*VLOOKUP('Données projet'!$B$16,Paramètres!$A$1:$I$89,5,0)</f>
        <v>198.50400000000005</v>
      </c>
      <c r="FG94" s="14">
        <f t="shared" si="101"/>
        <v>49.415248676990458</v>
      </c>
      <c r="FH94" s="22">
        <f t="shared" si="76"/>
        <v>431.79269144575841</v>
      </c>
      <c r="FI94" s="58">
        <f t="shared" si="77"/>
        <v>725.12602477909172</v>
      </c>
      <c r="FJ94" s="58">
        <f ca="1">AVERAGE(OFFSET($FI$3,0,0,'Données projet'!$E$16+1,1))-AVERAGE(OFFSET($H$3,0,0,'Données projet'!$E$16+1,1))</f>
        <v>294.31042006404056</v>
      </c>
      <c r="FK94" s="58">
        <f t="shared" si="102"/>
        <v>260.93767498478502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4.102564102564088</v>
      </c>
      <c r="FZ94" s="13">
        <f>IF('Données projet'!$A$244&gt;35,FZ93+FY94-GH93,IF(A94&lt;'Données projet'!$A$244,$FW$205^A94,IF(A94='Données projet'!$A$244,'Données projet'!$B$244,FZ93+FY94-GH93)))</f>
        <v>318.84615384615392</v>
      </c>
      <c r="GA94" s="18">
        <f>FZ94*VLOOKUP('Données projet'!$B$17,Paramètres!$A$1:$I$89,3,0)*VLOOKUP('Données projet'!$B$17,Paramètres!$A$1:$I$89,5,0)</f>
        <v>213.88200000000003</v>
      </c>
      <c r="GB94" s="14">
        <f t="shared" si="103"/>
        <v>52.782993910626054</v>
      </c>
      <c r="GC94" s="22">
        <f t="shared" si="79"/>
        <v>464.44153106100708</v>
      </c>
      <c r="GD94" s="58">
        <f t="shared" si="80"/>
        <v>757.7748643943404</v>
      </c>
      <c r="GE94" s="58">
        <f ca="1">AVERAGE(OFFSET($GD$3,0,0,'Données projet'!$E$17+1,1))-AVERAGE(OFFSET($H$3,0,0,'Données projet'!$E$17+1,1))</f>
        <v>362.1372269575329</v>
      </c>
      <c r="GF94" s="58">
        <f t="shared" si="104"/>
        <v>308.1559670593121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58" t="e">
        <f t="shared" si="83"/>
        <v>#N/A</v>
      </c>
      <c r="GZ94" s="58" t="e">
        <f ca="1">AVERAGE(OFFSET($GY$3,0,0,'Données projet'!$E$18+1,1))-AVERAGE(OFFSET($H$3,0,0,'Données projet'!$E$18+1,1))</f>
        <v>#N/A</v>
      </c>
      <c r="HA94" s="58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0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3">
        <f t="shared" si="56"/>
        <v>256.66666666666669</v>
      </c>
      <c r="I95" s="6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4.8</v>
      </c>
      <c r="N95" s="14">
        <f>IF('Données projet'!$A$36&gt;35,N94+M95-V94,IF(A95&lt;'Données projet'!$A$36,$K$205^A95,IF(A95='Données projet'!$A$36,'Données projet'!$B$36,N94+M95-V94)))</f>
        <v>263.59999999999991</v>
      </c>
      <c r="O95" s="14">
        <f>N95*VLOOKUP('Données projet'!$B$9,Paramètres!$A$1:$I$89,3,0)*VLOOKUP('Données projet'!$B$9,Paramètres!$A$1:$I$89,5,0)</f>
        <v>267.29039999999992</v>
      </c>
      <c r="P95" s="14">
        <f t="shared" si="87"/>
        <v>64.273886654661325</v>
      </c>
      <c r="Q95" s="22">
        <f t="shared" si="54"/>
        <v>577.47446592353504</v>
      </c>
      <c r="R95" s="58">
        <f t="shared" si="55"/>
        <v>870.80779925686829</v>
      </c>
      <c r="S95" s="58">
        <f ca="1">AVERAGE(OFFSET($R$3,0,0,'Données projet'!$E$9+1,1))-AVERAGE(OFFSET($H$3,0,0,'Données projet'!$E$9+1,1))</f>
        <v>483.15009705023641</v>
      </c>
      <c r="T95" s="58">
        <f t="shared" si="88"/>
        <v>254.25036207346591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4.8</v>
      </c>
      <c r="AI95" s="14">
        <f>IF('Données projet'!$A$62&gt;35,AI94+AH95-AQ94,IF(A95&lt;'Données projet'!$A$62,$AF$205^A95,IF(A95='Données projet'!$A$62,'Données projet'!$B$62,AI94+AH95-AQ94)))</f>
        <v>263.59999999999991</v>
      </c>
      <c r="AJ95" s="14">
        <f>AI95*VLOOKUP('Données projet'!$B$10,Paramètres!$A$1:$I$89,3,0)*VLOOKUP('Données projet'!$B$10,Paramètres!$A$1:$I$89,5,0)</f>
        <v>238.50527999999991</v>
      </c>
      <c r="AK95" s="14">
        <f t="shared" si="89"/>
        <v>58.117817352909881</v>
      </c>
      <c r="AL95" s="22">
        <f t="shared" si="58"/>
        <v>516.61856122298445</v>
      </c>
      <c r="AM95" s="58">
        <f t="shared" si="59"/>
        <v>809.95189455631771</v>
      </c>
      <c r="AN95" s="58">
        <f ca="1">AVERAGE(OFFSET($AM$3,0,0,'Données projet'!$E$10+1,1))-AVERAGE(OFFSET($H$3,0,0,'Données projet'!$E$10+1,1))</f>
        <v>435.7095890216213</v>
      </c>
      <c r="AO95" s="58">
        <f t="shared" si="90"/>
        <v>231.36959598460686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-4.9658410716801891E-14</v>
      </c>
      <c r="BF95" s="14" t="e">
        <f t="shared" si="91"/>
        <v>#NUM!</v>
      </c>
      <c r="BG95" s="22" t="e">
        <f t="shared" si="61"/>
        <v>#NUM!</v>
      </c>
      <c r="BH95" s="58" t="e">
        <f t="shared" si="62"/>
        <v>#NUM!</v>
      </c>
      <c r="BI95" s="58">
        <f ca="1">AVERAGE(OFFSET($BH$3,0,0,'Données projet'!$E$11+1,1))-AVERAGE(OFFSET($H$3,0,0,'Données projet'!$E$11+1,1))</f>
        <v>218.76424742311815</v>
      </c>
      <c r="BJ95" s="58">
        <f t="shared" si="92"/>
        <v>264.34598683038593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0.68617221760979508</v>
      </c>
      <c r="BQ95" s="23">
        <f>EXP(-LN(2)/25)*BQ94+(1-EXP(-LN(2)/25))/(LN(2)/25)*Calculateur!BL95*Calculateur!BN95*VLOOKUP('Données projet'!$B$11,Paramètres!$A$1:$I$89,3,0)*0.475*44/12</f>
        <v>0.78232637111540182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1.4684985887251969</v>
      </c>
      <c r="BT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</v>
      </c>
      <c r="BY95" s="13">
        <f>IF('Données projet'!$A$114&gt;35,BY94+BX95-CG94,IF(A95&lt;'Données projet'!$A$114,$BV$205^A95,IF(A95='Données projet'!$A$114,'Données projet'!$B$114,BY94+BX95-CG94)))</f>
        <v>214</v>
      </c>
      <c r="BZ95" s="14">
        <f>BY95*VLOOKUP('Données projet'!$B$12,Paramètres!$A$1:$I$89,3,0)*VLOOKUP('Données projet'!$B$12,Paramètres!$A$1:$I$89,5,0)</f>
        <v>206.98080000000002</v>
      </c>
      <c r="CA95" s="14">
        <f t="shared" si="93"/>
        <v>51.275259496675787</v>
      </c>
      <c r="CB95" s="22">
        <f t="shared" si="64"/>
        <v>449.79597029004367</v>
      </c>
      <c r="CC95" s="58">
        <f t="shared" si="65"/>
        <v>743.12930362337693</v>
      </c>
      <c r="CD95" s="58">
        <f ca="1">AVERAGE(OFFSET($CC$3,0,0,'Données projet'!$E$12+1,1))-AVERAGE(OFFSET($H$3,0,0,'Données projet'!$E$12+1,1))</f>
        <v>343.86347628565426</v>
      </c>
      <c r="CE95" s="58">
        <f t="shared" si="94"/>
        <v>129.28196646107097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58" t="e">
        <f t="shared" si="68"/>
        <v>#N/A</v>
      </c>
      <c r="CY95" s="58" t="e">
        <f ca="1">AVERAGE(OFFSET($CX$3,0,0,'Données projet'!$E$13+1,1))-AVERAGE(OFFSET($H$3,0,0,'Données projet'!$E$13+1,1))</f>
        <v>#N/A</v>
      </c>
      <c r="CZ95" s="58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3.0909090909090908</v>
      </c>
      <c r="DO95" s="13">
        <f>IF('Données projet'!$A$166&gt;35,DO94+DN95-DW94,IF(A95&lt;'Données projet'!$A$166,$DL$205^A95,IF(A95='Données projet'!$A$166,'Données projet'!$B$166,DO94+DN95-DW94)))</f>
        <v>200.1212121212123</v>
      </c>
      <c r="DP95" s="18">
        <f>DO95*VLOOKUP('Données projet'!$B$14,Paramètres!$A$1:$I$89,3,0)*VLOOKUP('Données projet'!$B$14,Paramètres!$A$1:$I$89,5,0)</f>
        <v>190.43534545454563</v>
      </c>
      <c r="DQ95" s="14">
        <f t="shared" si="97"/>
        <v>47.636188725960253</v>
      </c>
      <c r="DR95" s="22">
        <f t="shared" si="70"/>
        <v>414.64125536438104</v>
      </c>
      <c r="DS95" s="58">
        <f t="shared" si="71"/>
        <v>707.97458869771435</v>
      </c>
      <c r="DT95" s="58">
        <f ca="1">AVERAGE(OFFSET($DS$3,0,0,'Données projet'!$E$14+1,1))-AVERAGE(OFFSET($H$3,0,0,'Données projet'!$E$14+1,1))</f>
        <v>332.49889399440514</v>
      </c>
      <c r="DU95" s="58">
        <f t="shared" si="98"/>
        <v>256.06044006790529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4.1025641025640995</v>
      </c>
      <c r="EJ95" s="13">
        <f>IF('Données projet'!$A$192&gt;35,EJ94+EI95-ER94,IF(A95&lt;'Données projet'!$A$192,$EG$205^A95,IF(A95='Données projet'!$A$192,'Données projet'!$B$192,EJ94+EI95-ER94)))</f>
        <v>342.8205128205131</v>
      </c>
      <c r="EK95" s="18">
        <f>EJ95*VLOOKUP('Données projet'!$B$15,Paramètres!$A$1:$I$89,3,0)*VLOOKUP('Données projet'!$B$15,Paramètres!$A$1:$I$89,5,0)</f>
        <v>358.31600000000032</v>
      </c>
      <c r="EL95" s="14">
        <f t="shared" si="99"/>
        <v>83.272514787836741</v>
      </c>
      <c r="EM95" s="22">
        <f t="shared" si="73"/>
        <v>769.09999658881623</v>
      </c>
      <c r="EN95" s="58">
        <f t="shared" si="74"/>
        <v>1062.4333299221496</v>
      </c>
      <c r="EO95" s="58">
        <f ca="1">AVERAGE(OFFSET($EN$3,0,0,'Données projet'!$E$15+1,1))-AVERAGE(OFFSET($H$3,0,0,'Données projet'!$E$15+1,1))</f>
        <v>596.00698505207174</v>
      </c>
      <c r="EP95" s="58">
        <f t="shared" si="100"/>
        <v>378.16197659288338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11.242307692307691</v>
      </c>
      <c r="FE95" s="13">
        <f>IF('Données projet'!$A$218&gt;35,FE94+FD95-FM94,IF(A95&lt;'Données projet'!$A$218,$FB$205^A95,IF(A95='Données projet'!$A$218,'Données projet'!$B$218,FE94+FD95-FM94)))</f>
        <v>435.39615384615394</v>
      </c>
      <c r="FF95" s="18">
        <f>FE95*VLOOKUP('Données projet'!$B$16,Paramètres!$A$1:$I$89,3,0)*VLOOKUP('Données projet'!$B$16,Paramètres!$A$1:$I$89,5,0)</f>
        <v>203.76540000000006</v>
      </c>
      <c r="FG95" s="14">
        <f t="shared" si="101"/>
        <v>50.570788227585879</v>
      </c>
      <c r="FH95" s="22">
        <f t="shared" si="76"/>
        <v>442.96886116304546</v>
      </c>
      <c r="FI95" s="58">
        <f t="shared" si="77"/>
        <v>736.30219449637877</v>
      </c>
      <c r="FJ95" s="58">
        <f ca="1">AVERAGE(OFFSET($FI$3,0,0,'Données projet'!$E$16+1,1))-AVERAGE(OFFSET($H$3,0,0,'Données projet'!$E$16+1,1))</f>
        <v>294.31042006404056</v>
      </c>
      <c r="FK95" s="58">
        <f t="shared" si="102"/>
        <v>260.93767498478502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4.102564102564088</v>
      </c>
      <c r="FZ95" s="13">
        <f>IF('Données projet'!$A$244&gt;35,FZ94+FY95-GH94,IF(A95&lt;'Données projet'!$A$244,$FW$205^A95,IF(A95='Données projet'!$A$244,'Données projet'!$B$244,FZ94+FY95-GH94)))</f>
        <v>322.94871794871801</v>
      </c>
      <c r="GA95" s="18">
        <f>FZ95*VLOOKUP('Données projet'!$B$17,Paramètres!$A$1:$I$89,3,0)*VLOOKUP('Données projet'!$B$17,Paramètres!$A$1:$I$89,5,0)</f>
        <v>216.63400000000004</v>
      </c>
      <c r="GB95" s="14">
        <f t="shared" si="103"/>
        <v>53.382647066119048</v>
      </c>
      <c r="GC95" s="22">
        <f t="shared" si="79"/>
        <v>470.27899364015747</v>
      </c>
      <c r="GD95" s="58">
        <f t="shared" si="80"/>
        <v>763.61232697349078</v>
      </c>
      <c r="GE95" s="58">
        <f ca="1">AVERAGE(OFFSET($GD$3,0,0,'Données projet'!$E$17+1,1))-AVERAGE(OFFSET($H$3,0,0,'Données projet'!$E$17+1,1))</f>
        <v>362.1372269575329</v>
      </c>
      <c r="GF95" s="58">
        <f t="shared" si="104"/>
        <v>308.1559670593121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58" t="e">
        <f t="shared" si="83"/>
        <v>#N/A</v>
      </c>
      <c r="GZ95" s="58" t="e">
        <f ca="1">AVERAGE(OFFSET($GY$3,0,0,'Données projet'!$E$18+1,1))-AVERAGE(OFFSET($H$3,0,0,'Données projet'!$E$18+1,1))</f>
        <v>#N/A</v>
      </c>
      <c r="HA95" s="58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0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3">
        <f t="shared" si="56"/>
        <v>256.66666666666669</v>
      </c>
      <c r="I96" s="6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4.8</v>
      </c>
      <c r="N96" s="14">
        <f>IF('Données projet'!$A$36&gt;35,N95+M96-V95,IF(A96&lt;'Données projet'!$A$36,$K$205^A96,IF(A96='Données projet'!$A$36,'Données projet'!$B$36,N95+M96-V95)))</f>
        <v>268.39999999999992</v>
      </c>
      <c r="O96" s="14">
        <f>N96*VLOOKUP('Données projet'!$B$9,Paramètres!$A$1:$I$89,3,0)*VLOOKUP('Données projet'!$B$9,Paramètres!$A$1:$I$89,5,0)</f>
        <v>272.15759999999995</v>
      </c>
      <c r="P96" s="14">
        <f t="shared" si="87"/>
        <v>65.306954132597255</v>
      </c>
      <c r="Q96" s="22">
        <f t="shared" si="54"/>
        <v>587.75076511427346</v>
      </c>
      <c r="R96" s="58">
        <f t="shared" si="55"/>
        <v>881.08409844760672</v>
      </c>
      <c r="S96" s="58">
        <f ca="1">AVERAGE(OFFSET($R$3,0,0,'Données projet'!$E$9+1,1))-AVERAGE(OFFSET($H$3,0,0,'Données projet'!$E$9+1,1))</f>
        <v>483.15009705023641</v>
      </c>
      <c r="T96" s="58">
        <f t="shared" si="88"/>
        <v>254.25036207346591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4.8</v>
      </c>
      <c r="AI96" s="14">
        <f>IF('Données projet'!$A$62&gt;35,AI95+AH96-AQ95,IF(A96&lt;'Données projet'!$A$62,$AF$205^A96,IF(A96='Données projet'!$A$62,'Données projet'!$B$62,AI95+AH96-AQ95)))</f>
        <v>268.39999999999992</v>
      </c>
      <c r="AJ96" s="14">
        <f>AI96*VLOOKUP('Données projet'!$B$10,Paramètres!$A$1:$I$89,3,0)*VLOOKUP('Données projet'!$B$10,Paramètres!$A$1:$I$89,5,0)</f>
        <v>242.84831999999992</v>
      </c>
      <c r="AK96" s="14">
        <f t="shared" si="89"/>
        <v>59.051938970892948</v>
      </c>
      <c r="AL96" s="22">
        <f t="shared" si="58"/>
        <v>525.80961770763849</v>
      </c>
      <c r="AM96" s="58">
        <f t="shared" si="59"/>
        <v>819.14295104097187</v>
      </c>
      <c r="AN96" s="58">
        <f ca="1">AVERAGE(OFFSET($AM$3,0,0,'Données projet'!$E$10+1,1))-AVERAGE(OFFSET($H$3,0,0,'Données projet'!$E$10+1,1))</f>
        <v>435.7095890216213</v>
      </c>
      <c r="AO96" s="58">
        <f t="shared" si="90"/>
        <v>231.36959598460686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-4.9658410716801891E-14</v>
      </c>
      <c r="BF96" s="14" t="e">
        <f t="shared" si="91"/>
        <v>#NUM!</v>
      </c>
      <c r="BG96" s="22" t="e">
        <f t="shared" si="61"/>
        <v>#NUM!</v>
      </c>
      <c r="BH96" s="58" t="e">
        <f t="shared" si="62"/>
        <v>#NUM!</v>
      </c>
      <c r="BI96" s="58">
        <f ca="1">AVERAGE(OFFSET($BH$3,0,0,'Données projet'!$E$11+1,1))-AVERAGE(OFFSET($H$3,0,0,'Données projet'!$E$11+1,1))</f>
        <v>218.76424742311815</v>
      </c>
      <c r="BJ96" s="58">
        <f t="shared" si="92"/>
        <v>264.34598683038593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0.67271679894619396</v>
      </c>
      <c r="BQ96" s="23">
        <f>EXP(-LN(2)/25)*BQ95+(1-EXP(-LN(2)/25))/(LN(2)/25)*Calculateur!BL96*Calculateur!BN96*VLOOKUP('Données projet'!$B$11,Paramètres!$A$1:$I$89,3,0)*0.475*44/12</f>
        <v>0.76093361535649529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1.4336504143026891</v>
      </c>
      <c r="BT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</v>
      </c>
      <c r="BY96" s="13">
        <f>IF('Données projet'!$A$114&gt;35,BY95+BX96-CG95,IF(A96&lt;'Données projet'!$A$114,$BV$205^A96,IF(A96='Données projet'!$A$114,'Données projet'!$B$114,BY95+BX96-CG95)))</f>
        <v>218</v>
      </c>
      <c r="BZ96" s="14">
        <f>BY96*VLOOKUP('Données projet'!$B$12,Paramètres!$A$1:$I$89,3,0)*VLOOKUP('Données projet'!$B$12,Paramètres!$A$1:$I$89,5,0)</f>
        <v>210.84960000000001</v>
      </c>
      <c r="CA96" s="14">
        <f t="shared" si="93"/>
        <v>52.121201024231922</v>
      </c>
      <c r="CB96" s="22">
        <f t="shared" si="64"/>
        <v>458.00747845053729</v>
      </c>
      <c r="CC96" s="58">
        <f t="shared" si="65"/>
        <v>751.34081178387055</v>
      </c>
      <c r="CD96" s="58">
        <f ca="1">AVERAGE(OFFSET($CC$3,0,0,'Données projet'!$E$12+1,1))-AVERAGE(OFFSET($H$3,0,0,'Données projet'!$E$12+1,1))</f>
        <v>343.86347628565426</v>
      </c>
      <c r="CE96" s="58">
        <f t="shared" si="94"/>
        <v>129.28196646107097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58" t="e">
        <f t="shared" si="68"/>
        <v>#N/A</v>
      </c>
      <c r="CY96" s="58" t="e">
        <f ca="1">AVERAGE(OFFSET($CX$3,0,0,'Données projet'!$E$13+1,1))-AVERAGE(OFFSET($H$3,0,0,'Données projet'!$E$13+1,1))</f>
        <v>#N/A</v>
      </c>
      <c r="CZ96" s="58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3.0909090909090908</v>
      </c>
      <c r="DO96" s="13">
        <f>IF('Données projet'!$A$166&gt;35,DO95+DN96-DW95,IF(A96&lt;'Données projet'!$A$166,$DL$205^A96,IF(A96='Données projet'!$A$166,'Données projet'!$B$166,DO95+DN96-DW95)))</f>
        <v>203.21212121212139</v>
      </c>
      <c r="DP96" s="18">
        <f>DO96*VLOOKUP('Données projet'!$B$14,Paramètres!$A$1:$I$89,3,0)*VLOOKUP('Données projet'!$B$14,Paramètres!$A$1:$I$89,5,0)</f>
        <v>193.37665454545473</v>
      </c>
      <c r="DQ96" s="14">
        <f t="shared" si="97"/>
        <v>48.285716134666764</v>
      </c>
      <c r="DR96" s="22">
        <f t="shared" si="70"/>
        <v>420.89529560121156</v>
      </c>
      <c r="DS96" s="58">
        <f t="shared" si="71"/>
        <v>714.22862893454487</v>
      </c>
      <c r="DT96" s="58">
        <f ca="1">AVERAGE(OFFSET($DS$3,0,0,'Données projet'!$E$14+1,1))-AVERAGE(OFFSET($H$3,0,0,'Données projet'!$E$14+1,1))</f>
        <v>332.49889399440514</v>
      </c>
      <c r="DU96" s="58">
        <f t="shared" si="98"/>
        <v>256.06044006790529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4.1025641025640995</v>
      </c>
      <c r="EJ96" s="13">
        <f>IF('Données projet'!$A$192&gt;35,EJ95+EI96-ER95,IF(A96&lt;'Données projet'!$A$192,$EG$205^A96,IF(A96='Données projet'!$A$192,'Données projet'!$B$192,EJ95+EI96-ER95)))</f>
        <v>346.92307692307719</v>
      </c>
      <c r="EK96" s="18">
        <f>EJ96*VLOOKUP('Données projet'!$B$15,Paramètres!$A$1:$I$89,3,0)*VLOOKUP('Données projet'!$B$15,Paramètres!$A$1:$I$89,5,0)</f>
        <v>362.60400000000033</v>
      </c>
      <c r="EL96" s="14">
        <f t="shared" si="99"/>
        <v>84.152437884852105</v>
      </c>
      <c r="EM96" s="22">
        <f t="shared" si="73"/>
        <v>778.10079598278446</v>
      </c>
      <c r="EN96" s="58">
        <f t="shared" si="74"/>
        <v>1071.4341293161178</v>
      </c>
      <c r="EO96" s="58">
        <f ca="1">AVERAGE(OFFSET($EN$3,0,0,'Données projet'!$E$15+1,1))-AVERAGE(OFFSET($H$3,0,0,'Données projet'!$E$15+1,1))</f>
        <v>596.00698505207174</v>
      </c>
      <c r="EP96" s="58">
        <f t="shared" si="100"/>
        <v>378.16197659288338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11.242307692307691</v>
      </c>
      <c r="FE96" s="13">
        <f>IF('Données projet'!$A$218&gt;35,FE95+FD96-FM95,IF(A96&lt;'Données projet'!$A$218,$FB$205^A96,IF(A96='Données projet'!$A$218,'Données projet'!$B$218,FE95+FD96-FM95)))</f>
        <v>446.63846153846163</v>
      </c>
      <c r="FF96" s="18">
        <f>FE96*VLOOKUP('Données projet'!$B$16,Paramètres!$A$1:$I$89,3,0)*VLOOKUP('Données projet'!$B$16,Paramètres!$A$1:$I$89,5,0)</f>
        <v>209.02680000000004</v>
      </c>
      <c r="FG96" s="14">
        <f t="shared" si="101"/>
        <v>51.722859553755306</v>
      </c>
      <c r="FH96" s="22">
        <f t="shared" si="76"/>
        <v>454.13899038945721</v>
      </c>
      <c r="FI96" s="58">
        <f t="shared" si="77"/>
        <v>747.47232372279052</v>
      </c>
      <c r="FJ96" s="58">
        <f ca="1">AVERAGE(OFFSET($FI$3,0,0,'Données projet'!$E$16+1,1))-AVERAGE(OFFSET($H$3,0,0,'Données projet'!$E$16+1,1))</f>
        <v>294.31042006404056</v>
      </c>
      <c r="FK96" s="58">
        <f t="shared" si="102"/>
        <v>260.93767498478502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4.102564102564088</v>
      </c>
      <c r="FZ96" s="13">
        <f>IF('Données projet'!$A$244&gt;35,FZ95+FY96-GH95,IF(A96&lt;'Données projet'!$A$244,$FW$205^A96,IF(A96='Données projet'!$A$244,'Données projet'!$B$244,FZ95+FY96-GH95)))</f>
        <v>327.0512820512821</v>
      </c>
      <c r="GA96" s="18">
        <f>FZ96*VLOOKUP('Données projet'!$B$17,Paramètres!$A$1:$I$89,3,0)*VLOOKUP('Données projet'!$B$17,Paramètres!$A$1:$I$89,5,0)</f>
        <v>219.38600000000002</v>
      </c>
      <c r="GB96" s="14">
        <f t="shared" si="103"/>
        <v>53.981414155321495</v>
      </c>
      <c r="GC96" s="22">
        <f t="shared" si="79"/>
        <v>476.11491298718494</v>
      </c>
      <c r="GD96" s="58">
        <f t="shared" si="80"/>
        <v>769.44824632051825</v>
      </c>
      <c r="GE96" s="58">
        <f ca="1">AVERAGE(OFFSET($GD$3,0,0,'Données projet'!$E$17+1,1))-AVERAGE(OFFSET($H$3,0,0,'Données projet'!$E$17+1,1))</f>
        <v>362.1372269575329</v>
      </c>
      <c r="GF96" s="58">
        <f t="shared" si="104"/>
        <v>308.1559670593121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58" t="e">
        <f t="shared" si="83"/>
        <v>#N/A</v>
      </c>
      <c r="GZ96" s="58" t="e">
        <f ca="1">AVERAGE(OFFSET($GY$3,0,0,'Données projet'!$E$18+1,1))-AVERAGE(OFFSET($H$3,0,0,'Données projet'!$E$18+1,1))</f>
        <v>#N/A</v>
      </c>
      <c r="HA96" s="58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0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3">
        <f t="shared" si="56"/>
        <v>256.66666666666669</v>
      </c>
      <c r="I97" s="6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4.8</v>
      </c>
      <c r="N97" s="14">
        <f>IF('Données projet'!$A$36&gt;35,N96+M97-V96,IF(A97&lt;'Données projet'!$A$36,$K$205^A97,IF(A97='Données projet'!$A$36,'Données projet'!$B$36,N96+M97-V96)))</f>
        <v>273.19999999999993</v>
      </c>
      <c r="O97" s="14">
        <f>N97*VLOOKUP('Données projet'!$B$9,Paramètres!$A$1:$I$89,3,0)*VLOOKUP('Données projet'!$B$9,Paramètres!$A$1:$I$89,5,0)</f>
        <v>277.02479999999991</v>
      </c>
      <c r="P97" s="14">
        <f t="shared" si="87"/>
        <v>66.337873221533528</v>
      </c>
      <c r="Q97" s="22">
        <f t="shared" si="54"/>
        <v>598.02332252750409</v>
      </c>
      <c r="R97" s="58">
        <f t="shared" si="55"/>
        <v>891.35665586083746</v>
      </c>
      <c r="S97" s="58">
        <f ca="1">AVERAGE(OFFSET($R$3,0,0,'Données projet'!$E$9+1,1))-AVERAGE(OFFSET($H$3,0,0,'Données projet'!$E$9+1,1))</f>
        <v>483.15009705023641</v>
      </c>
      <c r="T97" s="58">
        <f t="shared" si="88"/>
        <v>254.25036207346591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4.8</v>
      </c>
      <c r="AI97" s="14">
        <f>IF('Données projet'!$A$62&gt;35,AI96+AH97-AQ96,IF(A97&lt;'Données projet'!$A$62,$AF$205^A97,IF(A97='Données projet'!$A$62,'Données projet'!$B$62,AI96+AH97-AQ96)))</f>
        <v>273.19999999999993</v>
      </c>
      <c r="AJ97" s="14">
        <f>AI97*VLOOKUP('Données projet'!$B$10,Paramètres!$A$1:$I$89,3,0)*VLOOKUP('Données projet'!$B$10,Paramètres!$A$1:$I$89,5,0)</f>
        <v>247.19135999999995</v>
      </c>
      <c r="AK97" s="14">
        <f t="shared" si="89"/>
        <v>59.984117969781565</v>
      </c>
      <c r="AL97" s="22">
        <f t="shared" si="58"/>
        <v>534.99729079736949</v>
      </c>
      <c r="AM97" s="58">
        <f t="shared" si="59"/>
        <v>828.33062413070274</v>
      </c>
      <c r="AN97" s="58">
        <f ca="1">AVERAGE(OFFSET($AM$3,0,0,'Données projet'!$E$10+1,1))-AVERAGE(OFFSET($H$3,0,0,'Données projet'!$E$10+1,1))</f>
        <v>435.7095890216213</v>
      </c>
      <c r="AO97" s="58">
        <f t="shared" si="90"/>
        <v>231.36959598460686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-4.9658410716801891E-14</v>
      </c>
      <c r="BF97" s="14" t="e">
        <f t="shared" si="91"/>
        <v>#NUM!</v>
      </c>
      <c r="BG97" s="22" t="e">
        <f t="shared" si="61"/>
        <v>#NUM!</v>
      </c>
      <c r="BH97" s="58" t="e">
        <f t="shared" si="62"/>
        <v>#NUM!</v>
      </c>
      <c r="BI97" s="58">
        <f ca="1">AVERAGE(OFFSET($BH$3,0,0,'Données projet'!$E$11+1,1))-AVERAGE(OFFSET($H$3,0,0,'Données projet'!$E$11+1,1))</f>
        <v>218.76424742311815</v>
      </c>
      <c r="BJ97" s="58">
        <f t="shared" si="92"/>
        <v>264.34598683038593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0.65952523283559106</v>
      </c>
      <c r="BQ97" s="23">
        <f>EXP(-LN(2)/25)*BQ96+(1-EXP(-LN(2)/25))/(LN(2)/25)*Calculateur!BL97*Calculateur!BN97*VLOOKUP('Données projet'!$B$11,Paramètres!$A$1:$I$89,3,0)*0.475*44/12</f>
        <v>0.74012584562881223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1.3996510784644034</v>
      </c>
      <c r="BT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</v>
      </c>
      <c r="BY97" s="13">
        <f>IF('Données projet'!$A$114&gt;35,BY96+BX97-CG96,IF(A97&lt;'Données projet'!$A$114,$BV$205^A97,IF(A97='Données projet'!$A$114,'Données projet'!$B$114,BY96+BX97-CG96)))</f>
        <v>222</v>
      </c>
      <c r="BZ97" s="14">
        <f>BY97*VLOOKUP('Données projet'!$B$12,Paramètres!$A$1:$I$89,3,0)*VLOOKUP('Données projet'!$B$12,Paramètres!$A$1:$I$89,5,0)</f>
        <v>214.71839999999997</v>
      </c>
      <c r="CA97" s="14">
        <f t="shared" si="93"/>
        <v>52.965337627912746</v>
      </c>
      <c r="CB97" s="22">
        <f t="shared" si="64"/>
        <v>466.2158430352813</v>
      </c>
      <c r="CC97" s="58">
        <f t="shared" si="65"/>
        <v>759.54917636861455</v>
      </c>
      <c r="CD97" s="58">
        <f ca="1">AVERAGE(OFFSET($CC$3,0,0,'Données projet'!$E$12+1,1))-AVERAGE(OFFSET($H$3,0,0,'Données projet'!$E$12+1,1))</f>
        <v>343.86347628565426</v>
      </c>
      <c r="CE97" s="58">
        <f t="shared" si="94"/>
        <v>129.28196646107097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58" t="e">
        <f t="shared" si="68"/>
        <v>#N/A</v>
      </c>
      <c r="CY97" s="58" t="e">
        <f ca="1">AVERAGE(OFFSET($CX$3,0,0,'Données projet'!$E$13+1,1))-AVERAGE(OFFSET($H$3,0,0,'Données projet'!$E$13+1,1))</f>
        <v>#N/A</v>
      </c>
      <c r="CZ97" s="58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3.0909090909090908</v>
      </c>
      <c r="DO97" s="13">
        <f>IF('Données projet'!$A$166&gt;35,DO96+DN97-DW96,IF(A97&lt;'Données projet'!$A$166,$DL$205^A97,IF(A97='Données projet'!$A$166,'Données projet'!$B$166,DO96+DN97-DW96)))</f>
        <v>206.30303030303048</v>
      </c>
      <c r="DP97" s="18">
        <f>DO97*VLOOKUP('Données projet'!$B$14,Paramètres!$A$1:$I$89,3,0)*VLOOKUP('Données projet'!$B$14,Paramètres!$A$1:$I$89,5,0)</f>
        <v>196.31796363636383</v>
      </c>
      <c r="DQ97" s="14">
        <f t="shared" si="97"/>
        <v>48.934094542405944</v>
      </c>
      <c r="DR97" s="22">
        <f t="shared" si="70"/>
        <v>427.14733466135732</v>
      </c>
      <c r="DS97" s="58">
        <f t="shared" si="71"/>
        <v>720.48066799469063</v>
      </c>
      <c r="DT97" s="58">
        <f ca="1">AVERAGE(OFFSET($DS$3,0,0,'Données projet'!$E$14+1,1))-AVERAGE(OFFSET($H$3,0,0,'Données projet'!$E$14+1,1))</f>
        <v>332.49889399440514</v>
      </c>
      <c r="DU97" s="58">
        <f t="shared" si="98"/>
        <v>256.06044006790529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4.1025641025640995</v>
      </c>
      <c r="EJ97" s="13">
        <f>IF('Données projet'!$A$192&gt;35,EJ96+EI97-ER96,IF(A97&lt;'Données projet'!$A$192,$EG$205^A97,IF(A97='Données projet'!$A$192,'Données projet'!$B$192,EJ96+EI97-ER96)))</f>
        <v>351.02564102564128</v>
      </c>
      <c r="EK97" s="18">
        <f>EJ97*VLOOKUP('Données projet'!$B$15,Paramètres!$A$1:$I$89,3,0)*VLOOKUP('Données projet'!$B$15,Paramètres!$A$1:$I$89,5,0)</f>
        <v>366.89200000000028</v>
      </c>
      <c r="EL97" s="14">
        <f t="shared" si="99"/>
        <v>85.031150574049036</v>
      </c>
      <c r="EM97" s="22">
        <f t="shared" si="73"/>
        <v>787.09948724980256</v>
      </c>
      <c r="EN97" s="58">
        <f t="shared" si="74"/>
        <v>1080.4328205831359</v>
      </c>
      <c r="EO97" s="58">
        <f ca="1">AVERAGE(OFFSET($EN$3,0,0,'Données projet'!$E$15+1,1))-AVERAGE(OFFSET($H$3,0,0,'Données projet'!$E$15+1,1))</f>
        <v>596.00698505207174</v>
      </c>
      <c r="EP97" s="58">
        <f t="shared" si="100"/>
        <v>378.16197659288338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11.242307692307691</v>
      </c>
      <c r="FE97" s="13">
        <f>IF('Données projet'!$A$218&gt;35,FE96+FD97-FM96,IF(A97&lt;'Données projet'!$A$218,$FB$205^A97,IF(A97='Données projet'!$A$218,'Données projet'!$B$218,FE96+FD97-FM96)))</f>
        <v>457.88076923076932</v>
      </c>
      <c r="FF97" s="18">
        <f>FE97*VLOOKUP('Données projet'!$B$16,Paramètres!$A$1:$I$89,3,0)*VLOOKUP('Données projet'!$B$16,Paramètres!$A$1:$I$89,5,0)</f>
        <v>214.28820000000005</v>
      </c>
      <c r="FG97" s="14">
        <f t="shared" si="101"/>
        <v>52.871559993650941</v>
      </c>
      <c r="FH97" s="22">
        <f t="shared" si="76"/>
        <v>465.3032486556088</v>
      </c>
      <c r="FI97" s="58">
        <f t="shared" si="77"/>
        <v>758.63658198894211</v>
      </c>
      <c r="FJ97" s="58">
        <f ca="1">AVERAGE(OFFSET($FI$3,0,0,'Données projet'!$E$16+1,1))-AVERAGE(OFFSET($H$3,0,0,'Données projet'!$E$16+1,1))</f>
        <v>294.31042006404056</v>
      </c>
      <c r="FK97" s="58">
        <f t="shared" si="102"/>
        <v>260.93767498478502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4.102564102564088</v>
      </c>
      <c r="FZ97" s="13">
        <f>IF('Données projet'!$A$244&gt;35,FZ96+FY97-GH96,IF(A97&lt;'Données projet'!$A$244,$FW$205^A97,IF(A97='Données projet'!$A$244,'Données projet'!$B$244,FZ96+FY97-GH96)))</f>
        <v>331.15384615384619</v>
      </c>
      <c r="GA97" s="18">
        <f>FZ97*VLOOKUP('Données projet'!$B$17,Paramètres!$A$1:$I$89,3,0)*VLOOKUP('Données projet'!$B$17,Paramètres!$A$1:$I$89,5,0)</f>
        <v>222.13800000000001</v>
      </c>
      <c r="GB97" s="14">
        <f t="shared" si="103"/>
        <v>54.579307578512022</v>
      </c>
      <c r="GC97" s="22">
        <f t="shared" si="79"/>
        <v>481.94931069924172</v>
      </c>
      <c r="GD97" s="58">
        <f t="shared" si="80"/>
        <v>775.28264403257504</v>
      </c>
      <c r="GE97" s="58">
        <f ca="1">AVERAGE(OFFSET($GD$3,0,0,'Données projet'!$E$17+1,1))-AVERAGE(OFFSET($H$3,0,0,'Données projet'!$E$17+1,1))</f>
        <v>362.1372269575329</v>
      </c>
      <c r="GF97" s="58">
        <f t="shared" si="104"/>
        <v>308.1559670593121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58" t="e">
        <f t="shared" si="83"/>
        <v>#N/A</v>
      </c>
      <c r="GZ97" s="58" t="e">
        <f ca="1">AVERAGE(OFFSET($GY$3,0,0,'Données projet'!$E$18+1,1))-AVERAGE(OFFSET($H$3,0,0,'Données projet'!$E$18+1,1))</f>
        <v>#N/A</v>
      </c>
      <c r="HA97" s="58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0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3">
        <f t="shared" si="56"/>
        <v>256.66666666666669</v>
      </c>
      <c r="I98" s="6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4.8</v>
      </c>
      <c r="N98" s="14">
        <f>IF('Données projet'!$A$36&gt;35,N97+M98-V97,IF(A98&lt;'Données projet'!$A$36,$K$205^A98,IF(A98='Données projet'!$A$36,'Données projet'!$B$36,N97+M98-V97)))</f>
        <v>277.99999999999994</v>
      </c>
      <c r="O98" s="14">
        <f>N98*VLOOKUP('Données projet'!$B$9,Paramètres!$A$1:$I$89,3,0)*VLOOKUP('Données projet'!$B$9,Paramètres!$A$1:$I$89,5,0)</f>
        <v>281.89199999999994</v>
      </c>
      <c r="P98" s="14">
        <f t="shared" si="87"/>
        <v>67.366686022655614</v>
      </c>
      <c r="Q98" s="22">
        <f t="shared" si="54"/>
        <v>608.29221148945828</v>
      </c>
      <c r="R98" s="58">
        <f t="shared" si="55"/>
        <v>901.62554482279165</v>
      </c>
      <c r="S98" s="58">
        <f ca="1">AVERAGE(OFFSET($R$3,0,0,'Données projet'!$E$9+1,1))-AVERAGE(OFFSET($H$3,0,0,'Données projet'!$E$9+1,1))</f>
        <v>483.15009705023641</v>
      </c>
      <c r="T98" s="58">
        <f t="shared" si="88"/>
        <v>254.25036207346591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4.8</v>
      </c>
      <c r="AI98" s="14">
        <f>IF('Données projet'!$A$62&gt;35,AI97+AH98-AQ97,IF(A98&lt;'Données projet'!$A$62,$AF$205^A98,IF(A98='Données projet'!$A$62,'Données projet'!$B$62,AI97+AH98-AQ97)))</f>
        <v>277.99999999999994</v>
      </c>
      <c r="AJ98" s="14">
        <f>AI98*VLOOKUP('Données projet'!$B$10,Paramètres!$A$1:$I$89,3,0)*VLOOKUP('Données projet'!$B$10,Paramètres!$A$1:$I$89,5,0)</f>
        <v>251.53439999999995</v>
      </c>
      <c r="AK98" s="14">
        <f t="shared" si="89"/>
        <v>60.914392418364585</v>
      </c>
      <c r="AL98" s="22">
        <f t="shared" si="58"/>
        <v>544.18164679531822</v>
      </c>
      <c r="AM98" s="58">
        <f t="shared" si="59"/>
        <v>837.51498012865159</v>
      </c>
      <c r="AN98" s="58">
        <f ca="1">AVERAGE(OFFSET($AM$3,0,0,'Données projet'!$E$10+1,1))-AVERAGE(OFFSET($H$3,0,0,'Données projet'!$E$10+1,1))</f>
        <v>435.7095890216213</v>
      </c>
      <c r="AO98" s="58">
        <f t="shared" si="90"/>
        <v>231.36959598460686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-4.9658410716801891E-14</v>
      </c>
      <c r="BF98" s="14" t="e">
        <f t="shared" si="91"/>
        <v>#NUM!</v>
      </c>
      <c r="BG98" s="22" t="e">
        <f t="shared" si="61"/>
        <v>#NUM!</v>
      </c>
      <c r="BH98" s="58" t="e">
        <f t="shared" si="62"/>
        <v>#NUM!</v>
      </c>
      <c r="BI98" s="58">
        <f ca="1">AVERAGE(OFFSET($BH$3,0,0,'Données projet'!$E$11+1,1))-AVERAGE(OFFSET($H$3,0,0,'Données projet'!$E$11+1,1))</f>
        <v>218.76424742311815</v>
      </c>
      <c r="BJ98" s="58">
        <f t="shared" si="92"/>
        <v>264.34598683038593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0.64659234529035625</v>
      </c>
      <c r="BQ98" s="23">
        <f>EXP(-LN(2)/25)*BQ97+(1-EXP(-LN(2)/25))/(LN(2)/25)*Calculateur!BL98*Calculateur!BN98*VLOOKUP('Données projet'!$B$11,Paramètres!$A$1:$I$89,3,0)*0.475*44/12</f>
        <v>0.71988706545856573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1.366479410748922</v>
      </c>
      <c r="BT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226</v>
      </c>
      <c r="BW98" s="13">
        <f>VLOOKUP(A98,'Données projet'!$A$113:$I$133,9,0)</f>
        <v>4</v>
      </c>
      <c r="BX98" s="13">
        <f t="array" ref="BX98">INDEX(BW:BW,MIN(IF(ISNUMBER(BW98:BW294),ROW(BW98:BW294),"")))</f>
        <v>4</v>
      </c>
      <c r="BY98" s="13">
        <f>IF('Données projet'!$A$114&gt;35,BY97+BX98-CG97,IF(A98&lt;'Données projet'!$A$114,$BV$205^A98,IF(A98='Données projet'!$A$114,'Données projet'!$B$114,BY97+BX98-CG97)))</f>
        <v>226</v>
      </c>
      <c r="BZ98" s="14">
        <f>BY98*VLOOKUP('Données projet'!$B$12,Paramètres!$A$1:$I$89,3,0)*VLOOKUP('Données projet'!$B$12,Paramètres!$A$1:$I$89,5,0)</f>
        <v>218.58720000000002</v>
      </c>
      <c r="CA98" s="14">
        <f t="shared" si="93"/>
        <v>53.807705580242171</v>
      </c>
      <c r="CB98" s="22">
        <f t="shared" si="64"/>
        <v>474.42112721892181</v>
      </c>
      <c r="CC98" s="58">
        <f t="shared" si="65"/>
        <v>767.75446055225507</v>
      </c>
      <c r="CD98" s="58">
        <f ca="1">AVERAGE(OFFSET($CC$3,0,0,'Données projet'!$E$12+1,1))-AVERAGE(OFFSET($H$3,0,0,'Données projet'!$E$12+1,1))</f>
        <v>343.86347628565426</v>
      </c>
      <c r="CE98" s="58">
        <f t="shared" si="94"/>
        <v>129.28196646107097</v>
      </c>
      <c r="CF98" s="16">
        <f>IF(ISNA(VLOOKUP(A98,'Données projet'!$A$113:$I$133,3,0)),0,VLOOKUP(A98,'Données projet'!$A$113:$I$133,3,0))</f>
        <v>7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58" t="e">
        <f t="shared" si="68"/>
        <v>#N/A</v>
      </c>
      <c r="CY98" s="58" t="e">
        <f ca="1">AVERAGE(OFFSET($CX$3,0,0,'Données projet'!$E$13+1,1))-AVERAGE(OFFSET($H$3,0,0,'Données projet'!$E$13+1,1))</f>
        <v>#N/A</v>
      </c>
      <c r="CZ98" s="58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3.0909090909090908</v>
      </c>
      <c r="DO98" s="13">
        <f>IF('Données projet'!$A$166&gt;35,DO97+DN98-DW97,IF(A98&lt;'Données projet'!$A$166,$DL$205^A98,IF(A98='Données projet'!$A$166,'Données projet'!$B$166,DO97+DN98-DW97)))</f>
        <v>209.39393939393958</v>
      </c>
      <c r="DP98" s="18">
        <f>DO98*VLOOKUP('Données projet'!$B$14,Paramètres!$A$1:$I$89,3,0)*VLOOKUP('Données projet'!$B$14,Paramètres!$A$1:$I$89,5,0)</f>
        <v>199.2592727272729</v>
      </c>
      <c r="DQ98" s="14">
        <f t="shared" si="97"/>
        <v>49.581343152436069</v>
      </c>
      <c r="DR98" s="22">
        <f t="shared" si="70"/>
        <v>433.3974059904931</v>
      </c>
      <c r="DS98" s="58">
        <f t="shared" si="71"/>
        <v>726.73073932382636</v>
      </c>
      <c r="DT98" s="58">
        <f ca="1">AVERAGE(OFFSET($DS$3,0,0,'Données projet'!$E$14+1,1))-AVERAGE(OFFSET($H$3,0,0,'Données projet'!$E$14+1,1))</f>
        <v>332.49889399440514</v>
      </c>
      <c r="DU98" s="58">
        <f t="shared" si="98"/>
        <v>256.06044006790529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4.1025641025640995</v>
      </c>
      <c r="EJ98" s="13">
        <f>IF('Données projet'!$A$192&gt;35,EJ97+EI98-ER97,IF(A98&lt;'Données projet'!$A$192,$EG$205^A98,IF(A98='Données projet'!$A$192,'Données projet'!$B$192,EJ97+EI98-ER97)))</f>
        <v>355.12820512820537</v>
      </c>
      <c r="EK98" s="18">
        <f>EJ98*VLOOKUP('Données projet'!$B$15,Paramètres!$A$1:$I$89,3,0)*VLOOKUP('Données projet'!$B$15,Paramètres!$A$1:$I$89,5,0)</f>
        <v>371.18000000000029</v>
      </c>
      <c r="EL98" s="14">
        <f t="shared" si="99"/>
        <v>85.908668638537549</v>
      </c>
      <c r="EM98" s="22">
        <f t="shared" si="73"/>
        <v>796.09609787878674</v>
      </c>
      <c r="EN98" s="58">
        <f t="shared" si="74"/>
        <v>1089.4294312121201</v>
      </c>
      <c r="EO98" s="58">
        <f ca="1">AVERAGE(OFFSET($EN$3,0,0,'Données projet'!$E$15+1,1))-AVERAGE(OFFSET($H$3,0,0,'Données projet'!$E$15+1,1))</f>
        <v>596.00698505207174</v>
      </c>
      <c r="EP98" s="58">
        <f t="shared" si="100"/>
        <v>378.16197659288338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469.12307692307689</v>
      </c>
      <c r="FC98" s="13">
        <f>VLOOKUP(A98,'Données projet'!$A$217:$I$237,9,0)</f>
        <v>11.242307692307691</v>
      </c>
      <c r="FD98" s="13">
        <f t="array" ref="FD98">INDEX(FC:FC,MIN(IF(ISNUMBER(FC98:FC294),ROW(FC98:FC294),"")))</f>
        <v>11.242307692307691</v>
      </c>
      <c r="FE98" s="13">
        <f>IF('Données projet'!$A$218&gt;35,FE97+FD98-FM97,IF(A98&lt;'Données projet'!$A$218,$FB$205^A98,IF(A98='Données projet'!$A$218,'Données projet'!$B$218,FE97+FD98-FM97)))</f>
        <v>469.12307692307701</v>
      </c>
      <c r="FF98" s="18">
        <f>FE98*VLOOKUP('Données projet'!$B$16,Paramètres!$A$1:$I$89,3,0)*VLOOKUP('Données projet'!$B$16,Paramètres!$A$1:$I$89,5,0)</f>
        <v>219.54960000000003</v>
      </c>
      <c r="FG98" s="14">
        <f t="shared" si="101"/>
        <v>54.016981833057052</v>
      </c>
      <c r="FH98" s="22">
        <f t="shared" si="76"/>
        <v>476.46179669257435</v>
      </c>
      <c r="FI98" s="58">
        <f t="shared" si="77"/>
        <v>769.79513002590761</v>
      </c>
      <c r="FJ98" s="58">
        <f ca="1">AVERAGE(OFFSET($FI$3,0,0,'Données projet'!$E$16+1,1))-AVERAGE(OFFSET($H$3,0,0,'Données projet'!$E$16+1,1))</f>
        <v>294.31042006404056</v>
      </c>
      <c r="FK98" s="58">
        <f t="shared" si="102"/>
        <v>260.93767498478502</v>
      </c>
      <c r="FL98" s="16">
        <f>IF(ISNA(VLOOKUP(A98,'Données projet'!$A$217:$I$237,3,0)),0,VLOOKUP(A98,'Données projet'!$A$217:$I$237,3,0))</f>
        <v>8</v>
      </c>
      <c r="FM98" s="16">
        <f>IF(ISNA(VLOOKUP(A98,'Données projet'!$A$217:$I$237,4,0)),0,VLOOKUP(A98,'Données projet'!$A$217:$I$237,4,0))</f>
        <v>234.42307692307691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335.25641025641022</v>
      </c>
      <c r="FX98" s="13">
        <f>VLOOKUP(A98,'Données projet'!$A$243:$I$263,9,0)</f>
        <v>4.102564102564088</v>
      </c>
      <c r="FY98" s="13">
        <f t="array" ref="FY98">INDEX(FX:FX,MIN(IF(ISNUMBER(FX98:FX294),ROW(FX98:FX294),"")))</f>
        <v>4.102564102564088</v>
      </c>
      <c r="FZ98" s="13">
        <f>IF('Données projet'!$A$244&gt;35,FZ97+FY98-GH97,IF(A98&lt;'Données projet'!$A$244,$FW$205^A98,IF(A98='Données projet'!$A$244,'Données projet'!$B$244,FZ97+FY98-GH97)))</f>
        <v>335.25641025641028</v>
      </c>
      <c r="GA98" s="18">
        <f>FZ98*VLOOKUP('Données projet'!$B$17,Paramètres!$A$1:$I$89,3,0)*VLOOKUP('Données projet'!$B$17,Paramètres!$A$1:$I$89,5,0)</f>
        <v>224.89000000000001</v>
      </c>
      <c r="GB98" s="14">
        <f t="shared" si="103"/>
        <v>55.17633941105067</v>
      </c>
      <c r="GC98" s="22">
        <f t="shared" si="79"/>
        <v>487.78220780757994</v>
      </c>
      <c r="GD98" s="58">
        <f t="shared" si="80"/>
        <v>781.11554114091325</v>
      </c>
      <c r="GE98" s="58">
        <f ca="1">AVERAGE(OFFSET($GD$3,0,0,'Données projet'!$E$17+1,1))-AVERAGE(OFFSET($H$3,0,0,'Données projet'!$E$17+1,1))</f>
        <v>362.1372269575329</v>
      </c>
      <c r="GF98" s="58">
        <f t="shared" si="104"/>
        <v>308.1559670593121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58" t="e">
        <f t="shared" si="83"/>
        <v>#N/A</v>
      </c>
      <c r="GZ98" s="58" t="e">
        <f ca="1">AVERAGE(OFFSET($GY$3,0,0,'Données projet'!$E$18+1,1))-AVERAGE(OFFSET($H$3,0,0,'Données projet'!$E$18+1,1))</f>
        <v>#N/A</v>
      </c>
      <c r="HA98" s="58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0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3">
        <f t="shared" si="56"/>
        <v>256.66666666666669</v>
      </c>
      <c r="I99" s="6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282.79999999999995</v>
      </c>
      <c r="O99" s="14">
        <f>N99*VLOOKUP('Données projet'!$B$9,Paramètres!$A$1:$I$89,3,0)*VLOOKUP('Données projet'!$B$9,Paramètres!$A$1:$I$89,5,0)</f>
        <v>286.75919999999996</v>
      </c>
      <c r="P99" s="14">
        <f t="shared" si="87"/>
        <v>68.393433099997438</v>
      </c>
      <c r="Q99" s="22">
        <f t="shared" ref="Q99:Q130" si="107">(O99+P99)*0.475*44/12</f>
        <v>618.55750264916207</v>
      </c>
      <c r="R99" s="58">
        <f t="shared" si="55"/>
        <v>911.89083598249545</v>
      </c>
      <c r="S99" s="58">
        <f ca="1">AVERAGE(OFFSET($R$3,0,0,'Données projet'!$E$9+1,1))-AVERAGE(OFFSET($H$3,0,0,'Données projet'!$E$9+1,1))</f>
        <v>483.15009705023641</v>
      </c>
      <c r="T99" s="58">
        <f t="shared" si="88"/>
        <v>254.25036207346591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282.79999999999995</v>
      </c>
      <c r="AJ99" s="14">
        <f>AI99*VLOOKUP('Données projet'!$B$10,Paramètres!$A$1:$I$89,3,0)*VLOOKUP('Données projet'!$B$10,Paramètres!$A$1:$I$89,5,0)</f>
        <v>255.87743999999998</v>
      </c>
      <c r="AK99" s="14">
        <f t="shared" si="89"/>
        <v>61.842798995505326</v>
      </c>
      <c r="AL99" s="22">
        <f t="shared" si="58"/>
        <v>553.36274958383854</v>
      </c>
      <c r="AM99" s="58">
        <f t="shared" si="59"/>
        <v>846.69608291717191</v>
      </c>
      <c r="AN99" s="58">
        <f ca="1">AVERAGE(OFFSET($AM$3,0,0,'Données projet'!$E$10+1,1))-AVERAGE(OFFSET($H$3,0,0,'Données projet'!$E$10+1,1))</f>
        <v>435.7095890216213</v>
      </c>
      <c r="AO99" s="58">
        <f t="shared" si="90"/>
        <v>231.36959598460686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-4.9658410716801891E-14</v>
      </c>
      <c r="BF99" s="14" t="e">
        <f t="shared" si="91"/>
        <v>#NUM!</v>
      </c>
      <c r="BG99" s="22" t="e">
        <f t="shared" si="61"/>
        <v>#NUM!</v>
      </c>
      <c r="BH99" s="58" t="e">
        <f t="shared" si="62"/>
        <v>#NUM!</v>
      </c>
      <c r="BI99" s="58">
        <f ca="1">AVERAGE(OFFSET($BH$3,0,0,'Données projet'!$E$11+1,1))-AVERAGE(OFFSET($H$3,0,0,'Données projet'!$E$11+1,1))</f>
        <v>218.76424742311815</v>
      </c>
      <c r="BJ99" s="58">
        <f t="shared" si="92"/>
        <v>264.34598683038593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0.63391306378160095</v>
      </c>
      <c r="BQ99" s="23">
        <f>EXP(-LN(2)/25)*BQ98+(1-EXP(-LN(2)/25))/(LN(2)/25)*Calculateur!BL99*Calculateur!BN99*VLOOKUP('Données projet'!$B$11,Paramètres!$A$1:$I$89,3,0)*0.475*44/12</f>
        <v>0.70020171579638579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1.3341147795779866</v>
      </c>
      <c r="BT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3.4</v>
      </c>
      <c r="BY99" s="13">
        <f>IF('Données projet'!$A$114&gt;35,BY98+BX99-CG98,IF(A99&lt;'Données projet'!$A$114,$BV$205^A99,IF(A99='Données projet'!$A$114,'Données projet'!$B$114,BY98+BX99-CG98)))</f>
        <v>201.4</v>
      </c>
      <c r="BZ99" s="14">
        <f>BY99*VLOOKUP('Données projet'!$B$12,Paramètres!$A$1:$I$89,3,0)*VLOOKUP('Données projet'!$B$12,Paramètres!$A$1:$I$89,5,0)</f>
        <v>194.79408000000001</v>
      </c>
      <c r="CA99" s="14">
        <f t="shared" si="93"/>
        <v>48.598313824368873</v>
      </c>
      <c r="CB99" s="22">
        <f t="shared" si="64"/>
        <v>423.9084192441091</v>
      </c>
      <c r="CC99" s="58">
        <f t="shared" si="65"/>
        <v>717.24175257744241</v>
      </c>
      <c r="CD99" s="58">
        <f ca="1">AVERAGE(OFFSET($CC$3,0,0,'Données projet'!$E$12+1,1))-AVERAGE(OFFSET($H$3,0,0,'Données projet'!$E$12+1,1))</f>
        <v>343.86347628565426</v>
      </c>
      <c r="CE99" s="58">
        <f t="shared" si="94"/>
        <v>129.28196646107097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58" t="e">
        <f t="shared" si="68"/>
        <v>#N/A</v>
      </c>
      <c r="CY99" s="58" t="e">
        <f ca="1">AVERAGE(OFFSET($CX$3,0,0,'Données projet'!$E$13+1,1))-AVERAGE(OFFSET($H$3,0,0,'Données projet'!$E$13+1,1))</f>
        <v>#N/A</v>
      </c>
      <c r="CZ99" s="58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3.0909090909090908</v>
      </c>
      <c r="DO99" s="13">
        <f>IF('Données projet'!$A$166&gt;35,DO98+DN99-DW98,IF(A99&lt;'Données projet'!$A$166,$DL$205^A99,IF(A99='Données projet'!$A$166,'Données projet'!$B$166,DO98+DN99-DW98)))</f>
        <v>212.48484848484867</v>
      </c>
      <c r="DP99" s="18">
        <f>DO99*VLOOKUP('Données projet'!$B$14,Paramètres!$A$1:$I$89,3,0)*VLOOKUP('Données projet'!$B$14,Paramètres!$A$1:$I$89,5,0)</f>
        <v>202.200581818182</v>
      </c>
      <c r="DQ99" s="14">
        <f t="shared" si="97"/>
        <v>50.227480568543712</v>
      </c>
      <c r="DR99" s="22">
        <f t="shared" si="70"/>
        <v>439.64554199021399</v>
      </c>
      <c r="DS99" s="58">
        <f t="shared" si="71"/>
        <v>732.9788753235473</v>
      </c>
      <c r="DT99" s="58">
        <f ca="1">AVERAGE(OFFSET($DS$3,0,0,'Données projet'!$E$14+1,1))-AVERAGE(OFFSET($H$3,0,0,'Données projet'!$E$14+1,1))</f>
        <v>332.49889399440514</v>
      </c>
      <c r="DU99" s="58">
        <f t="shared" si="98"/>
        <v>256.06044006790529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4.1025641025640995</v>
      </c>
      <c r="EJ99" s="13">
        <f>IF('Données projet'!$A$192&gt;35,EJ98+EI99-ER98,IF(A99&lt;'Données projet'!$A$192,$EG$205^A99,IF(A99='Données projet'!$A$192,'Données projet'!$B$192,EJ98+EI99-ER98)))</f>
        <v>359.23076923076945</v>
      </c>
      <c r="EK99" s="18">
        <f>EJ99*VLOOKUP('Données projet'!$B$15,Paramètres!$A$1:$I$89,3,0)*VLOOKUP('Données projet'!$B$15,Paramètres!$A$1:$I$89,5,0)</f>
        <v>375.46800000000025</v>
      </c>
      <c r="EL99" s="14">
        <f t="shared" si="99"/>
        <v>86.785007475774094</v>
      </c>
      <c r="EM99" s="22">
        <f t="shared" si="73"/>
        <v>805.09065468697361</v>
      </c>
      <c r="EN99" s="58">
        <f t="shared" si="74"/>
        <v>1098.423988020307</v>
      </c>
      <c r="EO99" s="58">
        <f ca="1">AVERAGE(OFFSET($EN$3,0,0,'Données projet'!$E$15+1,1))-AVERAGE(OFFSET($H$3,0,0,'Données projet'!$E$15+1,1))</f>
        <v>596.00698505207174</v>
      </c>
      <c r="EP99" s="58">
        <f t="shared" si="100"/>
        <v>378.16197659288338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7.5015384615384617</v>
      </c>
      <c r="FE99" s="13">
        <f>IF('Données projet'!$A$218&gt;35,FE98+FD99-FM98,IF(A99&lt;'Données projet'!$A$218,$FB$205^A99,IF(A99='Données projet'!$A$218,'Données projet'!$B$218,FE98+FD99-FM98)))</f>
        <v>242.20153846153858</v>
      </c>
      <c r="FF99" s="18">
        <f>FE99*VLOOKUP('Données projet'!$B$16,Paramètres!$A$1:$I$89,3,0)*VLOOKUP('Données projet'!$B$16,Paramètres!$A$1:$I$89,5,0)</f>
        <v>113.35032000000005</v>
      </c>
      <c r="FG99" s="14">
        <f t="shared" si="101"/>
        <v>30.118962463528121</v>
      </c>
      <c r="FH99" s="22">
        <f t="shared" si="76"/>
        <v>249.87566695731155</v>
      </c>
      <c r="FI99" s="58">
        <f t="shared" si="77"/>
        <v>543.20900029064489</v>
      </c>
      <c r="FJ99" s="58">
        <f ca="1">AVERAGE(OFFSET($FI$3,0,0,'Données projet'!$E$16+1,1))-AVERAGE(OFFSET($H$3,0,0,'Données projet'!$E$16+1,1))</f>
        <v>294.31042006404056</v>
      </c>
      <c r="FK99" s="58">
        <f t="shared" si="102"/>
        <v>260.93767498478502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3.9743589743589838</v>
      </c>
      <c r="FZ99" s="13">
        <f>IF('Données projet'!$A$244&gt;35,FZ98+FY99-GH98,IF(A99&lt;'Données projet'!$A$244,$FW$205^A99,IF(A99='Données projet'!$A$244,'Données projet'!$B$244,FZ98+FY99-GH98)))</f>
        <v>339.23076923076928</v>
      </c>
      <c r="GA99" s="18">
        <f>FZ99*VLOOKUP('Données projet'!$B$17,Paramètres!$A$1:$I$89,3,0)*VLOOKUP('Données projet'!$B$17,Paramètres!$A$1:$I$89,5,0)</f>
        <v>227.55600000000004</v>
      </c>
      <c r="GB99" s="14">
        <f t="shared" si="103"/>
        <v>55.753903477108544</v>
      </c>
      <c r="GC99" s="22">
        <f t="shared" si="79"/>
        <v>493.43141522263085</v>
      </c>
      <c r="GD99" s="58">
        <f t="shared" si="80"/>
        <v>786.76474855596416</v>
      </c>
      <c r="GE99" s="58">
        <f ca="1">AVERAGE(OFFSET($GD$3,0,0,'Données projet'!$E$17+1,1))-AVERAGE(OFFSET($H$3,0,0,'Données projet'!$E$17+1,1))</f>
        <v>362.1372269575329</v>
      </c>
      <c r="GF99" s="58">
        <f t="shared" si="104"/>
        <v>308.1559670593121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58" t="e">
        <f t="shared" si="83"/>
        <v>#N/A</v>
      </c>
      <c r="GZ99" s="58" t="e">
        <f ca="1">AVERAGE(OFFSET($GY$3,0,0,'Données projet'!$E$18+1,1))-AVERAGE(OFFSET($H$3,0,0,'Données projet'!$E$18+1,1))</f>
        <v>#N/A</v>
      </c>
      <c r="HA99" s="58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0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3">
        <f t="shared" si="56"/>
        <v>256.66666666666669</v>
      </c>
      <c r="I100" s="6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287.59999999999997</v>
      </c>
      <c r="O100" s="14">
        <f>N100*VLOOKUP('Données projet'!$B$9,Paramètres!$A$1:$I$89,3,0)*VLOOKUP('Données projet'!$B$9,Paramètres!$A$1:$I$89,5,0)</f>
        <v>291.62639999999999</v>
      </c>
      <c r="P100" s="14">
        <f t="shared" si="87"/>
        <v>69.418153561684136</v>
      </c>
      <c r="Q100" s="22">
        <f t="shared" si="107"/>
        <v>628.81926411993311</v>
      </c>
      <c r="R100" s="58">
        <f t="shared" si="55"/>
        <v>922.15259745326648</v>
      </c>
      <c r="S100" s="58">
        <f ca="1">AVERAGE(OFFSET($R$3,0,0,'Données projet'!$E$9+1,1))-AVERAGE(OFFSET($H$3,0,0,'Données projet'!$E$9+1,1))</f>
        <v>483.15009705023641</v>
      </c>
      <c r="T100" s="58">
        <f t="shared" si="88"/>
        <v>254.25036207346591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287.59999999999997</v>
      </c>
      <c r="AJ100" s="14">
        <f>AI100*VLOOKUP('Données projet'!$B$10,Paramètres!$A$1:$I$89,3,0)*VLOOKUP('Données projet'!$B$10,Paramètres!$A$1:$I$89,5,0)</f>
        <v>260.22047999999995</v>
      </c>
      <c r="AK100" s="14">
        <f t="shared" si="89"/>
        <v>62.769373063603602</v>
      </c>
      <c r="AL100" s="22">
        <f t="shared" si="58"/>
        <v>562.54066075244293</v>
      </c>
      <c r="AM100" s="58">
        <f t="shared" si="59"/>
        <v>855.8739940857763</v>
      </c>
      <c r="AN100" s="58">
        <f ca="1">AVERAGE(OFFSET($AM$3,0,0,'Données projet'!$E$10+1,1))-AVERAGE(OFFSET($H$3,0,0,'Données projet'!$E$10+1,1))</f>
        <v>435.7095890216213</v>
      </c>
      <c r="AO100" s="58">
        <f t="shared" si="90"/>
        <v>231.36959598460686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-4.9658410716801891E-14</v>
      </c>
      <c r="BF100" s="14" t="e">
        <f t="shared" si="91"/>
        <v>#NUM!</v>
      </c>
      <c r="BG100" s="22" t="e">
        <f t="shared" si="61"/>
        <v>#NUM!</v>
      </c>
      <c r="BH100" s="58" t="e">
        <f t="shared" si="62"/>
        <v>#NUM!</v>
      </c>
      <c r="BI100" s="58">
        <f ca="1">AVERAGE(OFFSET($BH$3,0,0,'Données projet'!$E$11+1,1))-AVERAGE(OFFSET($H$3,0,0,'Données projet'!$E$11+1,1))</f>
        <v>218.76424742311815</v>
      </c>
      <c r="BJ100" s="58">
        <f t="shared" si="92"/>
        <v>264.34598683038593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0.62148241524963421</v>
      </c>
      <c r="BQ100" s="23">
        <f>EXP(-LN(2)/25)*BQ99+(1-EXP(-LN(2)/25))/(LN(2)/25)*Calculateur!BL100*Calculateur!BN100*VLOOKUP('Données projet'!$B$11,Paramètres!$A$1:$I$89,3,0)*0.475*44/12</f>
        <v>0.68105466305592577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1.3025370783055599</v>
      </c>
      <c r="BT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3.4</v>
      </c>
      <c r="BY100" s="13">
        <f>IF('Données projet'!$A$114&gt;35,BY99+BX100-CG99,IF(A100&lt;'Données projet'!$A$114,$BV$205^A100,IF(A100='Données projet'!$A$114,'Données projet'!$B$114,BY99+BX100-CG99)))</f>
        <v>204.8</v>
      </c>
      <c r="BZ100" s="14">
        <f>BY100*VLOOKUP('Données projet'!$B$12,Paramètres!$A$1:$I$89,3,0)*VLOOKUP('Données projet'!$B$12,Paramètres!$A$1:$I$89,5,0)</f>
        <v>198.08256</v>
      </c>
      <c r="CA100" s="14">
        <f t="shared" si="93"/>
        <v>49.32253647732152</v>
      </c>
      <c r="CB100" s="22">
        <f t="shared" si="64"/>
        <v>430.89720969800169</v>
      </c>
      <c r="CC100" s="58">
        <f t="shared" si="65"/>
        <v>724.23054303133495</v>
      </c>
      <c r="CD100" s="58">
        <f ca="1">AVERAGE(OFFSET($CC$3,0,0,'Données projet'!$E$12+1,1))-AVERAGE(OFFSET($H$3,0,0,'Données projet'!$E$12+1,1))</f>
        <v>343.86347628565426</v>
      </c>
      <c r="CE100" s="58">
        <f t="shared" si="94"/>
        <v>129.28196646107097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58" t="e">
        <f t="shared" si="68"/>
        <v>#N/A</v>
      </c>
      <c r="CY100" s="58" t="e">
        <f ca="1">AVERAGE(OFFSET($CX$3,0,0,'Données projet'!$E$13+1,1))-AVERAGE(OFFSET($H$3,0,0,'Données projet'!$E$13+1,1))</f>
        <v>#N/A</v>
      </c>
      <c r="CZ100" s="58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3.0909090909090908</v>
      </c>
      <c r="DO100" s="13">
        <f>IF('Données projet'!$A$166&gt;35,DO99+DN100-DW99,IF(A100&lt;'Données projet'!$A$166,$DL$205^A100,IF(A100='Données projet'!$A$166,'Données projet'!$B$166,DO99+DN100-DW99)))</f>
        <v>215.57575757575776</v>
      </c>
      <c r="DP100" s="18">
        <f>DO100*VLOOKUP('Données projet'!$B$14,Paramètres!$A$1:$I$89,3,0)*VLOOKUP('Données projet'!$B$14,Paramètres!$A$1:$I$89,5,0)</f>
        <v>205.1418909090911</v>
      </c>
      <c r="DQ100" s="14">
        <f t="shared" si="97"/>
        <v>50.872524822199971</v>
      </c>
      <c r="DR100" s="22">
        <f t="shared" si="70"/>
        <v>445.8917740653319</v>
      </c>
      <c r="DS100" s="58">
        <f t="shared" si="71"/>
        <v>739.22510739866516</v>
      </c>
      <c r="DT100" s="58">
        <f ca="1">AVERAGE(OFFSET($DS$3,0,0,'Données projet'!$E$14+1,1))-AVERAGE(OFFSET($H$3,0,0,'Données projet'!$E$14+1,1))</f>
        <v>332.49889399440514</v>
      </c>
      <c r="DU100" s="58">
        <f t="shared" si="98"/>
        <v>256.06044006790529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4.1025641025640995</v>
      </c>
      <c r="EJ100" s="13">
        <f>IF('Données projet'!$A$192&gt;35,EJ99+EI100-ER99,IF(A100&lt;'Données projet'!$A$192,$EG$205^A100,IF(A100='Données projet'!$A$192,'Données projet'!$B$192,EJ99+EI100-ER99)))</f>
        <v>363.33333333333354</v>
      </c>
      <c r="EK100" s="18">
        <f>EJ100*VLOOKUP('Données projet'!$B$15,Paramètres!$A$1:$I$89,3,0)*VLOOKUP('Données projet'!$B$15,Paramètres!$A$1:$I$89,5,0)</f>
        <v>379.75600000000026</v>
      </c>
      <c r="EL100" s="14">
        <f t="shared" si="99"/>
        <v>87.660182111279411</v>
      </c>
      <c r="EM100" s="22">
        <f t="shared" si="73"/>
        <v>814.08318384381209</v>
      </c>
      <c r="EN100" s="58">
        <f t="shared" si="74"/>
        <v>1107.4165171771454</v>
      </c>
      <c r="EO100" s="58">
        <f ca="1">AVERAGE(OFFSET($EN$3,0,0,'Données projet'!$E$15+1,1))-AVERAGE(OFFSET($H$3,0,0,'Données projet'!$E$15+1,1))</f>
        <v>596.00698505207174</v>
      </c>
      <c r="EP100" s="58">
        <f t="shared" si="100"/>
        <v>378.16197659288338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7.5015384615384617</v>
      </c>
      <c r="FE100" s="13">
        <f>IF('Données projet'!$A$218&gt;35,FE99+FD100-FM99,IF(A100&lt;'Données projet'!$A$218,$FB$205^A100,IF(A100='Données projet'!$A$218,'Données projet'!$B$218,FE99+FD100-FM99)))</f>
        <v>249.70307692307705</v>
      </c>
      <c r="FF100" s="18">
        <f>FE100*VLOOKUP('Données projet'!$B$16,Paramètres!$A$1:$I$89,3,0)*VLOOKUP('Données projet'!$B$16,Paramètres!$A$1:$I$89,5,0)</f>
        <v>116.86104000000006</v>
      </c>
      <c r="FG100" s="14">
        <f t="shared" si="101"/>
        <v>30.941762857231797</v>
      </c>
      <c r="FH100" s="22">
        <f t="shared" si="76"/>
        <v>257.42321497634543</v>
      </c>
      <c r="FI100" s="58">
        <f t="shared" si="77"/>
        <v>550.75654830967869</v>
      </c>
      <c r="FJ100" s="58">
        <f ca="1">AVERAGE(OFFSET($FI$3,0,0,'Données projet'!$E$16+1,1))-AVERAGE(OFFSET($H$3,0,0,'Données projet'!$E$16+1,1))</f>
        <v>294.31042006404056</v>
      </c>
      <c r="FK100" s="58">
        <f t="shared" si="102"/>
        <v>260.93767498478502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3.9743589743589838</v>
      </c>
      <c r="FZ100" s="13">
        <f>IF('Données projet'!$A$244&gt;35,FZ99+FY100-GH99,IF(A100&lt;'Données projet'!$A$244,$FW$205^A100,IF(A100='Données projet'!$A$244,'Données projet'!$B$244,FZ99+FY100-GH99)))</f>
        <v>343.20512820512829</v>
      </c>
      <c r="GA100" s="18">
        <f>FZ100*VLOOKUP('Données projet'!$B$17,Paramètres!$A$1:$I$89,3,0)*VLOOKUP('Données projet'!$B$17,Paramètres!$A$1:$I$89,5,0)</f>
        <v>230.22200000000004</v>
      </c>
      <c r="GB100" s="14">
        <f t="shared" si="103"/>
        <v>56.330680425949346</v>
      </c>
      <c r="GC100" s="22">
        <f t="shared" si="79"/>
        <v>499.07925174186192</v>
      </c>
      <c r="GD100" s="58">
        <f t="shared" si="80"/>
        <v>792.41258507519524</v>
      </c>
      <c r="GE100" s="58">
        <f ca="1">AVERAGE(OFFSET($GD$3,0,0,'Données projet'!$E$17+1,1))-AVERAGE(OFFSET($H$3,0,0,'Données projet'!$E$17+1,1))</f>
        <v>362.1372269575329</v>
      </c>
      <c r="GF100" s="58">
        <f t="shared" si="104"/>
        <v>308.1559670593121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58" t="e">
        <f t="shared" si="83"/>
        <v>#N/A</v>
      </c>
      <c r="GZ100" s="58" t="e">
        <f ca="1">AVERAGE(OFFSET($GY$3,0,0,'Données projet'!$E$18+1,1))-AVERAGE(OFFSET($H$3,0,0,'Données projet'!$E$18+1,1))</f>
        <v>#N/A</v>
      </c>
      <c r="HA100" s="58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0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3">
        <f t="shared" si="56"/>
        <v>256.66666666666669</v>
      </c>
      <c r="I101" s="6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292.39999999999998</v>
      </c>
      <c r="O101" s="14">
        <f>N101*VLOOKUP('Données projet'!$B$9,Paramètres!$A$1:$I$89,3,0)*VLOOKUP('Données projet'!$B$9,Paramètres!$A$1:$I$89,5,0)</f>
        <v>296.49360000000001</v>
      </c>
      <c r="P101" s="14">
        <f t="shared" si="87"/>
        <v>70.44088513559764</v>
      </c>
      <c r="Q101" s="22">
        <f t="shared" si="107"/>
        <v>639.07756161116583</v>
      </c>
      <c r="R101" s="58">
        <f t="shared" si="55"/>
        <v>932.4108949444992</v>
      </c>
      <c r="S101" s="58">
        <f ca="1">AVERAGE(OFFSET($R$3,0,0,'Données projet'!$E$9+1,1))-AVERAGE(OFFSET($H$3,0,0,'Données projet'!$E$9+1,1))</f>
        <v>483.15009705023641</v>
      </c>
      <c r="T101" s="58">
        <f t="shared" si="88"/>
        <v>254.25036207346591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292.39999999999998</v>
      </c>
      <c r="AJ101" s="14">
        <f>AI101*VLOOKUP('Données projet'!$B$10,Paramètres!$A$1:$I$89,3,0)*VLOOKUP('Données projet'!$B$10,Paramètres!$A$1:$I$89,5,0)</f>
        <v>264.56351999999998</v>
      </c>
      <c r="AK101" s="14">
        <f t="shared" si="89"/>
        <v>63.694148737013862</v>
      </c>
      <c r="AL101" s="22">
        <f t="shared" si="58"/>
        <v>571.71543971696565</v>
      </c>
      <c r="AM101" s="58">
        <f t="shared" si="59"/>
        <v>865.04877305029891</v>
      </c>
      <c r="AN101" s="58">
        <f ca="1">AVERAGE(OFFSET($AM$3,0,0,'Données projet'!$E$10+1,1))-AVERAGE(OFFSET($H$3,0,0,'Données projet'!$E$10+1,1))</f>
        <v>435.7095890216213</v>
      </c>
      <c r="AO101" s="58">
        <f t="shared" si="90"/>
        <v>231.36959598460686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-4.9658410716801891E-14</v>
      </c>
      <c r="BF101" s="14" t="e">
        <f t="shared" si="91"/>
        <v>#NUM!</v>
      </c>
      <c r="BG101" s="22" t="e">
        <f t="shared" si="61"/>
        <v>#NUM!</v>
      </c>
      <c r="BH101" s="58" t="e">
        <f t="shared" si="62"/>
        <v>#NUM!</v>
      </c>
      <c r="BI101" s="58">
        <f ca="1">AVERAGE(OFFSET($BH$3,0,0,'Données projet'!$E$11+1,1))-AVERAGE(OFFSET($H$3,0,0,'Données projet'!$E$11+1,1))</f>
        <v>218.76424742311815</v>
      </c>
      <c r="BJ101" s="58">
        <f t="shared" si="92"/>
        <v>264.34598683038593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0.60929552415343247</v>
      </c>
      <c r="BQ101" s="23">
        <f>EXP(-LN(2)/25)*BQ100+(1-EXP(-LN(2)/25))/(LN(2)/25)*Calculateur!BL101*Calculateur!BN101*VLOOKUP('Données projet'!$B$11,Paramètres!$A$1:$I$89,3,0)*0.475*44/12</f>
        <v>0.66243118747955332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1.2717267116329858</v>
      </c>
      <c r="BT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3.4</v>
      </c>
      <c r="BY101" s="13">
        <f>IF('Données projet'!$A$114&gt;35,BY100+BX101-CG100,IF(A101&lt;'Données projet'!$A$114,$BV$205^A101,IF(A101='Données projet'!$A$114,'Données projet'!$B$114,BY100+BX101-CG100)))</f>
        <v>208.20000000000002</v>
      </c>
      <c r="BZ101" s="14">
        <f>BY101*VLOOKUP('Données projet'!$B$12,Paramètres!$A$1:$I$89,3,0)*VLOOKUP('Données projet'!$B$12,Paramètres!$A$1:$I$89,5,0)</f>
        <v>201.37104000000002</v>
      </c>
      <c r="CA101" s="14">
        <f t="shared" si="93"/>
        <v>50.045360910017799</v>
      </c>
      <c r="CB101" s="22">
        <f t="shared" si="64"/>
        <v>437.88356491828102</v>
      </c>
      <c r="CC101" s="58">
        <f t="shared" si="65"/>
        <v>731.21689825161434</v>
      </c>
      <c r="CD101" s="58">
        <f ca="1">AVERAGE(OFFSET($CC$3,0,0,'Données projet'!$E$12+1,1))-AVERAGE(OFFSET($H$3,0,0,'Données projet'!$E$12+1,1))</f>
        <v>343.86347628565426</v>
      </c>
      <c r="CE101" s="58">
        <f t="shared" si="94"/>
        <v>129.28196646107097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58" t="e">
        <f t="shared" si="68"/>
        <v>#N/A</v>
      </c>
      <c r="CY101" s="58" t="e">
        <f ca="1">AVERAGE(OFFSET($CX$3,0,0,'Données projet'!$E$13+1,1))-AVERAGE(OFFSET($H$3,0,0,'Données projet'!$E$13+1,1))</f>
        <v>#N/A</v>
      </c>
      <c r="CZ101" s="58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3.0909090909090908</v>
      </c>
      <c r="DO101" s="13">
        <f>IF('Données projet'!$A$166&gt;35,DO100+DN101-DW100,IF(A101&lt;'Données projet'!$A$166,$DL$205^A101,IF(A101='Données projet'!$A$166,'Données projet'!$B$166,DO100+DN101-DW100)))</f>
        <v>218.66666666666686</v>
      </c>
      <c r="DP101" s="18">
        <f>DO101*VLOOKUP('Données projet'!$B$14,Paramètres!$A$1:$I$89,3,0)*VLOOKUP('Données projet'!$B$14,Paramètres!$A$1:$I$89,5,0)</f>
        <v>208.08320000000018</v>
      </c>
      <c r="DQ101" s="14">
        <f t="shared" si="97"/>
        <v>51.516493398115252</v>
      </c>
      <c r="DR101" s="22">
        <f t="shared" si="70"/>
        <v>452.13613266838439</v>
      </c>
      <c r="DS101" s="58">
        <f t="shared" si="71"/>
        <v>745.46946600171771</v>
      </c>
      <c r="DT101" s="58">
        <f ca="1">AVERAGE(OFFSET($DS$3,0,0,'Données projet'!$E$14+1,1))-AVERAGE(OFFSET($H$3,0,0,'Données projet'!$E$14+1,1))</f>
        <v>332.49889399440514</v>
      </c>
      <c r="DU101" s="58">
        <f t="shared" si="98"/>
        <v>256.06044006790529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4.1025641025640995</v>
      </c>
      <c r="EJ101" s="13">
        <f>IF('Données projet'!$A$192&gt;35,EJ100+EI101-ER100,IF(A101&lt;'Données projet'!$A$192,$EG$205^A101,IF(A101='Données projet'!$A$192,'Données projet'!$B$192,EJ100+EI101-ER100)))</f>
        <v>367.43589743589763</v>
      </c>
      <c r="EK101" s="18">
        <f>EJ101*VLOOKUP('Données projet'!$B$15,Paramètres!$A$1:$I$89,3,0)*VLOOKUP('Données projet'!$B$15,Paramètres!$A$1:$I$89,5,0)</f>
        <v>384.04400000000021</v>
      </c>
      <c r="EL101" s="14">
        <f t="shared" si="99"/>
        <v>88.534207211718865</v>
      </c>
      <c r="EM101" s="22">
        <f t="shared" si="73"/>
        <v>823.07371089374408</v>
      </c>
      <c r="EN101" s="58">
        <f t="shared" si="74"/>
        <v>1116.4070442270774</v>
      </c>
      <c r="EO101" s="58">
        <f ca="1">AVERAGE(OFFSET($EN$3,0,0,'Données projet'!$E$15+1,1))-AVERAGE(OFFSET($H$3,0,0,'Données projet'!$E$15+1,1))</f>
        <v>596.00698505207174</v>
      </c>
      <c r="EP101" s="58">
        <f t="shared" si="100"/>
        <v>378.16197659288338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7.5015384615384617</v>
      </c>
      <c r="FE101" s="13">
        <f>IF('Données projet'!$A$218&gt;35,FE100+FD101-FM100,IF(A101&lt;'Données projet'!$A$218,$FB$205^A101,IF(A101='Données projet'!$A$218,'Données projet'!$B$218,FE100+FD101-FM100)))</f>
        <v>257.20461538461552</v>
      </c>
      <c r="FF101" s="18">
        <f>FE101*VLOOKUP('Données projet'!$B$16,Paramètres!$A$1:$I$89,3,0)*VLOOKUP('Données projet'!$B$16,Paramètres!$A$1:$I$89,5,0)</f>
        <v>120.37176000000007</v>
      </c>
      <c r="FG101" s="14">
        <f t="shared" si="101"/>
        <v>31.761690593555841</v>
      </c>
      <c r="FH101" s="22">
        <f t="shared" si="76"/>
        <v>264.96575978377649</v>
      </c>
      <c r="FI101" s="58">
        <f t="shared" si="77"/>
        <v>558.29909311710981</v>
      </c>
      <c r="FJ101" s="58">
        <f ca="1">AVERAGE(OFFSET($FI$3,0,0,'Données projet'!$E$16+1,1))-AVERAGE(OFFSET($H$3,0,0,'Données projet'!$E$16+1,1))</f>
        <v>294.31042006404056</v>
      </c>
      <c r="FK101" s="58">
        <f t="shared" si="102"/>
        <v>260.93767498478502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3.9743589743589838</v>
      </c>
      <c r="FZ101" s="13">
        <f>IF('Données projet'!$A$244&gt;35,FZ100+FY101-GH100,IF(A101&lt;'Données projet'!$A$244,$FW$205^A101,IF(A101='Données projet'!$A$244,'Données projet'!$B$244,FZ100+FY101-GH100)))</f>
        <v>347.1794871794873</v>
      </c>
      <c r="GA101" s="18">
        <f>FZ101*VLOOKUP('Données projet'!$B$17,Paramètres!$A$1:$I$89,3,0)*VLOOKUP('Données projet'!$B$17,Paramètres!$A$1:$I$89,5,0)</f>
        <v>232.88800000000009</v>
      </c>
      <c r="GB101" s="14">
        <f t="shared" si="103"/>
        <v>56.906680427068601</v>
      </c>
      <c r="GC101" s="22">
        <f t="shared" si="79"/>
        <v>504.72573507714452</v>
      </c>
      <c r="GD101" s="58">
        <f t="shared" si="80"/>
        <v>798.05906841047783</v>
      </c>
      <c r="GE101" s="58">
        <f ca="1">AVERAGE(OFFSET($GD$3,0,0,'Données projet'!$E$17+1,1))-AVERAGE(OFFSET($H$3,0,0,'Données projet'!$E$17+1,1))</f>
        <v>362.1372269575329</v>
      </c>
      <c r="GF101" s="58">
        <f t="shared" si="104"/>
        <v>308.1559670593121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58" t="e">
        <f t="shared" si="83"/>
        <v>#N/A</v>
      </c>
      <c r="GZ101" s="58" t="e">
        <f ca="1">AVERAGE(OFFSET($GY$3,0,0,'Données projet'!$E$18+1,1))-AVERAGE(OFFSET($H$3,0,0,'Données projet'!$E$18+1,1))</f>
        <v>#N/A</v>
      </c>
      <c r="HA101" s="58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0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3">
        <f t="shared" si="56"/>
        <v>256.66666666666669</v>
      </c>
      <c r="I102" s="6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297.2</v>
      </c>
      <c r="O102" s="14">
        <f>N102*VLOOKUP('Données projet'!$B$9,Paramètres!$A$1:$I$89,3,0)*VLOOKUP('Données projet'!$B$9,Paramètres!$A$1:$I$89,5,0)</f>
        <v>301.36080000000004</v>
      </c>
      <c r="P102" s="14">
        <f t="shared" si="87"/>
        <v>71.461664239932986</v>
      </c>
      <c r="Q102" s="22">
        <f t="shared" si="107"/>
        <v>649.33245855121663</v>
      </c>
      <c r="R102" s="58">
        <f t="shared" si="55"/>
        <v>942.66579188454989</v>
      </c>
      <c r="S102" s="58">
        <f ca="1">AVERAGE(OFFSET($R$3,0,0,'Données projet'!$E$9+1,1))-AVERAGE(OFFSET($H$3,0,0,'Données projet'!$E$9+1,1))</f>
        <v>483.15009705023641</v>
      </c>
      <c r="T102" s="58">
        <f t="shared" si="88"/>
        <v>254.25036207346591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297.2</v>
      </c>
      <c r="AJ102" s="14">
        <f>AI102*VLOOKUP('Données projet'!$B$10,Paramètres!$A$1:$I$89,3,0)*VLOOKUP('Données projet'!$B$10,Paramètres!$A$1:$I$89,5,0)</f>
        <v>268.90655999999996</v>
      </c>
      <c r="AK102" s="14">
        <f t="shared" si="89"/>
        <v>64.617158945843769</v>
      </c>
      <c r="AL102" s="22">
        <f t="shared" si="58"/>
        <v>580.88714383067781</v>
      </c>
      <c r="AM102" s="58">
        <f t="shared" si="59"/>
        <v>874.22047716401107</v>
      </c>
      <c r="AN102" s="58">
        <f ca="1">AVERAGE(OFFSET($AM$3,0,0,'Données projet'!$E$10+1,1))-AVERAGE(OFFSET($H$3,0,0,'Données projet'!$E$10+1,1))</f>
        <v>435.7095890216213</v>
      </c>
      <c r="AO102" s="58">
        <f t="shared" si="90"/>
        <v>231.36959598460686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-4.9658410716801891E-14</v>
      </c>
      <c r="BF102" s="14" t="e">
        <f t="shared" si="91"/>
        <v>#NUM!</v>
      </c>
      <c r="BG102" s="22" t="e">
        <f t="shared" si="61"/>
        <v>#NUM!</v>
      </c>
      <c r="BH102" s="58" t="e">
        <f t="shared" si="62"/>
        <v>#NUM!</v>
      </c>
      <c r="BI102" s="58">
        <f ca="1">AVERAGE(OFFSET($BH$3,0,0,'Données projet'!$E$11+1,1))-AVERAGE(OFFSET($H$3,0,0,'Données projet'!$E$11+1,1))</f>
        <v>218.76424742311815</v>
      </c>
      <c r="BJ102" s="58">
        <f t="shared" si="92"/>
        <v>264.34598683038593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0.59734761055835761</v>
      </c>
      <c r="BQ102" s="23">
        <f>EXP(-LN(2)/25)*BQ101+(1-EXP(-LN(2)/25))/(LN(2)/25)*Calculateur!BL102*Calculateur!BN102*VLOOKUP('Données projet'!$B$11,Paramètres!$A$1:$I$89,3,0)*0.475*44/12</f>
        <v>0.64431697182218284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1.2416645823805403</v>
      </c>
      <c r="BT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3.4</v>
      </c>
      <c r="BY102" s="13">
        <f>IF('Données projet'!$A$114&gt;35,BY101+BX102-CG101,IF(A102&lt;'Données projet'!$A$114,$BV$205^A102,IF(A102='Données projet'!$A$114,'Données projet'!$B$114,BY101+BX102-CG101)))</f>
        <v>211.60000000000002</v>
      </c>
      <c r="BZ102" s="14">
        <f>BY102*VLOOKUP('Données projet'!$B$12,Paramètres!$A$1:$I$89,3,0)*VLOOKUP('Données projet'!$B$12,Paramètres!$A$1:$I$89,5,0)</f>
        <v>204.65952000000001</v>
      </c>
      <c r="CA102" s="14">
        <f t="shared" si="93"/>
        <v>50.766812591921394</v>
      </c>
      <c r="CB102" s="22">
        <f t="shared" si="64"/>
        <v>444.86752926426311</v>
      </c>
      <c r="CC102" s="58">
        <f t="shared" si="65"/>
        <v>738.20086259759637</v>
      </c>
      <c r="CD102" s="58">
        <f ca="1">AVERAGE(OFFSET($CC$3,0,0,'Données projet'!$E$12+1,1))-AVERAGE(OFFSET($H$3,0,0,'Données projet'!$E$12+1,1))</f>
        <v>343.86347628565426</v>
      </c>
      <c r="CE102" s="58">
        <f t="shared" si="94"/>
        <v>129.28196646107097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58" t="e">
        <f t="shared" si="68"/>
        <v>#N/A</v>
      </c>
      <c r="CY102" s="58" t="e">
        <f ca="1">AVERAGE(OFFSET($CX$3,0,0,'Données projet'!$E$13+1,1))-AVERAGE(OFFSET($H$3,0,0,'Données projet'!$E$13+1,1))</f>
        <v>#N/A</v>
      </c>
      <c r="CZ102" s="58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3.0909090909090908</v>
      </c>
      <c r="DO102" s="13">
        <f>IF('Données projet'!$A$166&gt;35,DO101+DN102-DW101,IF(A102&lt;'Données projet'!$A$166,$DL$205^A102,IF(A102='Données projet'!$A$166,'Données projet'!$B$166,DO101+DN102-DW101)))</f>
        <v>221.75757575757595</v>
      </c>
      <c r="DP102" s="18">
        <f>DO102*VLOOKUP('Données projet'!$B$14,Paramètres!$A$1:$I$89,3,0)*VLOOKUP('Données projet'!$B$14,Paramètres!$A$1:$I$89,5,0)</f>
        <v>211.02450909090928</v>
      </c>
      <c r="DQ102" s="14">
        <f t="shared" si="97"/>
        <v>52.159403258308068</v>
      </c>
      <c r="DR102" s="22">
        <f t="shared" si="70"/>
        <v>458.37864734155352</v>
      </c>
      <c r="DS102" s="58">
        <f t="shared" si="71"/>
        <v>751.71198067488683</v>
      </c>
      <c r="DT102" s="58">
        <f ca="1">AVERAGE(OFFSET($DS$3,0,0,'Données projet'!$E$14+1,1))-AVERAGE(OFFSET($H$3,0,0,'Données projet'!$E$14+1,1))</f>
        <v>332.49889399440514</v>
      </c>
      <c r="DU102" s="58">
        <f t="shared" si="98"/>
        <v>256.06044006790529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4.1025641025640995</v>
      </c>
      <c r="EJ102" s="13">
        <f>IF('Données projet'!$A$192&gt;35,EJ101+EI102-ER101,IF(A102&lt;'Données projet'!$A$192,$EG$205^A102,IF(A102='Données projet'!$A$192,'Données projet'!$B$192,EJ101+EI102-ER101)))</f>
        <v>371.53846153846172</v>
      </c>
      <c r="EK102" s="18">
        <f>EJ102*VLOOKUP('Données projet'!$B$15,Paramètres!$A$1:$I$89,3,0)*VLOOKUP('Données projet'!$B$15,Paramètres!$A$1:$I$89,5,0)</f>
        <v>388.33200000000022</v>
      </c>
      <c r="EL102" s="14">
        <f t="shared" si="99"/>
        <v>89.407097097381993</v>
      </c>
      <c r="EM102" s="22">
        <f t="shared" si="73"/>
        <v>832.06226077794065</v>
      </c>
      <c r="EN102" s="58">
        <f t="shared" si="74"/>
        <v>1125.395594111274</v>
      </c>
      <c r="EO102" s="58">
        <f ca="1">AVERAGE(OFFSET($EN$3,0,0,'Données projet'!$E$15+1,1))-AVERAGE(OFFSET($H$3,0,0,'Données projet'!$E$15+1,1))</f>
        <v>596.00698505207174</v>
      </c>
      <c r="EP102" s="58">
        <f t="shared" si="100"/>
        <v>378.16197659288338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7.5015384615384617</v>
      </c>
      <c r="FE102" s="13">
        <f>IF('Données projet'!$A$218&gt;35,FE101+FD102-FM101,IF(A102&lt;'Données projet'!$A$218,$FB$205^A102,IF(A102='Données projet'!$A$218,'Données projet'!$B$218,FE101+FD102-FM101)))</f>
        <v>264.706153846154</v>
      </c>
      <c r="FF102" s="18">
        <f>FE102*VLOOKUP('Données projet'!$B$16,Paramètres!$A$1:$I$89,3,0)*VLOOKUP('Données projet'!$B$16,Paramètres!$A$1:$I$89,5,0)</f>
        <v>123.88248000000007</v>
      </c>
      <c r="FG102" s="14">
        <f t="shared" si="101"/>
        <v>32.578839075986679</v>
      </c>
      <c r="FH102" s="22">
        <f t="shared" si="76"/>
        <v>272.50346405734354</v>
      </c>
      <c r="FI102" s="58">
        <f t="shared" si="77"/>
        <v>565.83679739067679</v>
      </c>
      <c r="FJ102" s="58">
        <f ca="1">AVERAGE(OFFSET($FI$3,0,0,'Données projet'!$E$16+1,1))-AVERAGE(OFFSET($H$3,0,0,'Données projet'!$E$16+1,1))</f>
        <v>294.31042006404056</v>
      </c>
      <c r="FK102" s="58">
        <f t="shared" si="102"/>
        <v>260.93767498478502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3.9743589743589838</v>
      </c>
      <c r="FZ102" s="13">
        <f>IF('Données projet'!$A$244&gt;35,FZ101+FY102-GH101,IF(A102&lt;'Données projet'!$A$244,$FW$205^A102,IF(A102='Données projet'!$A$244,'Données projet'!$B$244,FZ101+FY102-GH101)))</f>
        <v>351.1538461538463</v>
      </c>
      <c r="GA102" s="18">
        <f>FZ102*VLOOKUP('Données projet'!$B$17,Paramètres!$A$1:$I$89,3,0)*VLOOKUP('Données projet'!$B$17,Paramètres!$A$1:$I$89,5,0)</f>
        <v>235.55400000000009</v>
      </c>
      <c r="GB102" s="14">
        <f t="shared" si="103"/>
        <v>57.481913403727333</v>
      </c>
      <c r="GC102" s="22">
        <f t="shared" si="79"/>
        <v>510.37088251149186</v>
      </c>
      <c r="GD102" s="58">
        <f t="shared" si="80"/>
        <v>803.70421584482517</v>
      </c>
      <c r="GE102" s="58">
        <f ca="1">AVERAGE(OFFSET($GD$3,0,0,'Données projet'!$E$17+1,1))-AVERAGE(OFFSET($H$3,0,0,'Données projet'!$E$17+1,1))</f>
        <v>362.1372269575329</v>
      </c>
      <c r="GF102" s="58">
        <f t="shared" si="104"/>
        <v>308.1559670593121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58" t="e">
        <f t="shared" si="83"/>
        <v>#N/A</v>
      </c>
      <c r="GZ102" s="58" t="e">
        <f ca="1">AVERAGE(OFFSET($GY$3,0,0,'Données projet'!$E$18+1,1))-AVERAGE(OFFSET($H$3,0,0,'Données projet'!$E$18+1,1))</f>
        <v>#N/A</v>
      </c>
      <c r="HA102" s="58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0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3">
        <f t="shared" si="56"/>
        <v>256.66666666666669</v>
      </c>
      <c r="I103" s="6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302</v>
      </c>
      <c r="O103" s="14">
        <f>N103*VLOOKUP('Données projet'!$B$9,Paramètres!$A$1:$I$89,3,0)*VLOOKUP('Données projet'!$B$9,Paramètres!$A$1:$I$89,5,0)</f>
        <v>306.22800000000001</v>
      </c>
      <c r="P103" s="14">
        <f t="shared" si="87"/>
        <v>72.480526049067294</v>
      </c>
      <c r="Q103" s="22">
        <f t="shared" si="107"/>
        <v>659.58401620212555</v>
      </c>
      <c r="R103" s="58">
        <f t="shared" si="55"/>
        <v>952.91734953545892</v>
      </c>
      <c r="S103" s="58">
        <f ca="1">AVERAGE(OFFSET($R$3,0,0,'Données projet'!$E$9+1,1))-AVERAGE(OFFSET($H$3,0,0,'Données projet'!$E$9+1,1))</f>
        <v>483.15009705023641</v>
      </c>
      <c r="T103" s="58">
        <f t="shared" si="88"/>
        <v>254.25036207346591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302</v>
      </c>
      <c r="AJ103" s="14">
        <f>AI103*VLOOKUP('Données projet'!$B$10,Paramètres!$A$1:$I$89,3,0)*VLOOKUP('Données projet'!$B$10,Paramètres!$A$1:$I$89,5,0)</f>
        <v>273.24959999999999</v>
      </c>
      <c r="AK103" s="14">
        <f t="shared" si="89"/>
        <v>65.538435495514321</v>
      </c>
      <c r="AL103" s="22">
        <f t="shared" si="58"/>
        <v>590.05582848802067</v>
      </c>
      <c r="AM103" s="58">
        <f t="shared" si="59"/>
        <v>883.38916182135404</v>
      </c>
      <c r="AN103" s="58">
        <f ca="1">AVERAGE(OFFSET($AM$3,0,0,'Données projet'!$E$10+1,1))-AVERAGE(OFFSET($H$3,0,0,'Données projet'!$E$10+1,1))</f>
        <v>435.7095890216213</v>
      </c>
      <c r="AO103" s="58">
        <f t="shared" si="90"/>
        <v>231.36959598460686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-4.9658410716801891E-14</v>
      </c>
      <c r="BF103" s="14" t="e">
        <f t="shared" si="91"/>
        <v>#NUM!</v>
      </c>
      <c r="BG103" s="22" t="e">
        <f t="shared" si="61"/>
        <v>#NUM!</v>
      </c>
      <c r="BH103" s="58" t="e">
        <f t="shared" si="62"/>
        <v>#NUM!</v>
      </c>
      <c r="BI103" s="58">
        <f ca="1">AVERAGE(OFFSET($BH$3,0,0,'Données projet'!$E$11+1,1))-AVERAGE(OFFSET($H$3,0,0,'Données projet'!$E$11+1,1))</f>
        <v>218.76424742311815</v>
      </c>
      <c r="BJ103" s="58">
        <f t="shared" si="92"/>
        <v>264.34598683038593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0.58563398826137447</v>
      </c>
      <c r="BQ103" s="23">
        <f>EXP(-LN(2)/25)*BQ102+(1-EXP(-LN(2)/25))/(LN(2)/25)*Calculateur!BL103*Calculateur!BN103*VLOOKUP('Données projet'!$B$11,Paramètres!$A$1:$I$89,3,0)*0.475*44/12</f>
        <v>0.62669809034454826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1.2123320786059226</v>
      </c>
      <c r="BT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3.4</v>
      </c>
      <c r="BY103" s="13">
        <f>IF('Données projet'!$A$114&gt;35,BY102+BX103-CG102,IF(A103&lt;'Données projet'!$A$114,$BV$205^A103,IF(A103='Données projet'!$A$114,'Données projet'!$B$114,BY102+BX103-CG102)))</f>
        <v>215.00000000000003</v>
      </c>
      <c r="BZ103" s="14">
        <f>BY103*VLOOKUP('Données projet'!$B$12,Paramètres!$A$1:$I$89,3,0)*VLOOKUP('Données projet'!$B$12,Paramètres!$A$1:$I$89,5,0)</f>
        <v>207.94800000000004</v>
      </c>
      <c r="CA103" s="14">
        <f t="shared" si="93"/>
        <v>51.486916127068838</v>
      </c>
      <c r="CB103" s="22">
        <f t="shared" si="64"/>
        <v>451.84914558797823</v>
      </c>
      <c r="CC103" s="58">
        <f t="shared" si="65"/>
        <v>745.18247892131149</v>
      </c>
      <c r="CD103" s="58">
        <f ca="1">AVERAGE(OFFSET($CC$3,0,0,'Données projet'!$E$12+1,1))-AVERAGE(OFFSET($H$3,0,0,'Données projet'!$E$12+1,1))</f>
        <v>343.86347628565426</v>
      </c>
      <c r="CE103" s="58">
        <f t="shared" si="94"/>
        <v>129.28196646107097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58" t="e">
        <f t="shared" si="68"/>
        <v>#N/A</v>
      </c>
      <c r="CY103" s="58" t="e">
        <f ca="1">AVERAGE(OFFSET($CX$3,0,0,'Données projet'!$E$13+1,1))-AVERAGE(OFFSET($H$3,0,0,'Données projet'!$E$13+1,1))</f>
        <v>#N/A</v>
      </c>
      <c r="CZ103" s="58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224.84848484848487</v>
      </c>
      <c r="DM103" s="13">
        <f>VLOOKUP(A103,'Données projet'!$A$165:$I$185,9,0)</f>
        <v>3.0909090909090908</v>
      </c>
      <c r="DN103" s="13">
        <f t="array" ref="DN103">INDEX(DM:DM,MIN(IF(ISNUMBER(DM103:DM299),ROW(DM103:DM299),"")))</f>
        <v>3.0909090909090908</v>
      </c>
      <c r="DO103" s="13">
        <f>IF('Données projet'!$A$166&gt;35,DO102+DN103-DW102,IF(A103&lt;'Données projet'!$A$166,$DL$205^A103,IF(A103='Données projet'!$A$166,'Données projet'!$B$166,DO102+DN103-DW102)))</f>
        <v>224.84848484848504</v>
      </c>
      <c r="DP103" s="18">
        <f>DO103*VLOOKUP('Données projet'!$B$14,Paramètres!$A$1:$I$89,3,0)*VLOOKUP('Données projet'!$B$14,Paramètres!$A$1:$I$89,5,0)</f>
        <v>213.96581818181838</v>
      </c>
      <c r="DQ103" s="14">
        <f t="shared" si="97"/>
        <v>52.801270864793977</v>
      </c>
      <c r="DR103" s="22">
        <f t="shared" si="70"/>
        <v>464.61934675618312</v>
      </c>
      <c r="DS103" s="58">
        <f t="shared" si="71"/>
        <v>757.95268008951643</v>
      </c>
      <c r="DT103" s="58">
        <f ca="1">AVERAGE(OFFSET($DS$3,0,0,'Données projet'!$E$14+1,1))-AVERAGE(OFFSET($H$3,0,0,'Données projet'!$E$14+1,1))</f>
        <v>332.49889399440514</v>
      </c>
      <c r="DU103" s="58">
        <f t="shared" si="98"/>
        <v>256.06044006790529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21.81818181818182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375.64102564102564</v>
      </c>
      <c r="EH103" s="13">
        <f>VLOOKUP(A103,'Données projet'!$A$191:$I$211,9,0)</f>
        <v>4.1025641025640995</v>
      </c>
      <c r="EI103" s="13">
        <f t="array" ref="EI103">INDEX(EH:EH,MIN(IF(ISNUMBER(EH103:EH299),ROW(EH103:EH299),"")))</f>
        <v>4.1025641025640995</v>
      </c>
      <c r="EJ103" s="13">
        <f>IF('Données projet'!$A$192&gt;35,EJ102+EI103-ER102,IF(A103&lt;'Données projet'!$A$192,$EG$205^A103,IF(A103='Données projet'!$A$192,'Données projet'!$B$192,EJ102+EI103-ER102)))</f>
        <v>375.64102564102581</v>
      </c>
      <c r="EK103" s="18">
        <f>EJ103*VLOOKUP('Données projet'!$B$15,Paramètres!$A$1:$I$89,3,0)*VLOOKUP('Données projet'!$B$15,Paramètres!$A$1:$I$89,5,0)</f>
        <v>392.62000000000018</v>
      </c>
      <c r="EL103" s="14">
        <f t="shared" si="99"/>
        <v>90.278865754094838</v>
      </c>
      <c r="EM103" s="22">
        <f t="shared" si="73"/>
        <v>841.04885785504882</v>
      </c>
      <c r="EN103" s="58">
        <f t="shared" si="74"/>
        <v>1134.3821911883822</v>
      </c>
      <c r="EO103" s="58">
        <f ca="1">AVERAGE(OFFSET($EN$3,0,0,'Données projet'!$E$15+1,1))-AVERAGE(OFFSET($H$3,0,0,'Données projet'!$E$15+1,1))</f>
        <v>596.00698505207174</v>
      </c>
      <c r="EP103" s="58">
        <f t="shared" si="100"/>
        <v>378.16197659288338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24.358974358974358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7.5015384615384617</v>
      </c>
      <c r="FE103" s="13">
        <f>IF('Données projet'!$A$218&gt;35,FE102+FD103-FM102,IF(A103&lt;'Données projet'!$A$218,$FB$205^A103,IF(A103='Données projet'!$A$218,'Données projet'!$B$218,FE102+FD103-FM102)))</f>
        <v>272.20769230769247</v>
      </c>
      <c r="FF103" s="18">
        <f>FE103*VLOOKUP('Données projet'!$B$16,Paramètres!$A$1:$I$89,3,0)*VLOOKUP('Données projet'!$B$16,Paramètres!$A$1:$I$89,5,0)</f>
        <v>127.39320000000006</v>
      </c>
      <c r="FG103" s="14">
        <f t="shared" si="101"/>
        <v>33.393296112922563</v>
      </c>
      <c r="FH103" s="22">
        <f t="shared" si="76"/>
        <v>280.03648073000687</v>
      </c>
      <c r="FI103" s="58">
        <f t="shared" si="77"/>
        <v>573.36981406334019</v>
      </c>
      <c r="FJ103" s="58">
        <f ca="1">AVERAGE(OFFSET($FI$3,0,0,'Données projet'!$E$16+1,1))-AVERAGE(OFFSET($H$3,0,0,'Données projet'!$E$16+1,1))</f>
        <v>294.31042006404056</v>
      </c>
      <c r="FK103" s="58">
        <f t="shared" si="102"/>
        <v>260.93767498478502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355.12820512820514</v>
      </c>
      <c r="FX103" s="13">
        <f>VLOOKUP(A103,'Données projet'!$A$243:$I$263,9,0)</f>
        <v>3.9743589743589838</v>
      </c>
      <c r="FY103" s="13">
        <f t="array" ref="FY103">INDEX(FX:FX,MIN(IF(ISNUMBER(FX103:FX299),ROW(FX103:FX299),"")))</f>
        <v>3.9743589743589838</v>
      </c>
      <c r="FZ103" s="13">
        <f>IF('Données projet'!$A$244&gt;35,FZ102+FY103-GH102,IF(A103&lt;'Données projet'!$A$244,$FW$205^A103,IF(A103='Données projet'!$A$244,'Données projet'!$B$244,FZ102+FY103-GH102)))</f>
        <v>355.12820512820531</v>
      </c>
      <c r="GA103" s="18">
        <f>FZ103*VLOOKUP('Données projet'!$B$17,Paramètres!$A$1:$I$89,3,0)*VLOOKUP('Données projet'!$B$17,Paramètres!$A$1:$I$89,5,0)</f>
        <v>238.22000000000014</v>
      </c>
      <c r="GB103" s="14">
        <f t="shared" si="103"/>
        <v>58.05638904163186</v>
      </c>
      <c r="GC103" s="22">
        <f t="shared" si="79"/>
        <v>516.01471091417579</v>
      </c>
      <c r="GD103" s="58">
        <f t="shared" si="80"/>
        <v>809.34804424750905</v>
      </c>
      <c r="GE103" s="58">
        <f ca="1">AVERAGE(OFFSET($GD$3,0,0,'Données projet'!$E$17+1,1))-AVERAGE(OFFSET($H$3,0,0,'Données projet'!$E$17+1,1))</f>
        <v>362.1372269575329</v>
      </c>
      <c r="GF103" s="58">
        <f t="shared" si="104"/>
        <v>308.1559670593121</v>
      </c>
      <c r="GG103" s="16">
        <f>IF(ISNA(VLOOKUP(A103,'Données projet'!$A$243:$I$263,3,0)),0,VLOOKUP(A103,'Données projet'!$A$243:$I$263,3,0))</f>
        <v>9</v>
      </c>
      <c r="GH103" s="16">
        <f>IF(ISNA(VLOOKUP(A103,'Données projet'!$A$243:$I$263,4,0)),0,VLOOKUP(A103,'Données projet'!$A$243:$I$263,4,0))</f>
        <v>25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58" t="e">
        <f t="shared" si="83"/>
        <v>#N/A</v>
      </c>
      <c r="GZ103" s="58" t="e">
        <f ca="1">AVERAGE(OFFSET($GY$3,0,0,'Données projet'!$E$18+1,1))-AVERAGE(OFFSET($H$3,0,0,'Données projet'!$E$18+1,1))</f>
        <v>#N/A</v>
      </c>
      <c r="HA103" s="58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0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3">
        <f t="shared" si="56"/>
        <v>256.66666666666669</v>
      </c>
      <c r="I104" s="6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4.8</v>
      </c>
      <c r="N104" s="14">
        <f>IF('Données projet'!$A$36&gt;35,N103+M104-V103,IF(A104&lt;'Données projet'!$A$36,$K$205^A104,IF(A104='Données projet'!$A$36,'Données projet'!$B$36,N103+M104-V103)))</f>
        <v>306.8</v>
      </c>
      <c r="O104" s="14">
        <f>N104*VLOOKUP('Données projet'!$B$9,Paramètres!$A$1:$I$89,3,0)*VLOOKUP('Données projet'!$B$9,Paramètres!$A$1:$I$89,5,0)</f>
        <v>311.09520000000003</v>
      </c>
      <c r="P104" s="14">
        <f t="shared" si="87"/>
        <v>73.497504555121779</v>
      </c>
      <c r="Q104" s="22">
        <f t="shared" si="107"/>
        <v>669.83229376683721</v>
      </c>
      <c r="R104" s="58">
        <f t="shared" si="55"/>
        <v>963.16562710017047</v>
      </c>
      <c r="S104" s="58">
        <f ca="1">AVERAGE(OFFSET($R$3,0,0,'Données projet'!$E$9+1,1))-AVERAGE(OFFSET($H$3,0,0,'Données projet'!$E$9+1,1))</f>
        <v>483.15009705023641</v>
      </c>
      <c r="T104" s="58">
        <f t="shared" si="88"/>
        <v>254.25036207346591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4.8</v>
      </c>
      <c r="AI104" s="14">
        <f>IF('Données projet'!$A$62&gt;35,AI103+AH104-AQ103,IF(A104&lt;'Données projet'!$A$62,$AF$205^A104,IF(A104='Données projet'!$A$62,'Données projet'!$B$62,AI103+AH104-AQ103)))</f>
        <v>306.8</v>
      </c>
      <c r="AJ104" s="14">
        <f>AI104*VLOOKUP('Données projet'!$B$10,Paramètres!$A$1:$I$89,3,0)*VLOOKUP('Données projet'!$B$10,Paramètres!$A$1:$I$89,5,0)</f>
        <v>277.59264000000002</v>
      </c>
      <c r="AK104" s="14">
        <f t="shared" si="89"/>
        <v>66.45800912242558</v>
      </c>
      <c r="AL104" s="22">
        <f t="shared" si="58"/>
        <v>599.22154722155801</v>
      </c>
      <c r="AM104" s="58">
        <f t="shared" si="59"/>
        <v>892.55488055489127</v>
      </c>
      <c r="AN104" s="58">
        <f ca="1">AVERAGE(OFFSET($AM$3,0,0,'Données projet'!$E$10+1,1))-AVERAGE(OFFSET($H$3,0,0,'Données projet'!$E$10+1,1))</f>
        <v>435.7095890216213</v>
      </c>
      <c r="AO104" s="58">
        <f t="shared" si="90"/>
        <v>231.36959598460686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-4.9658410716801891E-14</v>
      </c>
      <c r="BF104" s="14" t="e">
        <f t="shared" si="91"/>
        <v>#NUM!</v>
      </c>
      <c r="BG104" s="22" t="e">
        <f t="shared" si="61"/>
        <v>#NUM!</v>
      </c>
      <c r="BH104" s="58" t="e">
        <f t="shared" si="62"/>
        <v>#NUM!</v>
      </c>
      <c r="BI104" s="58">
        <f ca="1">AVERAGE(OFFSET($BH$3,0,0,'Données projet'!$E$11+1,1))-AVERAGE(OFFSET($H$3,0,0,'Données projet'!$E$11+1,1))</f>
        <v>218.76424742311815</v>
      </c>
      <c r="BJ104" s="58">
        <f t="shared" si="92"/>
        <v>264.34598683038593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0.57415006295303106</v>
      </c>
      <c r="BQ104" s="23">
        <f>EXP(-LN(2)/25)*BQ103+(1-EXP(-LN(2)/25))/(LN(2)/25)*Calculateur!BL104*Calculateur!BN104*VLOOKUP('Données projet'!$B$11,Paramètres!$A$1:$I$89,3,0)*0.475*44/12</f>
        <v>0.60956099810745634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1.1837110610604875</v>
      </c>
      <c r="BT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3.4</v>
      </c>
      <c r="BY104" s="13">
        <f>IF('Données projet'!$A$114&gt;35,BY103+BX104-CG103,IF(A104&lt;'Données projet'!$A$114,$BV$205^A104,IF(A104='Données projet'!$A$114,'Données projet'!$B$114,BY103+BX104-CG103)))</f>
        <v>218.40000000000003</v>
      </c>
      <c r="BZ104" s="14">
        <f>BY104*VLOOKUP('Données projet'!$B$12,Paramètres!$A$1:$I$89,3,0)*VLOOKUP('Données projet'!$B$12,Paramètres!$A$1:$I$89,5,0)</f>
        <v>211.23648000000003</v>
      </c>
      <c r="CA104" s="14">
        <f t="shared" si="93"/>
        <v>52.205695296687736</v>
      </c>
      <c r="CB104" s="22">
        <f t="shared" si="64"/>
        <v>458.82845530839785</v>
      </c>
      <c r="CC104" s="58">
        <f t="shared" si="65"/>
        <v>752.16178864173116</v>
      </c>
      <c r="CD104" s="58">
        <f ca="1">AVERAGE(OFFSET($CC$3,0,0,'Données projet'!$E$12+1,1))-AVERAGE(OFFSET($H$3,0,0,'Données projet'!$E$12+1,1))</f>
        <v>343.86347628565426</v>
      </c>
      <c r="CE104" s="58">
        <f t="shared" si="94"/>
        <v>129.28196646107097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58" t="e">
        <f t="shared" si="68"/>
        <v>#N/A</v>
      </c>
      <c r="CY104" s="58" t="e">
        <f ca="1">AVERAGE(OFFSET($CX$3,0,0,'Données projet'!$E$13+1,1))-AVERAGE(OFFSET($H$3,0,0,'Données projet'!$E$13+1,1))</f>
        <v>#N/A</v>
      </c>
      <c r="CZ104" s="58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2.9090909090909065</v>
      </c>
      <c r="DO104" s="13">
        <f>IF('Données projet'!$A$166&gt;35,DO103+DN104-DW103,IF(A104&lt;'Données projet'!$A$166,$DL$205^A104,IF(A104='Données projet'!$A$166,'Données projet'!$B$166,DO103+DN104-DW103)))</f>
        <v>205.93939393939414</v>
      </c>
      <c r="DP104" s="18">
        <f>DO104*VLOOKUP('Données projet'!$B$14,Paramètres!$A$1:$I$89,3,0)*VLOOKUP('Données projet'!$B$14,Paramètres!$A$1:$I$89,5,0)</f>
        <v>195.97192727272747</v>
      </c>
      <c r="DQ104" s="14">
        <f t="shared" si="97"/>
        <v>48.85787373551026</v>
      </c>
      <c r="DR104" s="22">
        <f t="shared" si="70"/>
        <v>426.41190342268072</v>
      </c>
      <c r="DS104" s="58">
        <f t="shared" si="71"/>
        <v>719.74523675601404</v>
      </c>
      <c r="DT104" s="58">
        <f ca="1">AVERAGE(OFFSET($DS$3,0,0,'Données projet'!$E$14+1,1))-AVERAGE(OFFSET($H$3,0,0,'Données projet'!$E$14+1,1))</f>
        <v>332.49889399440514</v>
      </c>
      <c r="DU104" s="58">
        <f t="shared" si="98"/>
        <v>256.06044006790529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4.3589743589743595</v>
      </c>
      <c r="EJ104" s="13">
        <f>IF('Données projet'!$A$192&gt;35,EJ103+EI104-ER103,IF(A104&lt;'Données projet'!$A$192,$EG$205^A104,IF(A104='Données projet'!$A$192,'Données projet'!$B$192,EJ103+EI104-ER103)))</f>
        <v>355.64102564102581</v>
      </c>
      <c r="EK104" s="18">
        <f>EJ104*VLOOKUP('Données projet'!$B$15,Paramètres!$A$1:$I$89,3,0)*VLOOKUP('Données projet'!$B$15,Paramètres!$A$1:$I$89,5,0)</f>
        <v>371.71600000000018</v>
      </c>
      <c r="EL104" s="14">
        <f t="shared" si="99"/>
        <v>86.018275170521079</v>
      </c>
      <c r="EM104" s="22">
        <f t="shared" si="73"/>
        <v>797.22052925532444</v>
      </c>
      <c r="EN104" s="58">
        <f t="shared" si="74"/>
        <v>1090.5538625886577</v>
      </c>
      <c r="EO104" s="58">
        <f ca="1">AVERAGE(OFFSET($EN$3,0,0,'Données projet'!$E$15+1,1))-AVERAGE(OFFSET($H$3,0,0,'Données projet'!$E$15+1,1))</f>
        <v>596.00698505207174</v>
      </c>
      <c r="EP104" s="58">
        <f t="shared" si="100"/>
        <v>378.16197659288338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7.5015384615384617</v>
      </c>
      <c r="FE104" s="13">
        <f>IF('Données projet'!$A$218&gt;35,FE103+FD104-FM103,IF(A104&lt;'Données projet'!$A$218,$FB$205^A104,IF(A104='Données projet'!$A$218,'Données projet'!$B$218,FE103+FD104-FM103)))</f>
        <v>279.70923076923094</v>
      </c>
      <c r="FF104" s="18">
        <f>FE104*VLOOKUP('Données projet'!$B$16,Paramètres!$A$1:$I$89,3,0)*VLOOKUP('Données projet'!$B$16,Paramètres!$A$1:$I$89,5,0)</f>
        <v>130.90392000000008</v>
      </c>
      <c r="FG104" s="14">
        <f t="shared" si="101"/>
        <v>34.205144397668505</v>
      </c>
      <c r="FH104" s="22">
        <f t="shared" si="76"/>
        <v>287.56495382593943</v>
      </c>
      <c r="FI104" s="58">
        <f t="shared" si="77"/>
        <v>580.89828715927274</v>
      </c>
      <c r="FJ104" s="58">
        <f ca="1">AVERAGE(OFFSET($FI$3,0,0,'Données projet'!$E$16+1,1))-AVERAGE(OFFSET($H$3,0,0,'Données projet'!$E$16+1,1))</f>
        <v>294.31042006404056</v>
      </c>
      <c r="FK104" s="58">
        <f t="shared" si="102"/>
        <v>260.93767498478502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3.5897435897435797</v>
      </c>
      <c r="FZ104" s="13">
        <f>IF('Données projet'!$A$244&gt;35,FZ103+FY104-GH103,IF(A104&lt;'Données projet'!$A$244,$FW$205^A104,IF(A104='Données projet'!$A$244,'Données projet'!$B$244,FZ103+FY104-GH103)))</f>
        <v>333.7179487179489</v>
      </c>
      <c r="GA104" s="18">
        <f>FZ104*VLOOKUP('Données projet'!$B$17,Paramètres!$A$1:$I$89,3,0)*VLOOKUP('Données projet'!$B$17,Paramètres!$A$1:$I$89,5,0)</f>
        <v>223.85800000000012</v>
      </c>
      <c r="GB104" s="14">
        <f t="shared" si="103"/>
        <v>54.952552688157525</v>
      </c>
      <c r="GC104" s="22">
        <f t="shared" si="79"/>
        <v>485.59504593187461</v>
      </c>
      <c r="GD104" s="58">
        <f t="shared" si="80"/>
        <v>778.92837926520792</v>
      </c>
      <c r="GE104" s="58">
        <f ca="1">AVERAGE(OFFSET($GD$3,0,0,'Données projet'!$E$17+1,1))-AVERAGE(OFFSET($H$3,0,0,'Données projet'!$E$17+1,1))</f>
        <v>362.1372269575329</v>
      </c>
      <c r="GF104" s="58">
        <f t="shared" si="104"/>
        <v>308.1559670593121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58" t="e">
        <f t="shared" si="83"/>
        <v>#N/A</v>
      </c>
      <c r="GZ104" s="58" t="e">
        <f ca="1">AVERAGE(OFFSET($GY$3,0,0,'Données projet'!$E$18+1,1))-AVERAGE(OFFSET($H$3,0,0,'Données projet'!$E$18+1,1))</f>
        <v>#N/A</v>
      </c>
      <c r="HA104" s="58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0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3">
        <f t="shared" si="56"/>
        <v>256.66666666666669</v>
      </c>
      <c r="I105" s="6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4.8</v>
      </c>
      <c r="N105" s="14">
        <f>IF('Données projet'!$A$36&gt;35,N104+M105-V104,IF(A105&lt;'Données projet'!$A$36,$K$205^A105,IF(A105='Données projet'!$A$36,'Données projet'!$B$36,N104+M105-V104)))</f>
        <v>311.60000000000002</v>
      </c>
      <c r="O105" s="14">
        <f>N105*VLOOKUP('Données projet'!$B$9,Paramètres!$A$1:$I$89,3,0)*VLOOKUP('Données projet'!$B$9,Paramètres!$A$1:$I$89,5,0)</f>
        <v>315.96240000000006</v>
      </c>
      <c r="P105" s="14">
        <f t="shared" si="87"/>
        <v>74.512632625562503</v>
      </c>
      <c r="Q105" s="22">
        <f t="shared" si="107"/>
        <v>680.07734848952134</v>
      </c>
      <c r="R105" s="58">
        <f t="shared" si="55"/>
        <v>973.41068182285471</v>
      </c>
      <c r="S105" s="58">
        <f ca="1">AVERAGE(OFFSET($R$3,0,0,'Données projet'!$E$9+1,1))-AVERAGE(OFFSET($H$3,0,0,'Données projet'!$E$9+1,1))</f>
        <v>483.15009705023641</v>
      </c>
      <c r="T105" s="58">
        <f t="shared" si="88"/>
        <v>254.25036207346591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4.8</v>
      </c>
      <c r="AI105" s="14">
        <f>IF('Données projet'!$A$62&gt;35,AI104+AH105-AQ104,IF(A105&lt;'Données projet'!$A$62,$AF$205^A105,IF(A105='Données projet'!$A$62,'Données projet'!$B$62,AI104+AH105-AQ104)))</f>
        <v>311.60000000000002</v>
      </c>
      <c r="AJ105" s="14">
        <f>AI105*VLOOKUP('Données projet'!$B$10,Paramètres!$A$1:$I$89,3,0)*VLOOKUP('Données projet'!$B$10,Paramètres!$A$1:$I$89,5,0)</f>
        <v>281.93568000000005</v>
      </c>
      <c r="AK105" s="14">
        <f t="shared" si="89"/>
        <v>67.375909546040361</v>
      </c>
      <c r="AL105" s="22">
        <f t="shared" si="58"/>
        <v>608.38435179268708</v>
      </c>
      <c r="AM105" s="58">
        <f t="shared" si="59"/>
        <v>901.71768512602034</v>
      </c>
      <c r="AN105" s="58">
        <f ca="1">AVERAGE(OFFSET($AM$3,0,0,'Données projet'!$E$10+1,1))-AVERAGE(OFFSET($H$3,0,0,'Données projet'!$E$10+1,1))</f>
        <v>435.7095890216213</v>
      </c>
      <c r="AO105" s="58">
        <f t="shared" si="90"/>
        <v>231.36959598460686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-4.9658410716801891E-14</v>
      </c>
      <c r="BF105" s="14" t="e">
        <f t="shared" si="91"/>
        <v>#NUM!</v>
      </c>
      <c r="BG105" s="22" t="e">
        <f t="shared" si="61"/>
        <v>#NUM!</v>
      </c>
      <c r="BH105" s="58" t="e">
        <f t="shared" si="62"/>
        <v>#NUM!</v>
      </c>
      <c r="BI105" s="58">
        <f ca="1">AVERAGE(OFFSET($BH$3,0,0,'Données projet'!$E$11+1,1))-AVERAGE(OFFSET($H$3,0,0,'Données projet'!$E$11+1,1))</f>
        <v>218.76424742311815</v>
      </c>
      <c r="BJ105" s="58">
        <f t="shared" si="92"/>
        <v>264.34598683038593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0.56289133041548145</v>
      </c>
      <c r="BQ105" s="23">
        <f>EXP(-LN(2)/25)*BQ104+(1-EXP(-LN(2)/25))/(LN(2)/25)*Calculateur!BL105*Calculateur!BN105*VLOOKUP('Données projet'!$B$11,Paramètres!$A$1:$I$89,3,0)*0.475*44/12</f>
        <v>0.59289252055878827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1.1557838509742697</v>
      </c>
      <c r="BT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3.4</v>
      </c>
      <c r="BY105" s="13">
        <f>IF('Données projet'!$A$114&gt;35,BY104+BX105-CG104,IF(A105&lt;'Données projet'!$A$114,$BV$205^A105,IF(A105='Données projet'!$A$114,'Données projet'!$B$114,BY104+BX105-CG104)))</f>
        <v>221.80000000000004</v>
      </c>
      <c r="BZ105" s="14">
        <f>BY105*VLOOKUP('Données projet'!$B$12,Paramètres!$A$1:$I$89,3,0)*VLOOKUP('Données projet'!$B$12,Paramètres!$A$1:$I$89,5,0)</f>
        <v>214.52496000000005</v>
      </c>
      <c r="CA105" s="14">
        <f t="shared" si="93"/>
        <v>52.923173099085766</v>
      </c>
      <c r="CB105" s="22">
        <f t="shared" si="64"/>
        <v>465.80549848090777</v>
      </c>
      <c r="CC105" s="58">
        <f t="shared" si="65"/>
        <v>759.13883181424103</v>
      </c>
      <c r="CD105" s="58">
        <f ca="1">AVERAGE(OFFSET($CC$3,0,0,'Données projet'!$E$12+1,1))-AVERAGE(OFFSET($H$3,0,0,'Données projet'!$E$12+1,1))</f>
        <v>343.86347628565426</v>
      </c>
      <c r="CE105" s="58">
        <f t="shared" si="94"/>
        <v>129.28196646107097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58" t="e">
        <f t="shared" si="68"/>
        <v>#N/A</v>
      </c>
      <c r="CY105" s="58" t="e">
        <f ca="1">AVERAGE(OFFSET($CX$3,0,0,'Données projet'!$E$13+1,1))-AVERAGE(OFFSET($H$3,0,0,'Données projet'!$E$13+1,1))</f>
        <v>#N/A</v>
      </c>
      <c r="CZ105" s="58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2.9090909090909065</v>
      </c>
      <c r="DO105" s="13">
        <f>IF('Données projet'!$A$166&gt;35,DO104+DN105-DW104,IF(A105&lt;'Données projet'!$A$166,$DL$205^A105,IF(A105='Données projet'!$A$166,'Données projet'!$B$166,DO104+DN105-DW104)))</f>
        <v>208.84848484848504</v>
      </c>
      <c r="DP105" s="18">
        <f>DO105*VLOOKUP('Données projet'!$B$14,Paramètres!$A$1:$I$89,3,0)*VLOOKUP('Données projet'!$B$14,Paramètres!$A$1:$I$89,5,0)</f>
        <v>198.74021818181839</v>
      </c>
      <c r="DQ105" s="14">
        <f t="shared" si="97"/>
        <v>49.467204076230963</v>
      </c>
      <c r="DR105" s="22">
        <f t="shared" si="70"/>
        <v>432.29459376610254</v>
      </c>
      <c r="DS105" s="58">
        <f t="shared" si="71"/>
        <v>725.62792709943585</v>
      </c>
      <c r="DT105" s="58">
        <f ca="1">AVERAGE(OFFSET($DS$3,0,0,'Données projet'!$E$14+1,1))-AVERAGE(OFFSET($H$3,0,0,'Données projet'!$E$14+1,1))</f>
        <v>332.49889399440514</v>
      </c>
      <c r="DU105" s="58">
        <f t="shared" si="98"/>
        <v>256.06044006790529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4.3589743589743595</v>
      </c>
      <c r="EJ105" s="13">
        <f>IF('Données projet'!$A$192&gt;35,EJ104+EI105-ER104,IF(A105&lt;'Données projet'!$A$192,$EG$205^A105,IF(A105='Données projet'!$A$192,'Données projet'!$B$192,EJ104+EI105-ER104)))</f>
        <v>360.00000000000017</v>
      </c>
      <c r="EK105" s="18">
        <f>EJ105*VLOOKUP('Données projet'!$B$15,Paramètres!$A$1:$I$89,3,0)*VLOOKUP('Données projet'!$B$15,Paramètres!$A$1:$I$89,5,0)</f>
        <v>376.27200000000022</v>
      </c>
      <c r="EL105" s="14">
        <f t="shared" si="99"/>
        <v>86.949190952313529</v>
      </c>
      <c r="EM105" s="22">
        <f t="shared" si="73"/>
        <v>806.77690757527978</v>
      </c>
      <c r="EN105" s="58">
        <f t="shared" si="74"/>
        <v>1100.1102409086132</v>
      </c>
      <c r="EO105" s="58">
        <f ca="1">AVERAGE(OFFSET($EN$3,0,0,'Données projet'!$E$15+1,1))-AVERAGE(OFFSET($H$3,0,0,'Données projet'!$E$15+1,1))</f>
        <v>596.00698505207174</v>
      </c>
      <c r="EP105" s="58">
        <f t="shared" si="100"/>
        <v>378.16197659288338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7.5015384615384617</v>
      </c>
      <c r="FE105" s="13">
        <f>IF('Données projet'!$A$218&gt;35,FE104+FD105-FM104,IF(A105&lt;'Données projet'!$A$218,$FB$205^A105,IF(A105='Données projet'!$A$218,'Données projet'!$B$218,FE104+FD105-FM104)))</f>
        <v>287.21076923076942</v>
      </c>
      <c r="FF105" s="18">
        <f>FE105*VLOOKUP('Données projet'!$B$16,Paramètres!$A$1:$I$89,3,0)*VLOOKUP('Données projet'!$B$16,Paramètres!$A$1:$I$89,5,0)</f>
        <v>134.41464000000008</v>
      </c>
      <c r="FG105" s="14">
        <f t="shared" si="101"/>
        <v>35.014461935490353</v>
      </c>
      <c r="FH105" s="22">
        <f t="shared" si="76"/>
        <v>295.08901920431248</v>
      </c>
      <c r="FI105" s="58">
        <f t="shared" si="77"/>
        <v>588.42235253764579</v>
      </c>
      <c r="FJ105" s="58">
        <f ca="1">AVERAGE(OFFSET($FI$3,0,0,'Données projet'!$E$16+1,1))-AVERAGE(OFFSET($H$3,0,0,'Données projet'!$E$16+1,1))</f>
        <v>294.31042006404056</v>
      </c>
      <c r="FK105" s="58">
        <f t="shared" si="102"/>
        <v>260.93767498478502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3.5897435897435797</v>
      </c>
      <c r="FZ105" s="13">
        <f>IF('Données projet'!$A$244&gt;35,FZ104+FY105-GH104,IF(A105&lt;'Données projet'!$A$244,$FW$205^A105,IF(A105='Données projet'!$A$244,'Données projet'!$B$244,FZ104+FY105-GH104)))</f>
        <v>337.30769230769249</v>
      </c>
      <c r="GA105" s="18">
        <f>FZ105*VLOOKUP('Données projet'!$B$17,Paramètres!$A$1:$I$89,3,0)*VLOOKUP('Données projet'!$B$17,Paramètres!$A$1:$I$89,5,0)</f>
        <v>226.2660000000001</v>
      </c>
      <c r="GB105" s="14">
        <f t="shared" si="103"/>
        <v>55.47453591859076</v>
      </c>
      <c r="GC105" s="22">
        <f t="shared" si="79"/>
        <v>490.69810005821245</v>
      </c>
      <c r="GD105" s="58">
        <f t="shared" si="80"/>
        <v>784.03143339154576</v>
      </c>
      <c r="GE105" s="58">
        <f ca="1">AVERAGE(OFFSET($GD$3,0,0,'Données projet'!$E$17+1,1))-AVERAGE(OFFSET($H$3,0,0,'Données projet'!$E$17+1,1))</f>
        <v>362.1372269575329</v>
      </c>
      <c r="GF105" s="58">
        <f t="shared" si="104"/>
        <v>308.1559670593121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58" t="e">
        <f t="shared" si="83"/>
        <v>#N/A</v>
      </c>
      <c r="GZ105" s="58" t="e">
        <f ca="1">AVERAGE(OFFSET($GY$3,0,0,'Données projet'!$E$18+1,1))-AVERAGE(OFFSET($H$3,0,0,'Données projet'!$E$18+1,1))</f>
        <v>#N/A</v>
      </c>
      <c r="HA105" s="58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0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3">
        <f t="shared" si="56"/>
        <v>256.66666666666669</v>
      </c>
      <c r="I106" s="6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4.8</v>
      </c>
      <c r="N106" s="14">
        <f>IF('Données projet'!$A$36&gt;35,N105+M106-V105,IF(A106&lt;'Données projet'!$A$36,$K$205^A106,IF(A106='Données projet'!$A$36,'Données projet'!$B$36,N105+M106-V105)))</f>
        <v>316.40000000000003</v>
      </c>
      <c r="O106" s="14">
        <f>N106*VLOOKUP('Données projet'!$B$9,Paramètres!$A$1:$I$89,3,0)*VLOOKUP('Données projet'!$B$9,Paramètres!$A$1:$I$89,5,0)</f>
        <v>320.82960000000003</v>
      </c>
      <c r="P106" s="14">
        <f t="shared" si="87"/>
        <v>75.525942057150672</v>
      </c>
      <c r="Q106" s="22">
        <f t="shared" si="107"/>
        <v>690.31923574953737</v>
      </c>
      <c r="R106" s="58">
        <f t="shared" si="55"/>
        <v>983.65256908287074</v>
      </c>
      <c r="S106" s="58">
        <f ca="1">AVERAGE(OFFSET($R$3,0,0,'Données projet'!$E$9+1,1))-AVERAGE(OFFSET($H$3,0,0,'Données projet'!$E$9+1,1))</f>
        <v>483.15009705023641</v>
      </c>
      <c r="T106" s="58">
        <f t="shared" si="88"/>
        <v>254.25036207346591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4.8</v>
      </c>
      <c r="AI106" s="14">
        <f>IF('Données projet'!$A$62&gt;35,AI105+AH106-AQ105,IF(A106&lt;'Données projet'!$A$62,$AF$205^A106,IF(A106='Données projet'!$A$62,'Données projet'!$B$62,AI105+AH106-AQ105)))</f>
        <v>316.40000000000003</v>
      </c>
      <c r="AJ106" s="14">
        <f>AI106*VLOOKUP('Données projet'!$B$10,Paramètres!$A$1:$I$89,3,0)*VLOOKUP('Données projet'!$B$10,Paramètres!$A$1:$I$89,5,0)</f>
        <v>286.27872000000002</v>
      </c>
      <c r="AK106" s="14">
        <f t="shared" si="89"/>
        <v>68.292165517667613</v>
      </c>
      <c r="AL106" s="22">
        <f t="shared" si="58"/>
        <v>617.54429227660444</v>
      </c>
      <c r="AM106" s="58">
        <f t="shared" si="59"/>
        <v>910.8776256099377</v>
      </c>
      <c r="AN106" s="58">
        <f ca="1">AVERAGE(OFFSET($AM$3,0,0,'Données projet'!$E$10+1,1))-AVERAGE(OFFSET($H$3,0,0,'Données projet'!$E$10+1,1))</f>
        <v>435.7095890216213</v>
      </c>
      <c r="AO106" s="58">
        <f t="shared" si="90"/>
        <v>231.36959598460686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-4.9658410716801891E-14</v>
      </c>
      <c r="BF106" s="14" t="e">
        <f t="shared" si="91"/>
        <v>#NUM!</v>
      </c>
      <c r="BG106" s="22" t="e">
        <f t="shared" si="61"/>
        <v>#NUM!</v>
      </c>
      <c r="BH106" s="58" t="e">
        <f t="shared" si="62"/>
        <v>#NUM!</v>
      </c>
      <c r="BI106" s="58">
        <f ca="1">AVERAGE(OFFSET($BH$3,0,0,'Données projet'!$E$11+1,1))-AVERAGE(OFFSET($H$3,0,0,'Données projet'!$E$11+1,1))</f>
        <v>218.76424742311815</v>
      </c>
      <c r="BJ106" s="58">
        <f t="shared" si="92"/>
        <v>264.34598683038593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0.55185337475584439</v>
      </c>
      <c r="BQ106" s="23">
        <f>EXP(-LN(2)/25)*BQ105+(1-EXP(-LN(2)/25))/(LN(2)/25)*Calculateur!BL106*Calculateur!BN106*VLOOKUP('Données projet'!$B$11,Paramètres!$A$1:$I$89,3,0)*0.475*44/12</f>
        <v>0.57667984340524558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1.1285332181610901</v>
      </c>
      <c r="BT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3.4</v>
      </c>
      <c r="BY106" s="13">
        <f>IF('Données projet'!$A$114&gt;35,BY105+BX106-CG105,IF(A106&lt;'Données projet'!$A$114,$BV$205^A106,IF(A106='Données projet'!$A$114,'Données projet'!$B$114,BY105+BX106-CG105)))</f>
        <v>225.20000000000005</v>
      </c>
      <c r="BZ106" s="14">
        <f>BY106*VLOOKUP('Données projet'!$B$12,Paramètres!$A$1:$I$89,3,0)*VLOOKUP('Données projet'!$B$12,Paramètres!$A$1:$I$89,5,0)</f>
        <v>217.81344000000004</v>
      </c>
      <c r="CA106" s="14">
        <f t="shared" si="93"/>
        <v>53.639371787024814</v>
      </c>
      <c r="CB106" s="22">
        <f t="shared" si="64"/>
        <v>472.78031386240167</v>
      </c>
      <c r="CC106" s="58">
        <f t="shared" si="65"/>
        <v>766.11364719573498</v>
      </c>
      <c r="CD106" s="58">
        <f ca="1">AVERAGE(OFFSET($CC$3,0,0,'Données projet'!$E$12+1,1))-AVERAGE(OFFSET($H$3,0,0,'Données projet'!$E$12+1,1))</f>
        <v>343.86347628565426</v>
      </c>
      <c r="CE106" s="58">
        <f t="shared" si="94"/>
        <v>129.28196646107097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58" t="e">
        <f t="shared" si="68"/>
        <v>#N/A</v>
      </c>
      <c r="CY106" s="58" t="e">
        <f ca="1">AVERAGE(OFFSET($CX$3,0,0,'Données projet'!$E$13+1,1))-AVERAGE(OFFSET($H$3,0,0,'Données projet'!$E$13+1,1))</f>
        <v>#N/A</v>
      </c>
      <c r="CZ106" s="58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2.9090909090909065</v>
      </c>
      <c r="DO106" s="13">
        <f>IF('Données projet'!$A$166&gt;35,DO105+DN106-DW105,IF(A106&lt;'Données projet'!$A$166,$DL$205^A106,IF(A106='Données projet'!$A$166,'Données projet'!$B$166,DO105+DN106-DW105)))</f>
        <v>211.75757575757595</v>
      </c>
      <c r="DP106" s="18">
        <f>DO106*VLOOKUP('Données projet'!$B$14,Paramètres!$A$1:$I$89,3,0)*VLOOKUP('Données projet'!$B$14,Paramètres!$A$1:$I$89,5,0)</f>
        <v>201.50850909090929</v>
      </c>
      <c r="DQ106" s="14">
        <f t="shared" si="97"/>
        <v>50.075547240987724</v>
      </c>
      <c r="DR106" s="22">
        <f t="shared" si="70"/>
        <v>438.17556477805397</v>
      </c>
      <c r="DS106" s="58">
        <f t="shared" si="71"/>
        <v>731.50889811138723</v>
      </c>
      <c r="DT106" s="58">
        <f ca="1">AVERAGE(OFFSET($DS$3,0,0,'Données projet'!$E$14+1,1))-AVERAGE(OFFSET($H$3,0,0,'Données projet'!$E$14+1,1))</f>
        <v>332.49889399440514</v>
      </c>
      <c r="DU106" s="58">
        <f t="shared" si="98"/>
        <v>256.06044006790529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4.3589743589743595</v>
      </c>
      <c r="EJ106" s="13">
        <f>IF('Données projet'!$A$192&gt;35,EJ105+EI106-ER105,IF(A106&lt;'Données projet'!$A$192,$EG$205^A106,IF(A106='Données projet'!$A$192,'Données projet'!$B$192,EJ105+EI106-ER105)))</f>
        <v>364.35897435897454</v>
      </c>
      <c r="EK106" s="18">
        <f>EJ106*VLOOKUP('Données projet'!$B$15,Paramètres!$A$1:$I$89,3,0)*VLOOKUP('Données projet'!$B$15,Paramètres!$A$1:$I$89,5,0)</f>
        <v>380.8280000000002</v>
      </c>
      <c r="EL106" s="14">
        <f t="shared" si="99"/>
        <v>87.878795590089467</v>
      </c>
      <c r="EM106" s="22">
        <f t="shared" si="73"/>
        <v>816.33100231940614</v>
      </c>
      <c r="EN106" s="58">
        <f t="shared" si="74"/>
        <v>1109.6643356527395</v>
      </c>
      <c r="EO106" s="58">
        <f ca="1">AVERAGE(OFFSET($EN$3,0,0,'Données projet'!$E$15+1,1))-AVERAGE(OFFSET($H$3,0,0,'Données projet'!$E$15+1,1))</f>
        <v>596.00698505207174</v>
      </c>
      <c r="EP106" s="58">
        <f t="shared" si="100"/>
        <v>378.16197659288338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7.5015384615384617</v>
      </c>
      <c r="FE106" s="13">
        <f>IF('Données projet'!$A$218&gt;35,FE105+FD106-FM105,IF(A106&lt;'Données projet'!$A$218,$FB$205^A106,IF(A106='Données projet'!$A$218,'Données projet'!$B$218,FE105+FD106-FM105)))</f>
        <v>294.71230769230789</v>
      </c>
      <c r="FF106" s="18">
        <f>FE106*VLOOKUP('Données projet'!$B$16,Paramètres!$A$1:$I$89,3,0)*VLOOKUP('Données projet'!$B$16,Paramètres!$A$1:$I$89,5,0)</f>
        <v>137.9253600000001</v>
      </c>
      <c r="FG106" s="14">
        <f t="shared" si="101"/>
        <v>35.82132242479814</v>
      </c>
      <c r="FH106" s="22">
        <f t="shared" si="76"/>
        <v>302.60880522319025</v>
      </c>
      <c r="FI106" s="58">
        <f t="shared" si="77"/>
        <v>595.94213855652356</v>
      </c>
      <c r="FJ106" s="58">
        <f ca="1">AVERAGE(OFFSET($FI$3,0,0,'Données projet'!$E$16+1,1))-AVERAGE(OFFSET($H$3,0,0,'Données projet'!$E$16+1,1))</f>
        <v>294.31042006404056</v>
      </c>
      <c r="FK106" s="58">
        <f t="shared" si="102"/>
        <v>260.93767498478502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3.5897435897435797</v>
      </c>
      <c r="FZ106" s="13">
        <f>IF('Données projet'!$A$244&gt;35,FZ105+FY106-GH105,IF(A106&lt;'Données projet'!$A$244,$FW$205^A106,IF(A106='Données projet'!$A$244,'Données projet'!$B$244,FZ105+FY106-GH105)))</f>
        <v>340.89743589743608</v>
      </c>
      <c r="GA106" s="18">
        <f>FZ106*VLOOKUP('Données projet'!$B$17,Paramètres!$A$1:$I$89,3,0)*VLOOKUP('Données projet'!$B$17,Paramètres!$A$1:$I$89,5,0)</f>
        <v>228.67400000000015</v>
      </c>
      <c r="GB106" s="14">
        <f t="shared" si="103"/>
        <v>55.99587292006332</v>
      </c>
      <c r="GC106" s="22">
        <f t="shared" si="79"/>
        <v>495.80002866911053</v>
      </c>
      <c r="GD106" s="58">
        <f t="shared" si="80"/>
        <v>789.13336200244385</v>
      </c>
      <c r="GE106" s="58">
        <f ca="1">AVERAGE(OFFSET($GD$3,0,0,'Données projet'!$E$17+1,1))-AVERAGE(OFFSET($H$3,0,0,'Données projet'!$E$17+1,1))</f>
        <v>362.1372269575329</v>
      </c>
      <c r="GF106" s="58">
        <f t="shared" si="104"/>
        <v>308.1559670593121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58" t="e">
        <f t="shared" si="83"/>
        <v>#N/A</v>
      </c>
      <c r="GZ106" s="58" t="e">
        <f ca="1">AVERAGE(OFFSET($GY$3,0,0,'Données projet'!$E$18+1,1))-AVERAGE(OFFSET($H$3,0,0,'Données projet'!$E$18+1,1))</f>
        <v>#N/A</v>
      </c>
      <c r="HA106" s="58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0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3">
        <f t="shared" si="56"/>
        <v>256.66666666666669</v>
      </c>
      <c r="I107" s="6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4.8</v>
      </c>
      <c r="N107" s="14">
        <f>IF('Données projet'!$A$36&gt;35,N106+M107-V106,IF(A107&lt;'Données projet'!$A$36,$K$205^A107,IF(A107='Données projet'!$A$36,'Données projet'!$B$36,N106+M107-V106)))</f>
        <v>321.20000000000005</v>
      </c>
      <c r="O107" s="14">
        <f>N107*VLOOKUP('Données projet'!$B$9,Paramètres!$A$1:$I$89,3,0)*VLOOKUP('Données projet'!$B$9,Paramètres!$A$1:$I$89,5,0)</f>
        <v>325.69680000000005</v>
      </c>
      <c r="P107" s="14">
        <f t="shared" si="87"/>
        <v>76.537463626526431</v>
      </c>
      <c r="Q107" s="22">
        <f t="shared" si="107"/>
        <v>700.55800914953363</v>
      </c>
      <c r="R107" s="58">
        <f t="shared" si="55"/>
        <v>993.891342482867</v>
      </c>
      <c r="S107" s="58">
        <f ca="1">AVERAGE(OFFSET($R$3,0,0,'Données projet'!$E$9+1,1))-AVERAGE(OFFSET($H$3,0,0,'Données projet'!$E$9+1,1))</f>
        <v>483.15009705023641</v>
      </c>
      <c r="T107" s="58">
        <f t="shared" si="88"/>
        <v>254.25036207346591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4.8</v>
      </c>
      <c r="AI107" s="14">
        <f>IF('Données projet'!$A$62&gt;35,AI106+AH107-AQ106,IF(A107&lt;'Données projet'!$A$62,$AF$205^A107,IF(A107='Données projet'!$A$62,'Données projet'!$B$62,AI106+AH107-AQ106)))</f>
        <v>321.20000000000005</v>
      </c>
      <c r="AJ107" s="14">
        <f>AI107*VLOOKUP('Données projet'!$B$10,Paramètres!$A$1:$I$89,3,0)*VLOOKUP('Données projet'!$B$10,Paramètres!$A$1:$I$89,5,0)</f>
        <v>290.62176000000005</v>
      </c>
      <c r="AK107" s="14">
        <f t="shared" si="89"/>
        <v>69.206804866200699</v>
      </c>
      <c r="AL107" s="22">
        <f t="shared" si="58"/>
        <v>626.70141714196632</v>
      </c>
      <c r="AM107" s="58">
        <f t="shared" si="59"/>
        <v>920.03475047529969</v>
      </c>
      <c r="AN107" s="58">
        <f ca="1">AVERAGE(OFFSET($AM$3,0,0,'Données projet'!$E$10+1,1))-AVERAGE(OFFSET($H$3,0,0,'Données projet'!$E$10+1,1))</f>
        <v>435.7095890216213</v>
      </c>
      <c r="AO107" s="58">
        <f t="shared" si="90"/>
        <v>231.36959598460686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-4.9658410716801891E-14</v>
      </c>
      <c r="BF107" s="14" t="e">
        <f t="shared" si="91"/>
        <v>#NUM!</v>
      </c>
      <c r="BG107" s="22" t="e">
        <f t="shared" si="61"/>
        <v>#NUM!</v>
      </c>
      <c r="BH107" s="58" t="e">
        <f t="shared" si="62"/>
        <v>#NUM!</v>
      </c>
      <c r="BI107" s="58">
        <f ca="1">AVERAGE(OFFSET($BH$3,0,0,'Données projet'!$E$11+1,1))-AVERAGE(OFFSET($H$3,0,0,'Données projet'!$E$11+1,1))</f>
        <v>218.76424742311815</v>
      </c>
      <c r="BJ107" s="58">
        <f t="shared" si="92"/>
        <v>264.34598683038593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0.54103186667420466</v>
      </c>
      <c r="BQ107" s="23">
        <f>EXP(-LN(2)/25)*BQ106+(1-EXP(-LN(2)/25))/(LN(2)/25)*Calculateur!BL107*Calculateur!BN107*VLOOKUP('Données projet'!$B$11,Paramètres!$A$1:$I$89,3,0)*0.475*44/12</f>
        <v>0.56091050276105425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1.101942369435259</v>
      </c>
      <c r="BT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3.4</v>
      </c>
      <c r="BY107" s="13">
        <f>IF('Données projet'!$A$114&gt;35,BY106+BX107-CG106,IF(A107&lt;'Données projet'!$A$114,$BV$205^A107,IF(A107='Données projet'!$A$114,'Données projet'!$B$114,BY106+BX107-CG106)))</f>
        <v>228.60000000000005</v>
      </c>
      <c r="BZ107" s="14">
        <f>BY107*VLOOKUP('Données projet'!$B$12,Paramètres!$A$1:$I$89,3,0)*VLOOKUP('Données projet'!$B$12,Paramètres!$A$1:$I$89,5,0)</f>
        <v>221.10192000000006</v>
      </c>
      <c r="CA107" s="14">
        <f t="shared" si="93"/>
        <v>54.35431290277365</v>
      </c>
      <c r="CB107" s="22">
        <f t="shared" si="64"/>
        <v>479.75293897233087</v>
      </c>
      <c r="CC107" s="58">
        <f t="shared" si="65"/>
        <v>773.08627230566412</v>
      </c>
      <c r="CD107" s="58">
        <f ca="1">AVERAGE(OFFSET($CC$3,0,0,'Données projet'!$E$12+1,1))-AVERAGE(OFFSET($H$3,0,0,'Données projet'!$E$12+1,1))</f>
        <v>343.86347628565426</v>
      </c>
      <c r="CE107" s="58">
        <f t="shared" si="94"/>
        <v>129.28196646107097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58" t="e">
        <f t="shared" si="68"/>
        <v>#N/A</v>
      </c>
      <c r="CY107" s="58" t="e">
        <f ca="1">AVERAGE(OFFSET($CX$3,0,0,'Données projet'!$E$13+1,1))-AVERAGE(OFFSET($H$3,0,0,'Données projet'!$E$13+1,1))</f>
        <v>#N/A</v>
      </c>
      <c r="CZ107" s="58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2.9090909090909065</v>
      </c>
      <c r="DO107" s="13">
        <f>IF('Données projet'!$A$166&gt;35,DO106+DN107-DW106,IF(A107&lt;'Données projet'!$A$166,$DL$205^A107,IF(A107='Données projet'!$A$166,'Données projet'!$B$166,DO106+DN107-DW106)))</f>
        <v>214.66666666666686</v>
      </c>
      <c r="DP107" s="18">
        <f>DO107*VLOOKUP('Données projet'!$B$14,Paramètres!$A$1:$I$89,3,0)*VLOOKUP('Données projet'!$B$14,Paramètres!$A$1:$I$89,5,0)</f>
        <v>204.27680000000018</v>
      </c>
      <c r="DQ107" s="14">
        <f t="shared" si="97"/>
        <v>50.682918358878496</v>
      </c>
      <c r="DR107" s="22">
        <f t="shared" si="70"/>
        <v>444.05484280838033</v>
      </c>
      <c r="DS107" s="58">
        <f t="shared" si="71"/>
        <v>737.38817614171364</v>
      </c>
      <c r="DT107" s="58">
        <f ca="1">AVERAGE(OFFSET($DS$3,0,0,'Données projet'!$E$14+1,1))-AVERAGE(OFFSET($H$3,0,0,'Données projet'!$E$14+1,1))</f>
        <v>332.49889399440514</v>
      </c>
      <c r="DU107" s="58">
        <f t="shared" si="98"/>
        <v>256.06044006790529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4.3589743589743595</v>
      </c>
      <c r="EJ107" s="13">
        <f>IF('Données projet'!$A$192&gt;35,EJ106+EI107-ER106,IF(A107&lt;'Données projet'!$A$192,$EG$205^A107,IF(A107='Données projet'!$A$192,'Données projet'!$B$192,EJ106+EI107-ER106)))</f>
        <v>368.7179487179489</v>
      </c>
      <c r="EK107" s="18">
        <f>EJ107*VLOOKUP('Données projet'!$B$15,Paramètres!$A$1:$I$89,3,0)*VLOOKUP('Données projet'!$B$15,Paramètres!$A$1:$I$89,5,0)</f>
        <v>385.38400000000024</v>
      </c>
      <c r="EL107" s="14">
        <f t="shared" si="99"/>
        <v>88.807106584070695</v>
      </c>
      <c r="EM107" s="22">
        <f t="shared" si="73"/>
        <v>825.88284396725692</v>
      </c>
      <c r="EN107" s="58">
        <f t="shared" si="74"/>
        <v>1119.2161773005903</v>
      </c>
      <c r="EO107" s="58">
        <f ca="1">AVERAGE(OFFSET($EN$3,0,0,'Données projet'!$E$15+1,1))-AVERAGE(OFFSET($H$3,0,0,'Données projet'!$E$15+1,1))</f>
        <v>596.00698505207174</v>
      </c>
      <c r="EP107" s="58">
        <f t="shared" si="100"/>
        <v>378.16197659288338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7.5015384615384617</v>
      </c>
      <c r="FE107" s="13">
        <f>IF('Données projet'!$A$218&gt;35,FE106+FD107-FM106,IF(A107&lt;'Données projet'!$A$218,$FB$205^A107,IF(A107='Données projet'!$A$218,'Données projet'!$B$218,FE106+FD107-FM106)))</f>
        <v>302.21384615384636</v>
      </c>
      <c r="FF107" s="18">
        <f>FE107*VLOOKUP('Données projet'!$B$16,Paramètres!$A$1:$I$89,3,0)*VLOOKUP('Données projet'!$B$16,Paramètres!$A$1:$I$89,5,0)</f>
        <v>141.43608000000009</v>
      </c>
      <c r="FG107" s="14">
        <f t="shared" si="101"/>
        <v>36.625795598426585</v>
      </c>
      <c r="FH107" s="22">
        <f t="shared" si="76"/>
        <v>310.12443333392645</v>
      </c>
      <c r="FI107" s="58">
        <f t="shared" si="77"/>
        <v>603.45776666725976</v>
      </c>
      <c r="FJ107" s="58">
        <f ca="1">AVERAGE(OFFSET($FI$3,0,0,'Données projet'!$E$16+1,1))-AVERAGE(OFFSET($H$3,0,0,'Données projet'!$E$16+1,1))</f>
        <v>294.31042006404056</v>
      </c>
      <c r="FK107" s="58">
        <f t="shared" si="102"/>
        <v>260.93767498478502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3.5897435897435797</v>
      </c>
      <c r="FZ107" s="13">
        <f>IF('Données projet'!$A$244&gt;35,FZ106+FY107-GH106,IF(A107&lt;'Données projet'!$A$244,$FW$205^A107,IF(A107='Données projet'!$A$244,'Données projet'!$B$244,FZ106+FY107-GH106)))</f>
        <v>344.48717948717967</v>
      </c>
      <c r="GA107" s="18">
        <f>FZ107*VLOOKUP('Données projet'!$B$17,Paramètres!$A$1:$I$89,3,0)*VLOOKUP('Données projet'!$B$17,Paramètres!$A$1:$I$89,5,0)</f>
        <v>231.08200000000014</v>
      </c>
      <c r="GB107" s="14">
        <f t="shared" si="103"/>
        <v>56.516571285269613</v>
      </c>
      <c r="GC107" s="22">
        <f t="shared" si="79"/>
        <v>500.90084498851155</v>
      </c>
      <c r="GD107" s="58">
        <f t="shared" si="80"/>
        <v>794.23417832184487</v>
      </c>
      <c r="GE107" s="58">
        <f ca="1">AVERAGE(OFFSET($GD$3,0,0,'Données projet'!$E$17+1,1))-AVERAGE(OFFSET($H$3,0,0,'Données projet'!$E$17+1,1))</f>
        <v>362.1372269575329</v>
      </c>
      <c r="GF107" s="58">
        <f t="shared" si="104"/>
        <v>308.1559670593121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58" t="e">
        <f t="shared" si="83"/>
        <v>#N/A</v>
      </c>
      <c r="GZ107" s="58" t="e">
        <f ca="1">AVERAGE(OFFSET($GY$3,0,0,'Données projet'!$E$18+1,1))-AVERAGE(OFFSET($H$3,0,0,'Données projet'!$E$18+1,1))</f>
        <v>#N/A</v>
      </c>
      <c r="HA107" s="58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0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3">
        <f t="shared" si="56"/>
        <v>256.66666666666669</v>
      </c>
      <c r="I108" s="6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326</v>
      </c>
      <c r="L108" s="13">
        <f>VLOOKUP(A108,'Données projet'!$A$35:$I$55,9,0)</f>
        <v>4.8</v>
      </c>
      <c r="M108" s="13">
        <f t="array" ref="M108">INDEX(L:L,MIN(IF(ISNUMBER(L108:L304),ROW(L108:L304),"")))</f>
        <v>4.8</v>
      </c>
      <c r="N108" s="14">
        <f>IF('Données projet'!$A$36&gt;35,N107+M108-V107,IF(A108&lt;'Données projet'!$A$36,$K$205^A108,IF(A108='Données projet'!$A$36,'Données projet'!$B$36,N107+M108-V107)))</f>
        <v>326.00000000000006</v>
      </c>
      <c r="O108" s="14">
        <f>N108*VLOOKUP('Données projet'!$B$9,Paramètres!$A$1:$I$89,3,0)*VLOOKUP('Données projet'!$B$9,Paramètres!$A$1:$I$89,5,0)</f>
        <v>330.56400000000008</v>
      </c>
      <c r="P108" s="14">
        <f t="shared" si="87"/>
        <v>77.547227137682853</v>
      </c>
      <c r="Q108" s="22">
        <f t="shared" si="107"/>
        <v>710.79372059813113</v>
      </c>
      <c r="R108" s="58">
        <f t="shared" si="55"/>
        <v>1004.1270539314644</v>
      </c>
      <c r="S108" s="58">
        <f ca="1">AVERAGE(OFFSET($R$3,0,0,'Données projet'!$E$9+1,1))-AVERAGE(OFFSET($H$3,0,0,'Données projet'!$E$9+1,1))</f>
        <v>483.15009705023641</v>
      </c>
      <c r="T108" s="58">
        <f t="shared" si="88"/>
        <v>254.25036207346591</v>
      </c>
      <c r="U108" s="16">
        <f>IF(ISNA(VLOOKUP(A108,'Données projet'!$A$35:$I$55,3,0)),0,VLOOKUP(A108,'Données projet'!$A$35:$I$55,3,0))</f>
        <v>8</v>
      </c>
      <c r="V108" s="16">
        <f>IF(ISNA(VLOOKUP(A108,'Données projet'!$A$35:$I$55,4,0)),0,VLOOKUP(A108,'Données projet'!$A$35:$I$55,4,0))</f>
        <v>62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326</v>
      </c>
      <c r="AG108" s="13">
        <f>VLOOKUP(A108,'Données projet'!$A$61:$I$81,9,0)</f>
        <v>4.8</v>
      </c>
      <c r="AH108" s="13">
        <f t="array" ref="AH108">INDEX(AG:AG,MIN(IF(ISNUMBER(AG108:AG304),ROW(AG108:AG304),"")))</f>
        <v>4.8</v>
      </c>
      <c r="AI108" s="14">
        <f>IF('Données projet'!$A$62&gt;35,AI107+AH108-AQ107,IF(A108&lt;'Données projet'!$A$62,$AF$205^A108,IF(A108='Données projet'!$A$62,'Données projet'!$B$62,AI107+AH108-AQ107)))</f>
        <v>326.00000000000006</v>
      </c>
      <c r="AJ108" s="14">
        <f>AI108*VLOOKUP('Données projet'!$B$10,Paramètres!$A$1:$I$89,3,0)*VLOOKUP('Données projet'!$B$10,Paramètres!$A$1:$I$89,5,0)</f>
        <v>294.96480000000003</v>
      </c>
      <c r="AK108" s="14">
        <f t="shared" si="89"/>
        <v>70.119854541045001</v>
      </c>
      <c r="AL108" s="22">
        <f t="shared" si="58"/>
        <v>635.85577332565333</v>
      </c>
      <c r="AM108" s="58">
        <f t="shared" si="59"/>
        <v>929.1891066589867</v>
      </c>
      <c r="AN108" s="58">
        <f ca="1">AVERAGE(OFFSET($AM$3,0,0,'Données projet'!$E$10+1,1))-AVERAGE(OFFSET($H$3,0,0,'Données projet'!$E$10+1,1))</f>
        <v>435.7095890216213</v>
      </c>
      <c r="AO108" s="58">
        <f t="shared" si="90"/>
        <v>231.36959598460686</v>
      </c>
      <c r="AP108" s="16">
        <f>IF(ISNA(VLOOKUP(A108,'Données projet'!$A$61:$I$81,3,0)),0,VLOOKUP(A108,'Données projet'!$A$61:$I$81,3,0))</f>
        <v>8</v>
      </c>
      <c r="AQ108" s="16">
        <f>IF(ISNA(VLOOKUP(A108,'Données projet'!$A$61:$I$81,4,0)),0,VLOOKUP(A108,'Données projet'!$A$61:$I$81,4,0))</f>
        <v>62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-4.9658410716801891E-14</v>
      </c>
      <c r="BF108" s="14" t="e">
        <f t="shared" si="91"/>
        <v>#NUM!</v>
      </c>
      <c r="BG108" s="22" t="e">
        <f t="shared" si="61"/>
        <v>#NUM!</v>
      </c>
      <c r="BH108" s="58" t="e">
        <f t="shared" si="62"/>
        <v>#NUM!</v>
      </c>
      <c r="BI108" s="58">
        <f ca="1">AVERAGE(OFFSET($BH$3,0,0,'Données projet'!$E$11+1,1))-AVERAGE(OFFSET($H$3,0,0,'Données projet'!$E$11+1,1))</f>
        <v>218.76424742311815</v>
      </c>
      <c r="BJ108" s="58">
        <f t="shared" si="92"/>
        <v>264.34598683038593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0.53042256176557767</v>
      </c>
      <c r="BQ108" s="23">
        <f>EXP(-LN(2)/25)*BQ107+(1-EXP(-LN(2)/25))/(LN(2)/25)*Calculateur!BL108*Calculateur!BN108*VLOOKUP('Données projet'!$B$11,Paramètres!$A$1:$I$89,3,0)*0.475*44/12</f>
        <v>0.54557237556605187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1.0759949373316295</v>
      </c>
      <c r="BT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232</v>
      </c>
      <c r="BW108" s="13">
        <f>VLOOKUP(A108,'Données projet'!$A$113:$I$133,9,0)</f>
        <v>3.4</v>
      </c>
      <c r="BX108" s="13">
        <f t="array" ref="BX108">INDEX(BW:BW,MIN(IF(ISNUMBER(BW108:BW304),ROW(BW108:BW304),"")))</f>
        <v>3.4</v>
      </c>
      <c r="BY108" s="13">
        <f>IF('Données projet'!$A$114&gt;35,BY107+BX108-CG107,IF(A108&lt;'Données projet'!$A$114,$BV$205^A108,IF(A108='Données projet'!$A$114,'Données projet'!$B$114,BY107+BX108-CG107)))</f>
        <v>232.00000000000006</v>
      </c>
      <c r="BZ108" s="14">
        <f>BY108*VLOOKUP('Données projet'!$B$12,Paramètres!$A$1:$I$89,3,0)*VLOOKUP('Données projet'!$B$12,Paramètres!$A$1:$I$89,5,0)</f>
        <v>224.39040000000006</v>
      </c>
      <c r="CA108" s="14">
        <f t="shared" si="93"/>
        <v>55.068017311015858</v>
      </c>
      <c r="CB108" s="22">
        <f t="shared" si="64"/>
        <v>486.72341015001939</v>
      </c>
      <c r="CC108" s="58">
        <f t="shared" si="65"/>
        <v>780.05674348335265</v>
      </c>
      <c r="CD108" s="58">
        <f ca="1">AVERAGE(OFFSET($CC$3,0,0,'Données projet'!$E$12+1,1))-AVERAGE(OFFSET($H$3,0,0,'Données projet'!$E$12+1,1))</f>
        <v>343.86347628565426</v>
      </c>
      <c r="CE108" s="58">
        <f t="shared" si="94"/>
        <v>129.28196646107097</v>
      </c>
      <c r="CF108" s="16">
        <f>IF(ISNA(VLOOKUP(A108,'Données projet'!$A$113:$I$133,3,0)),0,VLOOKUP(A108,'Données projet'!$A$113:$I$133,3,0))</f>
        <v>8</v>
      </c>
      <c r="CG108" s="16">
        <f>IF(ISNA(VLOOKUP(A108,'Données projet'!$A$113:$I$133,4,0)),0,VLOOKUP(A108,'Données projet'!$A$113:$I$133,4,0))</f>
        <v>28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58" t="e">
        <f t="shared" si="68"/>
        <v>#N/A</v>
      </c>
      <c r="CY108" s="58" t="e">
        <f ca="1">AVERAGE(OFFSET($CX$3,0,0,'Données projet'!$E$13+1,1))-AVERAGE(OFFSET($H$3,0,0,'Données projet'!$E$13+1,1))</f>
        <v>#N/A</v>
      </c>
      <c r="CZ108" s="58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2.9090909090909065</v>
      </c>
      <c r="DO108" s="13">
        <f>IF('Données projet'!$A$166&gt;35,DO107+DN108-DW107,IF(A108&lt;'Données projet'!$A$166,$DL$205^A108,IF(A108='Données projet'!$A$166,'Données projet'!$B$166,DO107+DN108-DW107)))</f>
        <v>217.57575757575776</v>
      </c>
      <c r="DP108" s="18">
        <f>DO108*VLOOKUP('Données projet'!$B$14,Paramètres!$A$1:$I$89,3,0)*VLOOKUP('Données projet'!$B$14,Paramètres!$A$1:$I$89,5,0)</f>
        <v>207.0450909090911</v>
      </c>
      <c r="DQ108" s="14">
        <f t="shared" si="97"/>
        <v>51.289332125390125</v>
      </c>
      <c r="DR108" s="22">
        <f t="shared" si="70"/>
        <v>449.93245345172153</v>
      </c>
      <c r="DS108" s="58">
        <f t="shared" si="71"/>
        <v>743.26578678505484</v>
      </c>
      <c r="DT108" s="58">
        <f ca="1">AVERAGE(OFFSET($DS$3,0,0,'Données projet'!$E$14+1,1))-AVERAGE(OFFSET($H$3,0,0,'Données projet'!$E$14+1,1))</f>
        <v>332.49889399440514</v>
      </c>
      <c r="DU108" s="58">
        <f t="shared" si="98"/>
        <v>256.06044006790529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4.3589743589743595</v>
      </c>
      <c r="EJ108" s="13">
        <f>IF('Données projet'!$A$192&gt;35,EJ107+EI108-ER107,IF(A108&lt;'Données projet'!$A$192,$EG$205^A108,IF(A108='Données projet'!$A$192,'Données projet'!$B$192,EJ107+EI108-ER107)))</f>
        <v>373.07692307692326</v>
      </c>
      <c r="EK108" s="18">
        <f>EJ108*VLOOKUP('Données projet'!$B$15,Paramètres!$A$1:$I$89,3,0)*VLOOKUP('Données projet'!$B$15,Paramètres!$A$1:$I$89,5,0)</f>
        <v>389.94000000000023</v>
      </c>
      <c r="EL108" s="14">
        <f t="shared" si="99"/>
        <v>89.734140996893444</v>
      </c>
      <c r="EM108" s="22">
        <f t="shared" si="73"/>
        <v>835.43246223625647</v>
      </c>
      <c r="EN108" s="58">
        <f t="shared" si="74"/>
        <v>1128.7657955695897</v>
      </c>
      <c r="EO108" s="58">
        <f ca="1">AVERAGE(OFFSET($EN$3,0,0,'Données projet'!$E$15+1,1))-AVERAGE(OFFSET($H$3,0,0,'Données projet'!$E$15+1,1))</f>
        <v>596.00698505207174</v>
      </c>
      <c r="EP108" s="58">
        <f t="shared" si="100"/>
        <v>378.16197659288338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309.71538461538461</v>
      </c>
      <c r="FC108" s="13">
        <f>VLOOKUP(A108,'Données projet'!$A$217:$I$237,9,0)</f>
        <v>7.5015384615384617</v>
      </c>
      <c r="FD108" s="13">
        <f t="array" ref="FD108">INDEX(FC:FC,MIN(IF(ISNUMBER(FC108:FC304),ROW(FC108:FC304),"")))</f>
        <v>7.5015384615384617</v>
      </c>
      <c r="FE108" s="13">
        <f>IF('Données projet'!$A$218&gt;35,FE107+FD108-FM107,IF(A108&lt;'Données projet'!$A$218,$FB$205^A108,IF(A108='Données projet'!$A$218,'Données projet'!$B$218,FE107+FD108-FM107)))</f>
        <v>309.71538461538483</v>
      </c>
      <c r="FF108" s="18">
        <f>FE108*VLOOKUP('Données projet'!$B$16,Paramètres!$A$1:$I$89,3,0)*VLOOKUP('Données projet'!$B$16,Paramètres!$A$1:$I$89,5,0)</f>
        <v>144.94680000000011</v>
      </c>
      <c r="FG108" s="14">
        <f t="shared" si="101"/>
        <v>37.427947530076921</v>
      </c>
      <c r="FH108" s="22">
        <f t="shared" si="76"/>
        <v>317.63601861488411</v>
      </c>
      <c r="FI108" s="58">
        <f t="shared" si="77"/>
        <v>610.96935194821742</v>
      </c>
      <c r="FJ108" s="58">
        <f ca="1">AVERAGE(OFFSET($FI$3,0,0,'Données projet'!$E$16+1,1))-AVERAGE(OFFSET($H$3,0,0,'Données projet'!$E$16+1,1))</f>
        <v>294.31042006404056</v>
      </c>
      <c r="FK108" s="58">
        <f t="shared" si="102"/>
        <v>260.93767498478502</v>
      </c>
      <c r="FL108" s="16">
        <f>IF(ISNA(VLOOKUP(A108,'Données projet'!$A$217:$I$237,3,0)),0,VLOOKUP(A108,'Données projet'!$A$217:$I$237,3,0))</f>
        <v>9</v>
      </c>
      <c r="FM108" s="16">
        <f>IF(ISNA(VLOOKUP(A108,'Données projet'!$A$217:$I$237,4,0)),0,VLOOKUP(A108,'Données projet'!$A$217:$I$237,4,0))</f>
        <v>309.71538461538461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348.07692307692304</v>
      </c>
      <c r="FX108" s="13">
        <f>VLOOKUP(A108,'Données projet'!$A$243:$I$263,9,0)</f>
        <v>3.5897435897435797</v>
      </c>
      <c r="FY108" s="13">
        <f t="array" ref="FY108">INDEX(FX:FX,MIN(IF(ISNUMBER(FX108:FX304),ROW(FX108:FX304),"")))</f>
        <v>3.5897435897435797</v>
      </c>
      <c r="FZ108" s="13">
        <f>IF('Données projet'!$A$244&gt;35,FZ107+FY108-GH107,IF(A108&lt;'Données projet'!$A$244,$FW$205^A108,IF(A108='Données projet'!$A$244,'Données projet'!$B$244,FZ107+FY108-GH107)))</f>
        <v>348.07692307692326</v>
      </c>
      <c r="GA108" s="18">
        <f>FZ108*VLOOKUP('Données projet'!$B$17,Paramètres!$A$1:$I$89,3,0)*VLOOKUP('Données projet'!$B$17,Paramètres!$A$1:$I$89,5,0)</f>
        <v>233.49000000000012</v>
      </c>
      <c r="GB108" s="14">
        <f t="shared" si="103"/>
        <v>57.036638439547325</v>
      </c>
      <c r="GC108" s="22">
        <f t="shared" si="79"/>
        <v>506.00056194887856</v>
      </c>
      <c r="GD108" s="58">
        <f t="shared" si="80"/>
        <v>799.33389528221187</v>
      </c>
      <c r="GE108" s="58">
        <f ca="1">AVERAGE(OFFSET($GD$3,0,0,'Données projet'!$E$17+1,1))-AVERAGE(OFFSET($H$3,0,0,'Données projet'!$E$17+1,1))</f>
        <v>362.1372269575329</v>
      </c>
      <c r="GF108" s="58">
        <f t="shared" si="104"/>
        <v>308.1559670593121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58" t="e">
        <f t="shared" si="83"/>
        <v>#N/A</v>
      </c>
      <c r="GZ108" s="58" t="e">
        <f ca="1">AVERAGE(OFFSET($GY$3,0,0,'Données projet'!$E$18+1,1))-AVERAGE(OFFSET($H$3,0,0,'Données projet'!$E$18+1,1))</f>
        <v>#N/A</v>
      </c>
      <c r="HA108" s="58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0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3">
        <f t="shared" si="56"/>
        <v>256.66666666666669</v>
      </c>
      <c r="I109" s="6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3.8666666666666667</v>
      </c>
      <c r="N109" s="14">
        <f>IF('Données projet'!$A$36&gt;35,N108+M109-V108,IF(A109&lt;'Données projet'!$A$36,$K$205^A109,IF(A109='Données projet'!$A$36,'Données projet'!$B$36,N108+M109-V108)))</f>
        <v>267.86666666666673</v>
      </c>
      <c r="O109" s="14">
        <f>N109*VLOOKUP('Données projet'!$B$9,Paramètres!$A$1:$I$89,3,0)*VLOOKUP('Données projet'!$B$9,Paramètres!$A$1:$I$89,5,0)</f>
        <v>271.61680000000007</v>
      </c>
      <c r="P109" s="14">
        <f t="shared" si="87"/>
        <v>65.19227573593183</v>
      </c>
      <c r="Q109" s="22">
        <f t="shared" si="107"/>
        <v>586.60914024008139</v>
      </c>
      <c r="R109" s="58">
        <f t="shared" si="55"/>
        <v>879.94247357341465</v>
      </c>
      <c r="S109" s="58">
        <f ca="1">AVERAGE(OFFSET($R$3,0,0,'Données projet'!$E$9+1,1))-AVERAGE(OFFSET($H$3,0,0,'Données projet'!$E$9+1,1))</f>
        <v>483.15009705023641</v>
      </c>
      <c r="T109" s="58">
        <f t="shared" si="88"/>
        <v>254.25036207346591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3.8666666666666667</v>
      </c>
      <c r="AI109" s="14">
        <f>IF('Données projet'!$A$62&gt;35,AI108+AH109-AQ108,IF(A109&lt;'Données projet'!$A$62,$AF$205^A109,IF(A109='Données projet'!$A$62,'Données projet'!$B$62,AI108+AH109-AQ108)))</f>
        <v>267.86666666666673</v>
      </c>
      <c r="AJ109" s="14">
        <f>AI109*VLOOKUP('Données projet'!$B$10,Paramètres!$A$1:$I$89,3,0)*VLOOKUP('Données projet'!$B$10,Paramètres!$A$1:$I$89,5,0)</f>
        <v>242.36576000000002</v>
      </c>
      <c r="AK109" s="14">
        <f t="shared" si="89"/>
        <v>58.948244321967543</v>
      </c>
      <c r="AL109" s="22">
        <f t="shared" si="58"/>
        <v>524.78855752742686</v>
      </c>
      <c r="AM109" s="58">
        <f t="shared" si="59"/>
        <v>818.12189086076023</v>
      </c>
      <c r="AN109" s="58">
        <f ca="1">AVERAGE(OFFSET($AM$3,0,0,'Données projet'!$E$10+1,1))-AVERAGE(OFFSET($H$3,0,0,'Données projet'!$E$10+1,1))</f>
        <v>435.7095890216213</v>
      </c>
      <c r="AO109" s="58">
        <f t="shared" si="90"/>
        <v>231.36959598460686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-4.9658410716801891E-14</v>
      </c>
      <c r="BF109" s="14" t="e">
        <f t="shared" si="91"/>
        <v>#NUM!</v>
      </c>
      <c r="BG109" s="22" t="e">
        <f t="shared" si="61"/>
        <v>#NUM!</v>
      </c>
      <c r="BH109" s="58" t="e">
        <f t="shared" si="62"/>
        <v>#NUM!</v>
      </c>
      <c r="BI109" s="58">
        <f ca="1">AVERAGE(OFFSET($BH$3,0,0,'Données projet'!$E$11+1,1))-AVERAGE(OFFSET($H$3,0,0,'Données projet'!$E$11+1,1))</f>
        <v>218.76424742311815</v>
      </c>
      <c r="BJ109" s="58">
        <f t="shared" si="92"/>
        <v>264.34598683038593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0.5200212988551719</v>
      </c>
      <c r="BQ109" s="23">
        <f>EXP(-LN(2)/25)*BQ108+(1-EXP(-LN(2)/25))/(LN(2)/25)*Calculateur!BL109*Calculateur!BN109*VLOOKUP('Données projet'!$B$11,Paramètres!$A$1:$I$89,3,0)*0.475*44/12</f>
        <v>0.53065367026579391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1.0506749691209658</v>
      </c>
      <c r="BT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207.00000000000006</v>
      </c>
      <c r="BZ109" s="14">
        <f>BY109*VLOOKUP('Données projet'!$B$12,Paramètres!$A$1:$I$89,3,0)*VLOOKUP('Données projet'!$B$12,Paramètres!$A$1:$I$89,5,0)</f>
        <v>200.21040000000005</v>
      </c>
      <c r="CA109" s="14">
        <f t="shared" si="93"/>
        <v>49.790404447235048</v>
      </c>
      <c r="CB109" s="22">
        <f t="shared" si="64"/>
        <v>435.41806774560109</v>
      </c>
      <c r="CC109" s="58">
        <f t="shared" si="65"/>
        <v>728.75140107893435</v>
      </c>
      <c r="CD109" s="58">
        <f ca="1">AVERAGE(OFFSET($CC$3,0,0,'Données projet'!$E$12+1,1))-AVERAGE(OFFSET($H$3,0,0,'Données projet'!$E$12+1,1))</f>
        <v>343.86347628565426</v>
      </c>
      <c r="CE109" s="58">
        <f t="shared" si="94"/>
        <v>129.28196646107097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58" t="e">
        <f t="shared" si="68"/>
        <v>#N/A</v>
      </c>
      <c r="CY109" s="58" t="e">
        <f ca="1">AVERAGE(OFFSET($CX$3,0,0,'Données projet'!$E$13+1,1))-AVERAGE(OFFSET($H$3,0,0,'Données projet'!$E$13+1,1))</f>
        <v>#N/A</v>
      </c>
      <c r="CZ109" s="58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2.9090909090909065</v>
      </c>
      <c r="DO109" s="13">
        <f>IF('Données projet'!$A$166&gt;35,DO108+DN109-DW108,IF(A109&lt;'Données projet'!$A$166,$DL$205^A109,IF(A109='Données projet'!$A$166,'Données projet'!$B$166,DO108+DN109-DW108)))</f>
        <v>220.48484848484867</v>
      </c>
      <c r="DP109" s="18">
        <f>DO109*VLOOKUP('Données projet'!$B$14,Paramètres!$A$1:$I$89,3,0)*VLOOKUP('Données projet'!$B$14,Paramètres!$A$1:$I$89,5,0)</f>
        <v>209.81338181818199</v>
      </c>
      <c r="DQ109" s="14">
        <f t="shared" si="97"/>
        <v>51.894802820453727</v>
      </c>
      <c r="DR109" s="22">
        <f t="shared" si="70"/>
        <v>455.80842157895717</v>
      </c>
      <c r="DS109" s="58">
        <f t="shared" si="71"/>
        <v>749.14175491229048</v>
      </c>
      <c r="DT109" s="58">
        <f ca="1">AVERAGE(OFFSET($DS$3,0,0,'Données projet'!$E$14+1,1))-AVERAGE(OFFSET($H$3,0,0,'Données projet'!$E$14+1,1))</f>
        <v>332.49889399440514</v>
      </c>
      <c r="DU109" s="58">
        <f t="shared" si="98"/>
        <v>256.06044006790529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4.3589743589743595</v>
      </c>
      <c r="EJ109" s="13">
        <f>IF('Données projet'!$A$192&gt;35,EJ108+EI109-ER108,IF(A109&lt;'Données projet'!$A$192,$EG$205^A109,IF(A109='Données projet'!$A$192,'Données projet'!$B$192,EJ108+EI109-ER108)))</f>
        <v>377.43589743589763</v>
      </c>
      <c r="EK109" s="18">
        <f>EJ109*VLOOKUP('Données projet'!$B$15,Paramètres!$A$1:$I$89,3,0)*VLOOKUP('Données projet'!$B$15,Paramètres!$A$1:$I$89,5,0)</f>
        <v>394.49600000000027</v>
      </c>
      <c r="EL109" s="14">
        <f t="shared" si="99"/>
        <v>90.65991546953272</v>
      </c>
      <c r="EM109" s="22">
        <f t="shared" si="73"/>
        <v>844.97988610943651</v>
      </c>
      <c r="EN109" s="58">
        <f t="shared" si="74"/>
        <v>1138.3132194427699</v>
      </c>
      <c r="EO109" s="58">
        <f ca="1">AVERAGE(OFFSET($EN$3,0,0,'Données projet'!$E$15+1,1))-AVERAGE(OFFSET($H$3,0,0,'Données projet'!$E$15+1,1))</f>
        <v>596.00698505207174</v>
      </c>
      <c r="EP109" s="58">
        <f t="shared" si="100"/>
        <v>378.16197659288338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2.2737367544323206E-13</v>
      </c>
      <c r="FF109" s="18">
        <f>FE109*VLOOKUP('Données projet'!$B$16,Paramètres!$A$1:$I$89,3,0)*VLOOKUP('Données projet'!$B$16,Paramètres!$A$1:$I$89,5,0)</f>
        <v>1.064108801074326E-13</v>
      </c>
      <c r="FG109" s="14">
        <f t="shared" si="101"/>
        <v>1.5870730813698654E-12</v>
      </c>
      <c r="FH109" s="22">
        <f t="shared" si="76"/>
        <v>2.9494845662396269E-12</v>
      </c>
      <c r="FI109" s="58">
        <f t="shared" si="77"/>
        <v>293.33333333333627</v>
      </c>
      <c r="FJ109" s="58">
        <f ca="1">AVERAGE(OFFSET($FI$3,0,0,'Données projet'!$E$16+1,1))-AVERAGE(OFFSET($H$3,0,0,'Données projet'!$E$16+1,1))</f>
        <v>294.31042006404056</v>
      </c>
      <c r="FK109" s="58">
        <f t="shared" si="102"/>
        <v>260.93767498478502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3.7179487179487181</v>
      </c>
      <c r="FZ109" s="13">
        <f>IF('Données projet'!$A$244&gt;35,FZ108+FY109-GH108,IF(A109&lt;'Données projet'!$A$244,$FW$205^A109,IF(A109='Données projet'!$A$244,'Données projet'!$B$244,FZ108+FY109-GH108)))</f>
        <v>351.79487179487199</v>
      </c>
      <c r="GA109" s="18">
        <f>FZ109*VLOOKUP('Données projet'!$B$17,Paramètres!$A$1:$I$89,3,0)*VLOOKUP('Données projet'!$B$17,Paramètres!$A$1:$I$89,5,0)</f>
        <v>235.98400000000012</v>
      </c>
      <c r="GB109" s="14">
        <f t="shared" si="103"/>
        <v>57.574621739155809</v>
      </c>
      <c r="GC109" s="22">
        <f t="shared" si="79"/>
        <v>511.28126619569656</v>
      </c>
      <c r="GD109" s="58">
        <f t="shared" si="80"/>
        <v>804.61459952902987</v>
      </c>
      <c r="GE109" s="58">
        <f ca="1">AVERAGE(OFFSET($GD$3,0,0,'Données projet'!$E$17+1,1))-AVERAGE(OFFSET($H$3,0,0,'Données projet'!$E$17+1,1))</f>
        <v>362.1372269575329</v>
      </c>
      <c r="GF109" s="58">
        <f t="shared" si="104"/>
        <v>308.1559670593121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58" t="e">
        <f t="shared" si="83"/>
        <v>#N/A</v>
      </c>
      <c r="GZ109" s="58" t="e">
        <f ca="1">AVERAGE(OFFSET($GY$3,0,0,'Données projet'!$E$18+1,1))-AVERAGE(OFFSET($H$3,0,0,'Données projet'!$E$18+1,1))</f>
        <v>#N/A</v>
      </c>
      <c r="HA109" s="58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0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3">
        <f t="shared" si="56"/>
        <v>256.66666666666669</v>
      </c>
      <c r="I110" s="6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3.8666666666666667</v>
      </c>
      <c r="N110" s="14">
        <f>IF('Données projet'!$A$36&gt;35,N109+M110-V109,IF(A110&lt;'Données projet'!$A$36,$K$205^A110,IF(A110='Données projet'!$A$36,'Données projet'!$B$36,N109+M110-V109)))</f>
        <v>271.73333333333341</v>
      </c>
      <c r="O110" s="14">
        <f>N110*VLOOKUP('Données projet'!$B$9,Paramètres!$A$1:$I$89,3,0)*VLOOKUP('Données projet'!$B$9,Paramètres!$A$1:$I$89,5,0)</f>
        <v>275.53760000000011</v>
      </c>
      <c r="P110" s="14">
        <f t="shared" si="87"/>
        <v>66.023095547655132</v>
      </c>
      <c r="Q110" s="22">
        <f t="shared" si="107"/>
        <v>594.88487807883291</v>
      </c>
      <c r="R110" s="58">
        <f t="shared" si="55"/>
        <v>888.21821141216628</v>
      </c>
      <c r="S110" s="58">
        <f ca="1">AVERAGE(OFFSET($R$3,0,0,'Données projet'!$E$9+1,1))-AVERAGE(OFFSET($H$3,0,0,'Données projet'!$E$9+1,1))</f>
        <v>483.15009705023641</v>
      </c>
      <c r="T110" s="58">
        <f t="shared" si="88"/>
        <v>254.25036207346591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3.8666666666666667</v>
      </c>
      <c r="AI110" s="14">
        <f>IF('Données projet'!$A$62&gt;35,AI109+AH110-AQ109,IF(A110&lt;'Données projet'!$A$62,$AF$205^A110,IF(A110='Données projet'!$A$62,'Données projet'!$B$62,AI109+AH110-AQ109)))</f>
        <v>271.73333333333341</v>
      </c>
      <c r="AJ110" s="14">
        <f>AI110*VLOOKUP('Données projet'!$B$10,Paramètres!$A$1:$I$89,3,0)*VLOOKUP('Données projet'!$B$10,Paramètres!$A$1:$I$89,5,0)</f>
        <v>245.86432000000005</v>
      </c>
      <c r="AK110" s="14">
        <f t="shared" si="89"/>
        <v>59.699489292267046</v>
      </c>
      <c r="AL110" s="22">
        <f t="shared" si="58"/>
        <v>532.1903011840318</v>
      </c>
      <c r="AM110" s="58">
        <f t="shared" si="59"/>
        <v>825.52363451736505</v>
      </c>
      <c r="AN110" s="58">
        <f ca="1">AVERAGE(OFFSET($AM$3,0,0,'Données projet'!$E$10+1,1))-AVERAGE(OFFSET($H$3,0,0,'Données projet'!$E$10+1,1))</f>
        <v>435.7095890216213</v>
      </c>
      <c r="AO110" s="58">
        <f t="shared" si="90"/>
        <v>231.36959598460686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-4.9658410716801891E-14</v>
      </c>
      <c r="BF110" s="14" t="e">
        <f t="shared" si="91"/>
        <v>#NUM!</v>
      </c>
      <c r="BG110" s="22" t="e">
        <f t="shared" si="61"/>
        <v>#NUM!</v>
      </c>
      <c r="BH110" s="58" t="e">
        <f t="shared" si="62"/>
        <v>#NUM!</v>
      </c>
      <c r="BI110" s="58">
        <f ca="1">AVERAGE(OFFSET($BH$3,0,0,'Données projet'!$E$11+1,1))-AVERAGE(OFFSET($H$3,0,0,'Données projet'!$E$11+1,1))</f>
        <v>218.76424742311815</v>
      </c>
      <c r="BJ110" s="58">
        <f t="shared" si="92"/>
        <v>264.34598683038593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0.50982399836629522</v>
      </c>
      <c r="BQ110" s="23">
        <f>EXP(-LN(2)/25)*BQ109+(1-EXP(-LN(2)/25))/(LN(2)/25)*Calculateur!BL110*Calculateur!BN110*VLOOKUP('Données projet'!$B$11,Paramètres!$A$1:$I$89,3,0)*0.475*44/12</f>
        <v>0.51614291774651211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1.0259669161128073</v>
      </c>
      <c r="BT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210.00000000000006</v>
      </c>
      <c r="BZ110" s="14">
        <f>BY110*VLOOKUP('Données projet'!$B$12,Paramètres!$A$1:$I$89,3,0)*VLOOKUP('Données projet'!$B$12,Paramètres!$A$1:$I$89,5,0)</f>
        <v>203.11200000000008</v>
      </c>
      <c r="CA110" s="14">
        <f t="shared" si="93"/>
        <v>50.427475336015782</v>
      </c>
      <c r="CB110" s="22">
        <f t="shared" si="64"/>
        <v>441.58125287689427</v>
      </c>
      <c r="CC110" s="58">
        <f t="shared" si="65"/>
        <v>734.91458621022753</v>
      </c>
      <c r="CD110" s="58">
        <f ca="1">AVERAGE(OFFSET($CC$3,0,0,'Données projet'!$E$12+1,1))-AVERAGE(OFFSET($H$3,0,0,'Données projet'!$E$12+1,1))</f>
        <v>343.86347628565426</v>
      </c>
      <c r="CE110" s="58">
        <f t="shared" si="94"/>
        <v>129.28196646107097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58" t="e">
        <f t="shared" si="68"/>
        <v>#N/A</v>
      </c>
      <c r="CY110" s="58" t="e">
        <f ca="1">AVERAGE(OFFSET($CX$3,0,0,'Données projet'!$E$13+1,1))-AVERAGE(OFFSET($H$3,0,0,'Données projet'!$E$13+1,1))</f>
        <v>#N/A</v>
      </c>
      <c r="CZ110" s="58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2.9090909090909065</v>
      </c>
      <c r="DO110" s="13">
        <f>IF('Données projet'!$A$166&gt;35,DO109+DN110-DW109,IF(A110&lt;'Données projet'!$A$166,$DL$205^A110,IF(A110='Données projet'!$A$166,'Données projet'!$B$166,DO109+DN110-DW109)))</f>
        <v>223.39393939393958</v>
      </c>
      <c r="DP110" s="18">
        <f>DO110*VLOOKUP('Données projet'!$B$14,Paramètres!$A$1:$I$89,3,0)*VLOOKUP('Données projet'!$B$14,Paramètres!$A$1:$I$89,5,0)</f>
        <v>212.58167272727289</v>
      </c>
      <c r="DQ110" s="14">
        <f t="shared" si="97"/>
        <v>52.499344325520426</v>
      </c>
      <c r="DR110" s="22">
        <f t="shared" si="70"/>
        <v>461.68277136694832</v>
      </c>
      <c r="DS110" s="58">
        <f t="shared" si="71"/>
        <v>755.01610470028163</v>
      </c>
      <c r="DT110" s="58">
        <f ca="1">AVERAGE(OFFSET($DS$3,0,0,'Données projet'!$E$14+1,1))-AVERAGE(OFFSET($H$3,0,0,'Données projet'!$E$14+1,1))</f>
        <v>332.49889399440514</v>
      </c>
      <c r="DU110" s="58">
        <f t="shared" si="98"/>
        <v>256.06044006790529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4.3589743589743595</v>
      </c>
      <c r="EJ110" s="13">
        <f>IF('Données projet'!$A$192&gt;35,EJ109+EI110-ER109,IF(A110&lt;'Données projet'!$A$192,$EG$205^A110,IF(A110='Données projet'!$A$192,'Données projet'!$B$192,EJ109+EI110-ER109)))</f>
        <v>381.79487179487199</v>
      </c>
      <c r="EK110" s="18">
        <f>EJ110*VLOOKUP('Données projet'!$B$15,Paramètres!$A$1:$I$89,3,0)*VLOOKUP('Données projet'!$B$15,Paramètres!$A$1:$I$89,5,0)</f>
        <v>399.05200000000025</v>
      </c>
      <c r="EL110" s="14">
        <f t="shared" si="99"/>
        <v>91.584446236469049</v>
      </c>
      <c r="EM110" s="22">
        <f t="shared" si="73"/>
        <v>854.52514386185067</v>
      </c>
      <c r="EN110" s="58">
        <f t="shared" si="74"/>
        <v>1147.8584771951839</v>
      </c>
      <c r="EO110" s="58">
        <f ca="1">AVERAGE(OFFSET($EN$3,0,0,'Données projet'!$E$15+1,1))-AVERAGE(OFFSET($H$3,0,0,'Données projet'!$E$15+1,1))</f>
        <v>596.00698505207174</v>
      </c>
      <c r="EP110" s="58">
        <f t="shared" si="100"/>
        <v>378.16197659288338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2.2737367544323206E-13</v>
      </c>
      <c r="FF110" s="18">
        <f>FE110*VLOOKUP('Données projet'!$B$16,Paramètres!$A$1:$I$89,3,0)*VLOOKUP('Données projet'!$B$16,Paramètres!$A$1:$I$89,5,0)</f>
        <v>1.064108801074326E-13</v>
      </c>
      <c r="FG110" s="14">
        <f t="shared" si="101"/>
        <v>1.5870730813698654E-12</v>
      </c>
      <c r="FH110" s="22">
        <f t="shared" si="76"/>
        <v>2.9494845662396269E-12</v>
      </c>
      <c r="FI110" s="58">
        <f t="shared" si="77"/>
        <v>293.33333333333627</v>
      </c>
      <c r="FJ110" s="58">
        <f ca="1">AVERAGE(OFFSET($FI$3,0,0,'Données projet'!$E$16+1,1))-AVERAGE(OFFSET($H$3,0,0,'Données projet'!$E$16+1,1))</f>
        <v>294.31042006404056</v>
      </c>
      <c r="FK110" s="58">
        <f t="shared" si="102"/>
        <v>260.93767498478502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3.7179487179487181</v>
      </c>
      <c r="FZ110" s="13">
        <f>IF('Données projet'!$A$244&gt;35,FZ109+FY110-GH109,IF(A110&lt;'Données projet'!$A$244,$FW$205^A110,IF(A110='Données projet'!$A$244,'Données projet'!$B$244,FZ109+FY110-GH109)))</f>
        <v>355.51282051282072</v>
      </c>
      <c r="GA110" s="18">
        <f>FZ110*VLOOKUP('Données projet'!$B$17,Paramètres!$A$1:$I$89,3,0)*VLOOKUP('Données projet'!$B$17,Paramètres!$A$1:$I$89,5,0)</f>
        <v>238.47800000000015</v>
      </c>
      <c r="GB110" s="14">
        <f t="shared" si="103"/>
        <v>58.11194361908256</v>
      </c>
      <c r="GC110" s="22">
        <f t="shared" si="79"/>
        <v>516.5608184699023</v>
      </c>
      <c r="GD110" s="58">
        <f t="shared" si="80"/>
        <v>809.89415180323567</v>
      </c>
      <c r="GE110" s="58">
        <f ca="1">AVERAGE(OFFSET($GD$3,0,0,'Données projet'!$E$17+1,1))-AVERAGE(OFFSET($H$3,0,0,'Données projet'!$E$17+1,1))</f>
        <v>362.1372269575329</v>
      </c>
      <c r="GF110" s="58">
        <f t="shared" si="104"/>
        <v>308.1559670593121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58" t="e">
        <f t="shared" si="83"/>
        <v>#N/A</v>
      </c>
      <c r="GZ110" s="58" t="e">
        <f ca="1">AVERAGE(OFFSET($GY$3,0,0,'Données projet'!$E$18+1,1))-AVERAGE(OFFSET($H$3,0,0,'Données projet'!$E$18+1,1))</f>
        <v>#N/A</v>
      </c>
      <c r="HA110" s="58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0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3">
        <f t="shared" si="56"/>
        <v>256.66666666666669</v>
      </c>
      <c r="I111" s="6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3.8666666666666667</v>
      </c>
      <c r="N111" s="14">
        <f>IF('Données projet'!$A$36&gt;35,N110+M111-V110,IF(A111&lt;'Données projet'!$A$36,$K$205^A111,IF(A111='Données projet'!$A$36,'Données projet'!$B$36,N110+M111-V110)))</f>
        <v>275.60000000000008</v>
      </c>
      <c r="O111" s="14">
        <f>N111*VLOOKUP('Données projet'!$B$9,Paramètres!$A$1:$I$89,3,0)*VLOOKUP('Données projet'!$B$9,Paramètres!$A$1:$I$89,5,0)</f>
        <v>279.4584000000001</v>
      </c>
      <c r="P111" s="14">
        <f t="shared" si="87"/>
        <v>66.85254033777278</v>
      </c>
      <c r="Q111" s="22">
        <f t="shared" si="107"/>
        <v>603.15822108828763</v>
      </c>
      <c r="R111" s="58">
        <f t="shared" si="55"/>
        <v>896.491554421621</v>
      </c>
      <c r="S111" s="58">
        <f ca="1">AVERAGE(OFFSET($R$3,0,0,'Données projet'!$E$9+1,1))-AVERAGE(OFFSET($H$3,0,0,'Données projet'!$E$9+1,1))</f>
        <v>483.15009705023641</v>
      </c>
      <c r="T111" s="58">
        <f t="shared" si="88"/>
        <v>254.25036207346591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3.8666666666666667</v>
      </c>
      <c r="AI111" s="14">
        <f>IF('Données projet'!$A$62&gt;35,AI110+AH111-AQ110,IF(A111&lt;'Données projet'!$A$62,$AF$205^A111,IF(A111='Données projet'!$A$62,'Données projet'!$B$62,AI110+AH111-AQ110)))</f>
        <v>275.60000000000008</v>
      </c>
      <c r="AJ111" s="14">
        <f>AI111*VLOOKUP('Données projet'!$B$10,Paramètres!$A$1:$I$89,3,0)*VLOOKUP('Données projet'!$B$10,Paramètres!$A$1:$I$89,5,0)</f>
        <v>249.36288000000008</v>
      </c>
      <c r="AK111" s="14">
        <f t="shared" si="89"/>
        <v>60.449490938742557</v>
      </c>
      <c r="AL111" s="22">
        <f t="shared" si="58"/>
        <v>539.58987938497671</v>
      </c>
      <c r="AM111" s="58">
        <f t="shared" si="59"/>
        <v>832.92321271830997</v>
      </c>
      <c r="AN111" s="58">
        <f ca="1">AVERAGE(OFFSET($AM$3,0,0,'Données projet'!$E$10+1,1))-AVERAGE(OFFSET($H$3,0,0,'Données projet'!$E$10+1,1))</f>
        <v>435.7095890216213</v>
      </c>
      <c r="AO111" s="58">
        <f t="shared" si="90"/>
        <v>231.36959598460686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-4.9658410716801891E-14</v>
      </c>
      <c r="BF111" s="14" t="e">
        <f t="shared" si="91"/>
        <v>#NUM!</v>
      </c>
      <c r="BG111" s="22" t="e">
        <f t="shared" si="61"/>
        <v>#NUM!</v>
      </c>
      <c r="BH111" s="58" t="e">
        <f t="shared" si="62"/>
        <v>#NUM!</v>
      </c>
      <c r="BI111" s="58">
        <f ca="1">AVERAGE(OFFSET($BH$3,0,0,'Données projet'!$E$11+1,1))-AVERAGE(OFFSET($H$3,0,0,'Données projet'!$E$11+1,1))</f>
        <v>218.76424742311815</v>
      </c>
      <c r="BJ111" s="58">
        <f t="shared" si="92"/>
        <v>264.34598683038593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0.49982666072026621</v>
      </c>
      <c r="BQ111" s="23">
        <f>EXP(-LN(2)/25)*BQ110+(1-EXP(-LN(2)/25))/(LN(2)/25)*Calculateur!BL111*Calculateur!BN111*VLOOKUP('Données projet'!$B$11,Paramètres!$A$1:$I$89,3,0)*0.475*44/12</f>
        <v>0.50202896251795737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1.0018556232382236</v>
      </c>
      <c r="BT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213.00000000000006</v>
      </c>
      <c r="BZ111" s="14">
        <f>BY111*VLOOKUP('Données projet'!$B$12,Paramètres!$A$1:$I$89,3,0)*VLOOKUP('Données projet'!$B$12,Paramètres!$A$1:$I$89,5,0)</f>
        <v>206.01360000000005</v>
      </c>
      <c r="CA111" s="14">
        <f t="shared" si="93"/>
        <v>51.063487709141484</v>
      </c>
      <c r="CB111" s="22">
        <f t="shared" si="64"/>
        <v>447.74259442675481</v>
      </c>
      <c r="CC111" s="58">
        <f t="shared" si="65"/>
        <v>741.07592776008812</v>
      </c>
      <c r="CD111" s="58">
        <f ca="1">AVERAGE(OFFSET($CC$3,0,0,'Données projet'!$E$12+1,1))-AVERAGE(OFFSET($H$3,0,0,'Données projet'!$E$12+1,1))</f>
        <v>343.86347628565426</v>
      </c>
      <c r="CE111" s="58">
        <f t="shared" si="94"/>
        <v>129.28196646107097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58" t="e">
        <f t="shared" si="68"/>
        <v>#N/A</v>
      </c>
      <c r="CY111" s="58" t="e">
        <f ca="1">AVERAGE(OFFSET($CX$3,0,0,'Données projet'!$E$13+1,1))-AVERAGE(OFFSET($H$3,0,0,'Données projet'!$E$13+1,1))</f>
        <v>#N/A</v>
      </c>
      <c r="CZ111" s="58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2.9090909090909065</v>
      </c>
      <c r="DO111" s="13">
        <f>IF('Données projet'!$A$166&gt;35,DO110+DN111-DW110,IF(A111&lt;'Données projet'!$A$166,$DL$205^A111,IF(A111='Données projet'!$A$166,'Données projet'!$B$166,DO110+DN111-DW110)))</f>
        <v>226.30303030303048</v>
      </c>
      <c r="DP111" s="18">
        <f>DO111*VLOOKUP('Données projet'!$B$14,Paramètres!$A$1:$I$89,3,0)*VLOOKUP('Données projet'!$B$14,Paramètres!$A$1:$I$89,5,0)</f>
        <v>215.34996363636381</v>
      </c>
      <c r="DQ111" s="14">
        <f t="shared" si="97"/>
        <v>53.102970139722323</v>
      </c>
      <c r="DR111" s="22">
        <f t="shared" si="70"/>
        <v>467.55552632668332</v>
      </c>
      <c r="DS111" s="58">
        <f t="shared" si="71"/>
        <v>760.88885966001658</v>
      </c>
      <c r="DT111" s="58">
        <f ca="1">AVERAGE(OFFSET($DS$3,0,0,'Données projet'!$E$14+1,1))-AVERAGE(OFFSET($H$3,0,0,'Données projet'!$E$14+1,1))</f>
        <v>332.49889399440514</v>
      </c>
      <c r="DU111" s="58">
        <f t="shared" si="98"/>
        <v>256.06044006790529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4.3589743589743595</v>
      </c>
      <c r="EJ111" s="13">
        <f>IF('Données projet'!$A$192&gt;35,EJ110+EI111-ER110,IF(A111&lt;'Données projet'!$A$192,$EG$205^A111,IF(A111='Données projet'!$A$192,'Données projet'!$B$192,EJ110+EI111-ER110)))</f>
        <v>386.15384615384636</v>
      </c>
      <c r="EK111" s="18">
        <f>EJ111*VLOOKUP('Données projet'!$B$15,Paramètres!$A$1:$I$89,3,0)*VLOOKUP('Données projet'!$B$15,Paramètres!$A$1:$I$89,5,0)</f>
        <v>403.60800000000029</v>
      </c>
      <c r="EL111" s="14">
        <f t="shared" si="99"/>
        <v>92.507749140143559</v>
      </c>
      <c r="EM111" s="22">
        <f t="shared" si="73"/>
        <v>864.06826308575046</v>
      </c>
      <c r="EN111" s="58">
        <f t="shared" si="74"/>
        <v>1157.4015964190837</v>
      </c>
      <c r="EO111" s="58">
        <f ca="1">AVERAGE(OFFSET($EN$3,0,0,'Données projet'!$E$15+1,1))-AVERAGE(OFFSET($H$3,0,0,'Données projet'!$E$15+1,1))</f>
        <v>596.00698505207174</v>
      </c>
      <c r="EP111" s="58">
        <f t="shared" si="100"/>
        <v>378.16197659288338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2.2737367544323206E-13</v>
      </c>
      <c r="FF111" s="18">
        <f>FE111*VLOOKUP('Données projet'!$B$16,Paramètres!$A$1:$I$89,3,0)*VLOOKUP('Données projet'!$B$16,Paramètres!$A$1:$I$89,5,0)</f>
        <v>1.064108801074326E-13</v>
      </c>
      <c r="FG111" s="14">
        <f t="shared" si="101"/>
        <v>1.5870730813698654E-12</v>
      </c>
      <c r="FH111" s="22">
        <f t="shared" si="76"/>
        <v>2.9494845662396269E-12</v>
      </c>
      <c r="FI111" s="58">
        <f t="shared" si="77"/>
        <v>293.33333333333627</v>
      </c>
      <c r="FJ111" s="58">
        <f ca="1">AVERAGE(OFFSET($FI$3,0,0,'Données projet'!$E$16+1,1))-AVERAGE(OFFSET($H$3,0,0,'Données projet'!$E$16+1,1))</f>
        <v>294.31042006404056</v>
      </c>
      <c r="FK111" s="58">
        <f t="shared" si="102"/>
        <v>260.93767498478502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3.7179487179487181</v>
      </c>
      <c r="FZ111" s="13">
        <f>IF('Données projet'!$A$244&gt;35,FZ110+FY111-GH110,IF(A111&lt;'Données projet'!$A$244,$FW$205^A111,IF(A111='Données projet'!$A$244,'Données projet'!$B$244,FZ110+FY111-GH110)))</f>
        <v>359.23076923076945</v>
      </c>
      <c r="GA111" s="18">
        <f>FZ111*VLOOKUP('Données projet'!$B$17,Paramètres!$A$1:$I$89,3,0)*VLOOKUP('Données projet'!$B$17,Paramètres!$A$1:$I$89,5,0)</f>
        <v>240.97200000000018</v>
      </c>
      <c r="GB111" s="14">
        <f t="shared" si="103"/>
        <v>58.648611797183598</v>
      </c>
      <c r="GC111" s="22">
        <f t="shared" si="79"/>
        <v>521.83923221342832</v>
      </c>
      <c r="GD111" s="58">
        <f t="shared" si="80"/>
        <v>815.17256554676169</v>
      </c>
      <c r="GE111" s="58">
        <f ca="1">AVERAGE(OFFSET($GD$3,0,0,'Données projet'!$E$17+1,1))-AVERAGE(OFFSET($H$3,0,0,'Données projet'!$E$17+1,1))</f>
        <v>362.1372269575329</v>
      </c>
      <c r="GF111" s="58">
        <f t="shared" si="104"/>
        <v>308.1559670593121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58" t="e">
        <f t="shared" si="83"/>
        <v>#N/A</v>
      </c>
      <c r="GZ111" s="58" t="e">
        <f ca="1">AVERAGE(OFFSET($GY$3,0,0,'Données projet'!$E$18+1,1))-AVERAGE(OFFSET($H$3,0,0,'Données projet'!$E$18+1,1))</f>
        <v>#N/A</v>
      </c>
      <c r="HA111" s="58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0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3">
        <f t="shared" si="56"/>
        <v>256.66666666666669</v>
      </c>
      <c r="I112" s="6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3.8666666666666667</v>
      </c>
      <c r="N112" s="14">
        <f>IF('Données projet'!$A$36&gt;35,N111+M112-V111,IF(A112&lt;'Données projet'!$A$36,$K$205^A112,IF(A112='Données projet'!$A$36,'Données projet'!$B$36,N111+M112-V111)))</f>
        <v>279.46666666666675</v>
      </c>
      <c r="O112" s="14">
        <f>N112*VLOOKUP('Données projet'!$B$9,Paramètres!$A$1:$I$89,3,0)*VLOOKUP('Données projet'!$B$9,Paramètres!$A$1:$I$89,5,0)</f>
        <v>283.37920000000008</v>
      </c>
      <c r="P112" s="14">
        <f t="shared" si="87"/>
        <v>67.680631627211682</v>
      </c>
      <c r="Q112" s="22">
        <f t="shared" si="107"/>
        <v>611.42920675072708</v>
      </c>
      <c r="R112" s="58">
        <f t="shared" si="55"/>
        <v>904.76254008406045</v>
      </c>
      <c r="S112" s="58">
        <f ca="1">AVERAGE(OFFSET($R$3,0,0,'Données projet'!$E$9+1,1))-AVERAGE(OFFSET($H$3,0,0,'Données projet'!$E$9+1,1))</f>
        <v>483.15009705023641</v>
      </c>
      <c r="T112" s="58">
        <f t="shared" si="88"/>
        <v>254.25036207346591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3.8666666666666667</v>
      </c>
      <c r="AI112" s="14">
        <f>IF('Données projet'!$A$62&gt;35,AI111+AH112-AQ111,IF(A112&lt;'Données projet'!$A$62,$AF$205^A112,IF(A112='Données projet'!$A$62,'Données projet'!$B$62,AI111+AH112-AQ111)))</f>
        <v>279.46666666666675</v>
      </c>
      <c r="AJ112" s="14">
        <f>AI112*VLOOKUP('Données projet'!$B$10,Paramètres!$A$1:$I$89,3,0)*VLOOKUP('Données projet'!$B$10,Paramètres!$A$1:$I$89,5,0)</f>
        <v>252.86144000000004</v>
      </c>
      <c r="AK112" s="14">
        <f t="shared" si="89"/>
        <v>61.198268721074761</v>
      </c>
      <c r="AL112" s="22">
        <f t="shared" si="58"/>
        <v>546.98732602253847</v>
      </c>
      <c r="AM112" s="58">
        <f t="shared" si="59"/>
        <v>840.32065935587184</v>
      </c>
      <c r="AN112" s="58">
        <f ca="1">AVERAGE(OFFSET($AM$3,0,0,'Données projet'!$E$10+1,1))-AVERAGE(OFFSET($H$3,0,0,'Données projet'!$E$10+1,1))</f>
        <v>435.7095890216213</v>
      </c>
      <c r="AO112" s="58">
        <f t="shared" si="90"/>
        <v>231.36959598460686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-4.9658410716801891E-14</v>
      </c>
      <c r="BF112" s="14" t="e">
        <f t="shared" si="91"/>
        <v>#NUM!</v>
      </c>
      <c r="BG112" s="22" t="e">
        <f t="shared" si="61"/>
        <v>#NUM!</v>
      </c>
      <c r="BH112" s="58" t="e">
        <f t="shared" si="62"/>
        <v>#NUM!</v>
      </c>
      <c r="BI112" s="58">
        <f ca="1">AVERAGE(OFFSET($BH$3,0,0,'Données projet'!$E$11+1,1))-AVERAGE(OFFSET($H$3,0,0,'Données projet'!$E$11+1,1))</f>
        <v>218.76424742311815</v>
      </c>
      <c r="BJ112" s="58">
        <f t="shared" si="92"/>
        <v>264.34598683038593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0.49002536476770198</v>
      </c>
      <c r="BQ112" s="23">
        <f>EXP(-LN(2)/25)*BQ111+(1-EXP(-LN(2)/25))/(LN(2)/25)*Calculateur!BL112*Calculateur!BN112*VLOOKUP('Données projet'!$B$11,Paramètres!$A$1:$I$89,3,0)*0.475*44/12</f>
        <v>0.48830095413734809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0.97832631890505006</v>
      </c>
      <c r="BT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216.00000000000006</v>
      </c>
      <c r="BZ112" s="14">
        <f>BY112*VLOOKUP('Données projet'!$B$12,Paramètres!$A$1:$I$89,3,0)*VLOOKUP('Données projet'!$B$12,Paramètres!$A$1:$I$89,5,0)</f>
        <v>208.91520000000008</v>
      </c>
      <c r="CA112" s="14">
        <f t="shared" si="93"/>
        <v>51.698458198123369</v>
      </c>
      <c r="CB112" s="22">
        <f t="shared" si="64"/>
        <v>453.90212136173164</v>
      </c>
      <c r="CC112" s="58">
        <f t="shared" si="65"/>
        <v>747.23545469506496</v>
      </c>
      <c r="CD112" s="58">
        <f ca="1">AVERAGE(OFFSET($CC$3,0,0,'Données projet'!$E$12+1,1))-AVERAGE(OFFSET($H$3,0,0,'Données projet'!$E$12+1,1))</f>
        <v>343.86347628565426</v>
      </c>
      <c r="CE112" s="58">
        <f t="shared" si="94"/>
        <v>129.28196646107097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58" t="e">
        <f t="shared" si="68"/>
        <v>#N/A</v>
      </c>
      <c r="CY112" s="58" t="e">
        <f ca="1">AVERAGE(OFFSET($CX$3,0,0,'Données projet'!$E$13+1,1))-AVERAGE(OFFSET($H$3,0,0,'Données projet'!$E$13+1,1))</f>
        <v>#N/A</v>
      </c>
      <c r="CZ112" s="58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2.9090909090909065</v>
      </c>
      <c r="DO112" s="13">
        <f>IF('Données projet'!$A$166&gt;35,DO111+DN112-DW111,IF(A112&lt;'Données projet'!$A$166,$DL$205^A112,IF(A112='Données projet'!$A$166,'Données projet'!$B$166,DO111+DN112-DW111)))</f>
        <v>229.21212121212139</v>
      </c>
      <c r="DP112" s="18">
        <f>DO112*VLOOKUP('Données projet'!$B$14,Paramètres!$A$1:$I$89,3,0)*VLOOKUP('Données projet'!$B$14,Paramètres!$A$1:$I$89,5,0)</f>
        <v>218.11825454545473</v>
      </c>
      <c r="DQ112" s="14">
        <f t="shared" si="97"/>
        <v>53.705693395178599</v>
      </c>
      <c r="DR112" s="22">
        <f t="shared" si="70"/>
        <v>473.42670932993633</v>
      </c>
      <c r="DS112" s="58">
        <f t="shared" si="71"/>
        <v>766.76004266326959</v>
      </c>
      <c r="DT112" s="58">
        <f ca="1">AVERAGE(OFFSET($DS$3,0,0,'Données projet'!$E$14+1,1))-AVERAGE(OFFSET($H$3,0,0,'Données projet'!$E$14+1,1))</f>
        <v>332.49889399440514</v>
      </c>
      <c r="DU112" s="58">
        <f t="shared" si="98"/>
        <v>256.06044006790529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4.3589743589743595</v>
      </c>
      <c r="EJ112" s="13">
        <f>IF('Données projet'!$A$192&gt;35,EJ111+EI112-ER111,IF(A112&lt;'Données projet'!$A$192,$EG$205^A112,IF(A112='Données projet'!$A$192,'Données projet'!$B$192,EJ111+EI112-ER111)))</f>
        <v>390.51282051282072</v>
      </c>
      <c r="EK112" s="18">
        <f>EJ112*VLOOKUP('Données projet'!$B$15,Paramètres!$A$1:$I$89,3,0)*VLOOKUP('Données projet'!$B$15,Paramètres!$A$1:$I$89,5,0)</f>
        <v>408.16400000000033</v>
      </c>
      <c r="EL112" s="14">
        <f t="shared" si="99"/>
        <v>93.429839644741037</v>
      </c>
      <c r="EM112" s="22">
        <f t="shared" si="73"/>
        <v>873.60927071459116</v>
      </c>
      <c r="EN112" s="58">
        <f t="shared" si="74"/>
        <v>1166.9426040479245</v>
      </c>
      <c r="EO112" s="58">
        <f ca="1">AVERAGE(OFFSET($EN$3,0,0,'Données projet'!$E$15+1,1))-AVERAGE(OFFSET($H$3,0,0,'Données projet'!$E$15+1,1))</f>
        <v>596.00698505207174</v>
      </c>
      <c r="EP112" s="58">
        <f t="shared" si="100"/>
        <v>378.16197659288338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2.2737367544323206E-13</v>
      </c>
      <c r="FF112" s="18">
        <f>FE112*VLOOKUP('Données projet'!$B$16,Paramètres!$A$1:$I$89,3,0)*VLOOKUP('Données projet'!$B$16,Paramètres!$A$1:$I$89,5,0)</f>
        <v>1.064108801074326E-13</v>
      </c>
      <c r="FG112" s="14">
        <f t="shared" si="101"/>
        <v>1.5870730813698654E-12</v>
      </c>
      <c r="FH112" s="22">
        <f t="shared" si="76"/>
        <v>2.9494845662396269E-12</v>
      </c>
      <c r="FI112" s="58">
        <f t="shared" si="77"/>
        <v>293.33333333333627</v>
      </c>
      <c r="FJ112" s="58">
        <f ca="1">AVERAGE(OFFSET($FI$3,0,0,'Données projet'!$E$16+1,1))-AVERAGE(OFFSET($H$3,0,0,'Données projet'!$E$16+1,1))</f>
        <v>294.31042006404056</v>
      </c>
      <c r="FK112" s="58">
        <f t="shared" si="102"/>
        <v>260.93767498478502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3.7179487179487181</v>
      </c>
      <c r="FZ112" s="13">
        <f>IF('Données projet'!$A$244&gt;35,FZ111+FY112-GH111,IF(A112&lt;'Données projet'!$A$244,$FW$205^A112,IF(A112='Données projet'!$A$244,'Données projet'!$B$244,FZ111+FY112-GH111)))</f>
        <v>362.94871794871818</v>
      </c>
      <c r="GA112" s="18">
        <f>FZ112*VLOOKUP('Données projet'!$B$17,Paramètres!$A$1:$I$89,3,0)*VLOOKUP('Données projet'!$B$17,Paramètres!$A$1:$I$89,5,0)</f>
        <v>243.46600000000015</v>
      </c>
      <c r="GB112" s="14">
        <f t="shared" si="103"/>
        <v>59.184633822354165</v>
      </c>
      <c r="GC112" s="22">
        <f t="shared" si="79"/>
        <v>527.11652057393383</v>
      </c>
      <c r="GD112" s="58">
        <f t="shared" si="80"/>
        <v>820.4498539072672</v>
      </c>
      <c r="GE112" s="58">
        <f ca="1">AVERAGE(OFFSET($GD$3,0,0,'Données projet'!$E$17+1,1))-AVERAGE(OFFSET($H$3,0,0,'Données projet'!$E$17+1,1))</f>
        <v>362.1372269575329</v>
      </c>
      <c r="GF112" s="58">
        <f t="shared" si="104"/>
        <v>308.1559670593121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58" t="e">
        <f t="shared" si="83"/>
        <v>#N/A</v>
      </c>
      <c r="GZ112" s="58" t="e">
        <f ca="1">AVERAGE(OFFSET($GY$3,0,0,'Données projet'!$E$18+1,1))-AVERAGE(OFFSET($H$3,0,0,'Données projet'!$E$18+1,1))</f>
        <v>#N/A</v>
      </c>
      <c r="HA112" s="58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0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3">
        <f t="shared" si="56"/>
        <v>256.66666666666669</v>
      </c>
      <c r="I113" s="6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3.8666666666666667</v>
      </c>
      <c r="N113" s="14">
        <f>IF('Données projet'!$A$36&gt;35,N112+M113-V112,IF(A113&lt;'Données projet'!$A$36,$K$205^A113,IF(A113='Données projet'!$A$36,'Données projet'!$B$36,N112+M113-V112)))</f>
        <v>283.33333333333343</v>
      </c>
      <c r="O113" s="14">
        <f>N113*VLOOKUP('Données projet'!$B$9,Paramètres!$A$1:$I$89,3,0)*VLOOKUP('Données projet'!$B$9,Paramètres!$A$1:$I$89,5,0)</f>
        <v>287.30000000000013</v>
      </c>
      <c r="P113" s="14">
        <f t="shared" si="87"/>
        <v>68.507390307165139</v>
      </c>
      <c r="Q113" s="22">
        <f t="shared" si="107"/>
        <v>619.69787145164617</v>
      </c>
      <c r="R113" s="58">
        <f t="shared" si="55"/>
        <v>913.03120478497954</v>
      </c>
      <c r="S113" s="58">
        <f ca="1">AVERAGE(OFFSET($R$3,0,0,'Données projet'!$E$9+1,1))-AVERAGE(OFFSET($H$3,0,0,'Données projet'!$E$9+1,1))</f>
        <v>483.15009705023641</v>
      </c>
      <c r="T113" s="58">
        <f t="shared" si="88"/>
        <v>254.25036207346591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3.8666666666666667</v>
      </c>
      <c r="AI113" s="14">
        <f>IF('Données projet'!$A$62&gt;35,AI112+AH113-AQ112,IF(A113&lt;'Données projet'!$A$62,$AF$205^A113,IF(A113='Données projet'!$A$62,'Données projet'!$B$62,AI112+AH113-AQ112)))</f>
        <v>283.33333333333343</v>
      </c>
      <c r="AJ113" s="14">
        <f>AI113*VLOOKUP('Données projet'!$B$10,Paramètres!$A$1:$I$89,3,0)*VLOOKUP('Données projet'!$B$10,Paramètres!$A$1:$I$89,5,0)</f>
        <v>256.36000000000007</v>
      </c>
      <c r="AK113" s="14">
        <f t="shared" si="89"/>
        <v>61.945841529525417</v>
      </c>
      <c r="AL113" s="22">
        <f t="shared" si="58"/>
        <v>554.3826739972568</v>
      </c>
      <c r="AM113" s="58">
        <f t="shared" si="59"/>
        <v>847.71600733059017</v>
      </c>
      <c r="AN113" s="58">
        <f ca="1">AVERAGE(OFFSET($AM$3,0,0,'Données projet'!$E$10+1,1))-AVERAGE(OFFSET($H$3,0,0,'Données projet'!$E$10+1,1))</f>
        <v>435.7095890216213</v>
      </c>
      <c r="AO113" s="58">
        <f t="shared" si="90"/>
        <v>231.36959598460686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-4.9658410716801891E-14</v>
      </c>
      <c r="BF113" s="14" t="e">
        <f t="shared" si="91"/>
        <v>#NUM!</v>
      </c>
      <c r="BG113" s="22" t="e">
        <f t="shared" si="61"/>
        <v>#NUM!</v>
      </c>
      <c r="BH113" s="58" t="e">
        <f t="shared" si="62"/>
        <v>#NUM!</v>
      </c>
      <c r="BI113" s="58">
        <f ca="1">AVERAGE(OFFSET($BH$3,0,0,'Données projet'!$E$11+1,1))-AVERAGE(OFFSET($H$3,0,0,'Données projet'!$E$11+1,1))</f>
        <v>218.76424742311815</v>
      </c>
      <c r="BJ113" s="58">
        <f t="shared" si="92"/>
        <v>264.34598683038593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0.48041626625056733</v>
      </c>
      <c r="BQ113" s="23">
        <f>EXP(-LN(2)/25)*BQ112+(1-EXP(-LN(2)/25))/(LN(2)/25)*Calculateur!BL113*Calculateur!BN113*VLOOKUP('Données projet'!$B$11,Paramètres!$A$1:$I$89,3,0)*0.475*44/12</f>
        <v>0.47494833886783117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0.95536460511839849</v>
      </c>
      <c r="BT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219.00000000000006</v>
      </c>
      <c r="BZ113" s="14">
        <f>BY113*VLOOKUP('Données projet'!$B$12,Paramètres!$A$1:$I$89,3,0)*VLOOKUP('Données projet'!$B$12,Paramètres!$A$1:$I$89,5,0)</f>
        <v>211.81680000000006</v>
      </c>
      <c r="CA113" s="14">
        <f t="shared" si="93"/>
        <v>52.332402945946832</v>
      </c>
      <c r="CB113" s="22">
        <f t="shared" si="64"/>
        <v>460.05986179752421</v>
      </c>
      <c r="CC113" s="58">
        <f t="shared" si="65"/>
        <v>753.39319513085752</v>
      </c>
      <c r="CD113" s="58">
        <f ca="1">AVERAGE(OFFSET($CC$3,0,0,'Données projet'!$E$12+1,1))-AVERAGE(OFFSET($H$3,0,0,'Données projet'!$E$12+1,1))</f>
        <v>343.86347628565426</v>
      </c>
      <c r="CE113" s="58">
        <f t="shared" si="94"/>
        <v>129.28196646107097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58" t="e">
        <f t="shared" si="68"/>
        <v>#N/A</v>
      </c>
      <c r="CY113" s="58" t="e">
        <f ca="1">AVERAGE(OFFSET($CX$3,0,0,'Données projet'!$E$13+1,1))-AVERAGE(OFFSET($H$3,0,0,'Données projet'!$E$13+1,1))</f>
        <v>#N/A</v>
      </c>
      <c r="CZ113" s="58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232.12121212121212</v>
      </c>
      <c r="DM113" s="13">
        <f>VLOOKUP(A113,'Données projet'!$A$165:$I$185,9,0)</f>
        <v>2.9090909090909065</v>
      </c>
      <c r="DN113" s="13">
        <f t="array" ref="DN113">INDEX(DM:DM,MIN(IF(ISNUMBER(DM113:DM309),ROW(DM113:DM309),"")))</f>
        <v>2.9090909090909065</v>
      </c>
      <c r="DO113" s="13">
        <f>IF('Données projet'!$A$166&gt;35,DO112+DN113-DW112,IF(A113&lt;'Données projet'!$A$166,$DL$205^A113,IF(A113='Données projet'!$A$166,'Données projet'!$B$166,DO112+DN113-DW112)))</f>
        <v>232.1212121212123</v>
      </c>
      <c r="DP113" s="18">
        <f>DO113*VLOOKUP('Données projet'!$B$14,Paramètres!$A$1:$I$89,3,0)*VLOOKUP('Données projet'!$B$14,Paramètres!$A$1:$I$89,5,0)</f>
        <v>220.88654545454563</v>
      </c>
      <c r="DQ113" s="14">
        <f t="shared" si="97"/>
        <v>54.307526871502617</v>
      </c>
      <c r="DR113" s="22">
        <f t="shared" si="70"/>
        <v>479.29634263453391</v>
      </c>
      <c r="DS113" s="58">
        <f t="shared" si="71"/>
        <v>772.62967596786723</v>
      </c>
      <c r="DT113" s="58">
        <f ca="1">AVERAGE(OFFSET($DS$3,0,0,'Données projet'!$E$14+1,1))-AVERAGE(OFFSET($H$3,0,0,'Données projet'!$E$14+1,1))</f>
        <v>332.49889399440514</v>
      </c>
      <c r="DU113" s="58">
        <f t="shared" si="98"/>
        <v>256.06044006790529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20.606060606060606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394.87179487179486</v>
      </c>
      <c r="EH113" s="13">
        <f>VLOOKUP(A113,'Données projet'!$A$191:$I$211,9,0)</f>
        <v>4.3589743589743595</v>
      </c>
      <c r="EI113" s="13">
        <f t="array" ref="EI113">INDEX(EH:EH,MIN(IF(ISNUMBER(EH113:EH309),ROW(EH113:EH309),"")))</f>
        <v>4.3589743589743595</v>
      </c>
      <c r="EJ113" s="13">
        <f>IF('Données projet'!$A$192&gt;35,EJ112+EI113-ER112,IF(A113&lt;'Données projet'!$A$192,$EG$205^A113,IF(A113='Données projet'!$A$192,'Données projet'!$B$192,EJ112+EI113-ER112)))</f>
        <v>394.87179487179509</v>
      </c>
      <c r="EK113" s="18">
        <f>EJ113*VLOOKUP('Données projet'!$B$15,Paramètres!$A$1:$I$89,3,0)*VLOOKUP('Données projet'!$B$15,Paramètres!$A$1:$I$89,5,0)</f>
        <v>412.72000000000025</v>
      </c>
      <c r="EL113" s="14">
        <f t="shared" si="99"/>
        <v>94.350732849340901</v>
      </c>
      <c r="EM113" s="22">
        <f t="shared" si="73"/>
        <v>883.14819304593584</v>
      </c>
      <c r="EN113" s="58">
        <f t="shared" si="74"/>
        <v>1176.4815263792691</v>
      </c>
      <c r="EO113" s="58">
        <f ca="1">AVERAGE(OFFSET($EN$3,0,0,'Données projet'!$E$15+1,1))-AVERAGE(OFFSET($H$3,0,0,'Données projet'!$E$15+1,1))</f>
        <v>596.00698505207174</v>
      </c>
      <c r="EP113" s="58">
        <f t="shared" si="100"/>
        <v>378.16197659288338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35.897435897435898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2.2737367544323206E-13</v>
      </c>
      <c r="FF113" s="18">
        <f>FE113*VLOOKUP('Données projet'!$B$16,Paramètres!$A$1:$I$89,3,0)*VLOOKUP('Données projet'!$B$16,Paramètres!$A$1:$I$89,5,0)</f>
        <v>1.064108801074326E-13</v>
      </c>
      <c r="FG113" s="14">
        <f t="shared" si="101"/>
        <v>1.5870730813698654E-12</v>
      </c>
      <c r="FH113" s="22">
        <f t="shared" si="76"/>
        <v>2.9494845662396269E-12</v>
      </c>
      <c r="FI113" s="58">
        <f t="shared" si="77"/>
        <v>293.33333333333627</v>
      </c>
      <c r="FJ113" s="58">
        <f ca="1">AVERAGE(OFFSET($FI$3,0,0,'Données projet'!$E$16+1,1))-AVERAGE(OFFSET($H$3,0,0,'Données projet'!$E$16+1,1))</f>
        <v>294.31042006404056</v>
      </c>
      <c r="FK113" s="58">
        <f t="shared" si="102"/>
        <v>260.93767498478502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366.66666666666663</v>
      </c>
      <c r="FX113" s="13">
        <f>VLOOKUP(A113,'Données projet'!$A$243:$I$263,9,0)</f>
        <v>3.7179487179487181</v>
      </c>
      <c r="FY113" s="13">
        <f t="array" ref="FY113">INDEX(FX:FX,MIN(IF(ISNUMBER(FX113:FX309),ROW(FX113:FX309),"")))</f>
        <v>3.7179487179487181</v>
      </c>
      <c r="FZ113" s="13">
        <f>IF('Données projet'!$A$244&gt;35,FZ112+FY113-GH112,IF(A113&lt;'Données projet'!$A$244,$FW$205^A113,IF(A113='Données projet'!$A$244,'Données projet'!$B$244,FZ112+FY113-GH112)))</f>
        <v>366.66666666666691</v>
      </c>
      <c r="GA113" s="18">
        <f>FZ113*VLOOKUP('Données projet'!$B$17,Paramètres!$A$1:$I$89,3,0)*VLOOKUP('Données projet'!$B$17,Paramètres!$A$1:$I$89,5,0)</f>
        <v>245.96000000000018</v>
      </c>
      <c r="GB113" s="14">
        <f t="shared" si="103"/>
        <v>59.720017079919756</v>
      </c>
      <c r="GC113" s="22">
        <f t="shared" si="79"/>
        <v>532.39269641419389</v>
      </c>
      <c r="GD113" s="58">
        <f t="shared" si="80"/>
        <v>825.72602974752726</v>
      </c>
      <c r="GE113" s="58">
        <f ca="1">AVERAGE(OFFSET($GD$3,0,0,'Données projet'!$E$17+1,1))-AVERAGE(OFFSET($H$3,0,0,'Données projet'!$E$17+1,1))</f>
        <v>362.1372269575329</v>
      </c>
      <c r="GF113" s="58">
        <f t="shared" si="104"/>
        <v>308.1559670593121</v>
      </c>
      <c r="GG113" s="16">
        <f>IF(ISNA(VLOOKUP(A113,'Données projet'!$A$243:$I$263,3,0)),0,VLOOKUP(A113,'Données projet'!$A$243:$I$263,3,0))</f>
        <v>10</v>
      </c>
      <c r="GH113" s="16">
        <f>IF(ISNA(VLOOKUP(A113,'Données projet'!$A$243:$I$263,4,0)),0,VLOOKUP(A113,'Données projet'!$A$243:$I$263,4,0))</f>
        <v>366.66666666666663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58" t="e">
        <f t="shared" si="83"/>
        <v>#N/A</v>
      </c>
      <c r="GZ113" s="58" t="e">
        <f ca="1">AVERAGE(OFFSET($GY$3,0,0,'Données projet'!$E$18+1,1))-AVERAGE(OFFSET($H$3,0,0,'Données projet'!$E$18+1,1))</f>
        <v>#N/A</v>
      </c>
      <c r="HA113" s="58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0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3">
        <f t="shared" si="56"/>
        <v>256.66666666666669</v>
      </c>
      <c r="I114" s="6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3.8666666666666667</v>
      </c>
      <c r="N114" s="14">
        <f>IF('Données projet'!$A$36&gt;35,N113+M114-V113,IF(A114&lt;'Données projet'!$A$36,$K$205^A114,IF(A114='Données projet'!$A$36,'Données projet'!$B$36,N113+M114-V113)))</f>
        <v>287.2000000000001</v>
      </c>
      <c r="O114" s="14">
        <f>N114*VLOOKUP('Données projet'!$B$9,Paramètres!$A$1:$I$89,3,0)*VLOOKUP('Données projet'!$B$9,Paramètres!$A$1:$I$89,5,0)</f>
        <v>291.22080000000011</v>
      </c>
      <c r="P114" s="14">
        <f t="shared" si="87"/>
        <v>69.332836665856604</v>
      </c>
      <c r="Q114" s="22">
        <f t="shared" si="107"/>
        <v>627.96425052636721</v>
      </c>
      <c r="R114" s="58">
        <f t="shared" si="55"/>
        <v>921.29758385970058</v>
      </c>
      <c r="S114" s="58">
        <f ca="1">AVERAGE(OFFSET($R$3,0,0,'Données projet'!$E$9+1,1))-AVERAGE(OFFSET($H$3,0,0,'Données projet'!$E$9+1,1))</f>
        <v>483.15009705023641</v>
      </c>
      <c r="T114" s="58">
        <f t="shared" si="88"/>
        <v>254.25036207346591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3.8666666666666667</v>
      </c>
      <c r="AI114" s="14">
        <f>IF('Données projet'!$A$62&gt;35,AI113+AH114-AQ113,IF(A114&lt;'Données projet'!$A$62,$AF$205^A114,IF(A114='Données projet'!$A$62,'Données projet'!$B$62,AI113+AH114-AQ113)))</f>
        <v>287.2000000000001</v>
      </c>
      <c r="AJ114" s="14">
        <f>AI114*VLOOKUP('Données projet'!$B$10,Paramètres!$A$1:$I$89,3,0)*VLOOKUP('Données projet'!$B$10,Paramètres!$A$1:$I$89,5,0)</f>
        <v>259.85856000000007</v>
      </c>
      <c r="AK114" s="14">
        <f t="shared" si="89"/>
        <v>62.692227709138535</v>
      </c>
      <c r="AL114" s="22">
        <f t="shared" si="58"/>
        <v>561.77595526008304</v>
      </c>
      <c r="AM114" s="58">
        <f t="shared" si="59"/>
        <v>855.1092885934163</v>
      </c>
      <c r="AN114" s="58">
        <f ca="1">AVERAGE(OFFSET($AM$3,0,0,'Données projet'!$E$10+1,1))-AVERAGE(OFFSET($H$3,0,0,'Données projet'!$E$10+1,1))</f>
        <v>435.7095890216213</v>
      </c>
      <c r="AO114" s="58">
        <f t="shared" si="90"/>
        <v>231.36959598460686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-4.9658410716801891E-14</v>
      </c>
      <c r="BF114" s="14" t="e">
        <f t="shared" si="91"/>
        <v>#NUM!</v>
      </c>
      <c r="BG114" s="22" t="e">
        <f t="shared" si="61"/>
        <v>#NUM!</v>
      </c>
      <c r="BH114" s="58" t="e">
        <f t="shared" si="62"/>
        <v>#NUM!</v>
      </c>
      <c r="BI114" s="58">
        <f ca="1">AVERAGE(OFFSET($BH$3,0,0,'Données projet'!$E$11+1,1))-AVERAGE(OFFSET($H$3,0,0,'Données projet'!$E$11+1,1))</f>
        <v>218.76424742311815</v>
      </c>
      <c r="BJ114" s="58">
        <f t="shared" si="92"/>
        <v>264.34598683038593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0.47099559629438231</v>
      </c>
      <c r="BQ114" s="23">
        <f>EXP(-LN(2)/25)*BQ113+(1-EXP(-LN(2)/25))/(LN(2)/25)*Calculateur!BL114*Calculateur!BN114*VLOOKUP('Données projet'!$B$11,Paramètres!$A$1:$I$89,3,0)*0.475*44/12</f>
        <v>0.46196085156504268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0.932956447859425</v>
      </c>
      <c r="BT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</v>
      </c>
      <c r="BY114" s="13">
        <f>IF('Données projet'!$A$114&gt;35,BY113+BX114-CG113,IF(A114&lt;'Données projet'!$A$114,$BV$205^A114,IF(A114='Données projet'!$A$114,'Données projet'!$B$114,BY113+BX114-CG113)))</f>
        <v>222.00000000000006</v>
      </c>
      <c r="BZ114" s="14">
        <f>BY114*VLOOKUP('Données projet'!$B$12,Paramètres!$A$1:$I$89,3,0)*VLOOKUP('Données projet'!$B$12,Paramètres!$A$1:$I$89,5,0)</f>
        <v>214.71840000000009</v>
      </c>
      <c r="CA114" s="14">
        <f t="shared" si="93"/>
        <v>52.965337627912746</v>
      </c>
      <c r="CB114" s="22">
        <f t="shared" si="64"/>
        <v>466.21584303528147</v>
      </c>
      <c r="CC114" s="58">
        <f t="shared" si="65"/>
        <v>759.54917636861478</v>
      </c>
      <c r="CD114" s="58">
        <f ca="1">AVERAGE(OFFSET($CC$3,0,0,'Données projet'!$E$12+1,1))-AVERAGE(OFFSET($H$3,0,0,'Données projet'!$E$12+1,1))</f>
        <v>343.86347628565426</v>
      </c>
      <c r="CE114" s="58">
        <f t="shared" si="94"/>
        <v>129.28196646107097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58" t="e">
        <f t="shared" si="68"/>
        <v>#N/A</v>
      </c>
      <c r="CY114" s="58" t="e">
        <f ca="1">AVERAGE(OFFSET($CX$3,0,0,'Données projet'!$E$13+1,1))-AVERAGE(OFFSET($H$3,0,0,'Données projet'!$E$13+1,1))</f>
        <v>#N/A</v>
      </c>
      <c r="CZ114" s="58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2.6060606060606064</v>
      </c>
      <c r="DO114" s="13">
        <f>IF('Données projet'!$A$166&gt;35,DO113+DN114-DW113,IF(A114&lt;'Données projet'!$A$166,$DL$205^A114,IF(A114='Données projet'!$A$166,'Données projet'!$B$166,DO113+DN114-DW113)))</f>
        <v>214.1212121212123</v>
      </c>
      <c r="DP114" s="18">
        <f>DO114*VLOOKUP('Données projet'!$B$14,Paramètres!$A$1:$I$89,3,0)*VLOOKUP('Données projet'!$B$14,Paramètres!$A$1:$I$89,5,0)</f>
        <v>203.75774545454561</v>
      </c>
      <c r="DQ114" s="14">
        <f t="shared" si="97"/>
        <v>50.569109634830042</v>
      </c>
      <c r="DR114" s="22">
        <f t="shared" si="70"/>
        <v>442.95260594732923</v>
      </c>
      <c r="DS114" s="58">
        <f t="shared" si="71"/>
        <v>736.28593928066255</v>
      </c>
      <c r="DT114" s="58">
        <f ca="1">AVERAGE(OFFSET($DS$3,0,0,'Données projet'!$E$14+1,1))-AVERAGE(OFFSET($H$3,0,0,'Données projet'!$E$14+1,1))</f>
        <v>332.49889399440514</v>
      </c>
      <c r="DU114" s="58">
        <f t="shared" si="98"/>
        <v>256.06044006790529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4.0384615384615419</v>
      </c>
      <c r="EJ114" s="13">
        <f>IF('Données projet'!$A$192&gt;35,EJ113+EI114-ER113,IF(A114&lt;'Données projet'!$A$192,$EG$205^A114,IF(A114='Données projet'!$A$192,'Données projet'!$B$192,EJ113+EI114-ER113)))</f>
        <v>363.01282051282072</v>
      </c>
      <c r="EK114" s="18">
        <f>EJ114*VLOOKUP('Données projet'!$B$15,Paramètres!$A$1:$I$89,3,0)*VLOOKUP('Données projet'!$B$15,Paramètres!$A$1:$I$89,5,0)</f>
        <v>379.42100000000022</v>
      </c>
      <c r="EL114" s="14">
        <f t="shared" si="99"/>
        <v>87.591850676112855</v>
      </c>
      <c r="EM114" s="22">
        <f t="shared" si="73"/>
        <v>813.38071492756353</v>
      </c>
      <c r="EN114" s="58">
        <f t="shared" si="74"/>
        <v>1106.7140482608968</v>
      </c>
      <c r="EO114" s="58">
        <f ca="1">AVERAGE(OFFSET($EN$3,0,0,'Données projet'!$E$15+1,1))-AVERAGE(OFFSET($H$3,0,0,'Données projet'!$E$15+1,1))</f>
        <v>596.00698505207174</v>
      </c>
      <c r="EP114" s="58">
        <f t="shared" si="100"/>
        <v>378.16197659288338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2.2737367544323206E-13</v>
      </c>
      <c r="FF114" s="18">
        <f>FE114*VLOOKUP('Données projet'!$B$16,Paramètres!$A$1:$I$89,3,0)*VLOOKUP('Données projet'!$B$16,Paramètres!$A$1:$I$89,5,0)</f>
        <v>1.064108801074326E-13</v>
      </c>
      <c r="FG114" s="14">
        <f t="shared" si="101"/>
        <v>1.5870730813698654E-12</v>
      </c>
      <c r="FH114" s="22">
        <f t="shared" si="76"/>
        <v>2.9494845662396269E-12</v>
      </c>
      <c r="FI114" s="58">
        <f t="shared" si="77"/>
        <v>293.33333333333627</v>
      </c>
      <c r="FJ114" s="58">
        <f ca="1">AVERAGE(OFFSET($FI$3,0,0,'Données projet'!$E$16+1,1))-AVERAGE(OFFSET($H$3,0,0,'Données projet'!$E$16+1,1))</f>
        <v>294.31042006404056</v>
      </c>
      <c r="FK114" s="58">
        <f t="shared" si="102"/>
        <v>260.93767498478502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2.8421709430404007E-13</v>
      </c>
      <c r="GA114" s="18">
        <f>FZ114*VLOOKUP('Données projet'!$B$17,Paramètres!$A$1:$I$89,3,0)*VLOOKUP('Données projet'!$B$17,Paramètres!$A$1:$I$89,5,0)</f>
        <v>1.9065282685915009E-13</v>
      </c>
      <c r="GB114" s="14">
        <f t="shared" si="103"/>
        <v>2.6568987209435707E-12</v>
      </c>
      <c r="GC114" s="22">
        <f t="shared" si="79"/>
        <v>4.959485612423072E-12</v>
      </c>
      <c r="GD114" s="58">
        <f t="shared" si="80"/>
        <v>293.33333333333826</v>
      </c>
      <c r="GE114" s="58">
        <f ca="1">AVERAGE(OFFSET($GD$3,0,0,'Données projet'!$E$17+1,1))-AVERAGE(OFFSET($H$3,0,0,'Données projet'!$E$17+1,1))</f>
        <v>362.1372269575329</v>
      </c>
      <c r="GF114" s="58">
        <f t="shared" si="104"/>
        <v>308.1559670593121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58" t="e">
        <f t="shared" si="83"/>
        <v>#N/A</v>
      </c>
      <c r="GZ114" s="58" t="e">
        <f ca="1">AVERAGE(OFFSET($GY$3,0,0,'Données projet'!$E$18+1,1))-AVERAGE(OFFSET($H$3,0,0,'Données projet'!$E$18+1,1))</f>
        <v>#N/A</v>
      </c>
      <c r="HA114" s="58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0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3">
        <f t="shared" si="56"/>
        <v>256.66666666666669</v>
      </c>
      <c r="I115" s="6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3.8666666666666667</v>
      </c>
      <c r="N115" s="14">
        <f>IF('Données projet'!$A$36&gt;35,N114+M115-V114,IF(A115&lt;'Données projet'!$A$36,$K$205^A115,IF(A115='Données projet'!$A$36,'Données projet'!$B$36,N114+M115-V114)))</f>
        <v>291.06666666666678</v>
      </c>
      <c r="O115" s="14">
        <f>N115*VLOOKUP('Données projet'!$B$9,Paramètres!$A$1:$I$89,3,0)*VLOOKUP('Données projet'!$B$9,Paramètres!$A$1:$I$89,5,0)</f>
        <v>295.14160000000015</v>
      </c>
      <c r="P115" s="14">
        <f t="shared" si="87"/>
        <v>70.156990413822427</v>
      </c>
      <c r="Q115" s="22">
        <f t="shared" si="107"/>
        <v>636.22837830407423</v>
      </c>
      <c r="R115" s="58">
        <f t="shared" si="55"/>
        <v>929.5617116374076</v>
      </c>
      <c r="S115" s="58">
        <f ca="1">AVERAGE(OFFSET($R$3,0,0,'Données projet'!$E$9+1,1))-AVERAGE(OFFSET($H$3,0,0,'Données projet'!$E$9+1,1))</f>
        <v>483.15009705023641</v>
      </c>
      <c r="T115" s="58">
        <f t="shared" si="88"/>
        <v>254.25036207346591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3.8666666666666667</v>
      </c>
      <c r="AI115" s="14">
        <f>IF('Données projet'!$A$62&gt;35,AI114+AH115-AQ114,IF(A115&lt;'Données projet'!$A$62,$AF$205^A115,IF(A115='Données projet'!$A$62,'Données projet'!$B$62,AI114+AH115-AQ114)))</f>
        <v>291.06666666666678</v>
      </c>
      <c r="AJ115" s="14">
        <f>AI115*VLOOKUP('Données projet'!$B$10,Paramètres!$A$1:$I$89,3,0)*VLOOKUP('Données projet'!$B$10,Paramètres!$A$1:$I$89,5,0)</f>
        <v>263.35712000000012</v>
      </c>
      <c r="AK115" s="14">
        <f t="shared" si="89"/>
        <v>63.437445082600675</v>
      </c>
      <c r="AL115" s="22">
        <f t="shared" si="58"/>
        <v>569.16720085219629</v>
      </c>
      <c r="AM115" s="58">
        <f t="shared" si="59"/>
        <v>862.50053418552966</v>
      </c>
      <c r="AN115" s="58">
        <f ca="1">AVERAGE(OFFSET($AM$3,0,0,'Données projet'!$E$10+1,1))-AVERAGE(OFFSET($H$3,0,0,'Données projet'!$E$10+1,1))</f>
        <v>435.7095890216213</v>
      </c>
      <c r="AO115" s="58">
        <f t="shared" si="90"/>
        <v>231.36959598460686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-4.9658410716801891E-14</v>
      </c>
      <c r="BF115" s="14" t="e">
        <f t="shared" si="91"/>
        <v>#NUM!</v>
      </c>
      <c r="BG115" s="22" t="e">
        <f t="shared" si="61"/>
        <v>#NUM!</v>
      </c>
      <c r="BH115" s="58" t="e">
        <f t="shared" si="62"/>
        <v>#NUM!</v>
      </c>
      <c r="BI115" s="58">
        <f ca="1">AVERAGE(OFFSET($BH$3,0,0,'Données projet'!$E$11+1,1))-AVERAGE(OFFSET($H$3,0,0,'Données projet'!$E$11+1,1))</f>
        <v>218.76424742311815</v>
      </c>
      <c r="BJ115" s="58">
        <f t="shared" si="92"/>
        <v>264.34598683038593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0.46175965992999679</v>
      </c>
      <c r="BQ115" s="23">
        <f>EXP(-LN(2)/25)*BQ114+(1-EXP(-LN(2)/25))/(LN(2)/25)*Calculateur!BL115*Calculateur!BN115*VLOOKUP('Données projet'!$B$11,Paramètres!$A$1:$I$89,3,0)*0.475*44/12</f>
        <v>0.44932850778553124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0.91108816771552803</v>
      </c>
      <c r="BT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</v>
      </c>
      <c r="BY115" s="13">
        <f>IF('Données projet'!$A$114&gt;35,BY114+BX115-CG114,IF(A115&lt;'Données projet'!$A$114,$BV$205^A115,IF(A115='Données projet'!$A$114,'Données projet'!$B$114,BY114+BX115-CG114)))</f>
        <v>225.00000000000006</v>
      </c>
      <c r="BZ115" s="14">
        <f>BY115*VLOOKUP('Données projet'!$B$12,Paramètres!$A$1:$I$89,3,0)*VLOOKUP('Données projet'!$B$12,Paramètres!$A$1:$I$89,5,0)</f>
        <v>217.62000000000006</v>
      </c>
      <c r="CA115" s="14">
        <f t="shared" si="93"/>
        <v>53.597277471320098</v>
      </c>
      <c r="CB115" s="22">
        <f t="shared" si="64"/>
        <v>472.37009159588257</v>
      </c>
      <c r="CC115" s="58">
        <f t="shared" si="65"/>
        <v>765.70342492921588</v>
      </c>
      <c r="CD115" s="58">
        <f ca="1">AVERAGE(OFFSET($CC$3,0,0,'Données projet'!$E$12+1,1))-AVERAGE(OFFSET($H$3,0,0,'Données projet'!$E$12+1,1))</f>
        <v>343.86347628565426</v>
      </c>
      <c r="CE115" s="58">
        <f t="shared" si="94"/>
        <v>129.28196646107097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58" t="e">
        <f t="shared" si="68"/>
        <v>#N/A</v>
      </c>
      <c r="CY115" s="58" t="e">
        <f ca="1">AVERAGE(OFFSET($CX$3,0,0,'Données projet'!$E$13+1,1))-AVERAGE(OFFSET($H$3,0,0,'Données projet'!$E$13+1,1))</f>
        <v>#N/A</v>
      </c>
      <c r="CZ115" s="58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2.6060606060606064</v>
      </c>
      <c r="DO115" s="13">
        <f>IF('Données projet'!$A$166&gt;35,DO114+DN115-DW114,IF(A115&lt;'Données projet'!$A$166,$DL$205^A115,IF(A115='Données projet'!$A$166,'Données projet'!$B$166,DO114+DN115-DW114)))</f>
        <v>216.72727272727289</v>
      </c>
      <c r="DP115" s="18">
        <f>DO115*VLOOKUP('Données projet'!$B$14,Paramètres!$A$1:$I$89,3,0)*VLOOKUP('Données projet'!$B$14,Paramètres!$A$1:$I$89,5,0)</f>
        <v>206.23767272727289</v>
      </c>
      <c r="DQ115" s="14">
        <f t="shared" si="97"/>
        <v>51.112559488858871</v>
      </c>
      <c r="DR115" s="22">
        <f t="shared" si="70"/>
        <v>448.21832110976283</v>
      </c>
      <c r="DS115" s="58">
        <f t="shared" si="71"/>
        <v>741.55165444309614</v>
      </c>
      <c r="DT115" s="58">
        <f ca="1">AVERAGE(OFFSET($DS$3,0,0,'Données projet'!$E$14+1,1))-AVERAGE(OFFSET($H$3,0,0,'Données projet'!$E$14+1,1))</f>
        <v>332.49889399440514</v>
      </c>
      <c r="DU115" s="58">
        <f t="shared" si="98"/>
        <v>256.06044006790529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4.0384615384615419</v>
      </c>
      <c r="EJ115" s="13">
        <f>IF('Données projet'!$A$192&gt;35,EJ114+EI115-ER114,IF(A115&lt;'Données projet'!$A$192,$EG$205^A115,IF(A115='Données projet'!$A$192,'Données projet'!$B$192,EJ114+EI115-ER114)))</f>
        <v>367.05128205128227</v>
      </c>
      <c r="EK115" s="18">
        <f>EJ115*VLOOKUP('Données projet'!$B$15,Paramètres!$A$1:$I$89,3,0)*VLOOKUP('Données projet'!$B$15,Paramètres!$A$1:$I$89,5,0)</f>
        <v>383.64200000000028</v>
      </c>
      <c r="EL115" s="14">
        <f t="shared" si="99"/>
        <v>88.452315802291849</v>
      </c>
      <c r="EM115" s="22">
        <f t="shared" si="73"/>
        <v>822.23093335565875</v>
      </c>
      <c r="EN115" s="58">
        <f t="shared" si="74"/>
        <v>1115.5642666889921</v>
      </c>
      <c r="EO115" s="58">
        <f ca="1">AVERAGE(OFFSET($EN$3,0,0,'Données projet'!$E$15+1,1))-AVERAGE(OFFSET($H$3,0,0,'Données projet'!$E$15+1,1))</f>
        <v>596.00698505207174</v>
      </c>
      <c r="EP115" s="58">
        <f t="shared" si="100"/>
        <v>378.16197659288338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2.2737367544323206E-13</v>
      </c>
      <c r="FF115" s="18">
        <f>FE115*VLOOKUP('Données projet'!$B$16,Paramètres!$A$1:$I$89,3,0)*VLOOKUP('Données projet'!$B$16,Paramètres!$A$1:$I$89,5,0)</f>
        <v>1.064108801074326E-13</v>
      </c>
      <c r="FG115" s="14">
        <f t="shared" si="101"/>
        <v>1.5870730813698654E-12</v>
      </c>
      <c r="FH115" s="22">
        <f t="shared" si="76"/>
        <v>2.9494845662396269E-12</v>
      </c>
      <c r="FI115" s="58">
        <f t="shared" si="77"/>
        <v>293.33333333333627</v>
      </c>
      <c r="FJ115" s="58">
        <f ca="1">AVERAGE(OFFSET($FI$3,0,0,'Données projet'!$E$16+1,1))-AVERAGE(OFFSET($H$3,0,0,'Données projet'!$E$16+1,1))</f>
        <v>294.31042006404056</v>
      </c>
      <c r="FK115" s="58">
        <f t="shared" si="102"/>
        <v>260.93767498478502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2.8421709430404007E-13</v>
      </c>
      <c r="GA115" s="18">
        <f>FZ115*VLOOKUP('Données projet'!$B$17,Paramètres!$A$1:$I$89,3,0)*VLOOKUP('Données projet'!$B$17,Paramètres!$A$1:$I$89,5,0)</f>
        <v>1.9065282685915009E-13</v>
      </c>
      <c r="GB115" s="14">
        <f t="shared" si="103"/>
        <v>2.6568987209435707E-12</v>
      </c>
      <c r="GC115" s="22">
        <f t="shared" si="79"/>
        <v>4.959485612423072E-12</v>
      </c>
      <c r="GD115" s="58">
        <f t="shared" si="80"/>
        <v>293.33333333333826</v>
      </c>
      <c r="GE115" s="58">
        <f ca="1">AVERAGE(OFFSET($GD$3,0,0,'Données projet'!$E$17+1,1))-AVERAGE(OFFSET($H$3,0,0,'Données projet'!$E$17+1,1))</f>
        <v>362.1372269575329</v>
      </c>
      <c r="GF115" s="58">
        <f t="shared" si="104"/>
        <v>308.1559670593121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58" t="e">
        <f t="shared" si="83"/>
        <v>#N/A</v>
      </c>
      <c r="GZ115" s="58" t="e">
        <f ca="1">AVERAGE(OFFSET($GY$3,0,0,'Données projet'!$E$18+1,1))-AVERAGE(OFFSET($H$3,0,0,'Données projet'!$E$18+1,1))</f>
        <v>#N/A</v>
      </c>
      <c r="HA115" s="58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0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3">
        <f t="shared" si="56"/>
        <v>256.66666666666669</v>
      </c>
      <c r="I116" s="6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3.8666666666666667</v>
      </c>
      <c r="N116" s="14">
        <f>IF('Données projet'!$A$36&gt;35,N115+M116-V115,IF(A116&lt;'Données projet'!$A$36,$K$205^A116,IF(A116='Données projet'!$A$36,'Données projet'!$B$36,N115+M116-V115)))</f>
        <v>294.93333333333345</v>
      </c>
      <c r="O116" s="14">
        <f>N116*VLOOKUP('Données projet'!$B$9,Paramètres!$A$1:$I$89,3,0)*VLOOKUP('Données projet'!$B$9,Paramètres!$A$1:$I$89,5,0)</f>
        <v>299.06240000000014</v>
      </c>
      <c r="P116" s="14">
        <f t="shared" si="87"/>
        <v>70.979870707811656</v>
      </c>
      <c r="Q116" s="22">
        <f t="shared" si="107"/>
        <v>644.49028814943881</v>
      </c>
      <c r="R116" s="58">
        <f t="shared" si="55"/>
        <v>937.82362148277207</v>
      </c>
      <c r="S116" s="58">
        <f ca="1">AVERAGE(OFFSET($R$3,0,0,'Données projet'!$E$9+1,1))-AVERAGE(OFFSET($H$3,0,0,'Données projet'!$E$9+1,1))</f>
        <v>483.15009705023641</v>
      </c>
      <c r="T116" s="58">
        <f t="shared" si="88"/>
        <v>254.25036207346591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3.8666666666666667</v>
      </c>
      <c r="AI116" s="14">
        <f>IF('Données projet'!$A$62&gt;35,AI115+AH116-AQ115,IF(A116&lt;'Données projet'!$A$62,$AF$205^A116,IF(A116='Données projet'!$A$62,'Données projet'!$B$62,AI115+AH116-AQ115)))</f>
        <v>294.93333333333345</v>
      </c>
      <c r="AJ116" s="14">
        <f>AI116*VLOOKUP('Données projet'!$B$10,Paramètres!$A$1:$I$89,3,0)*VLOOKUP('Données projet'!$B$10,Paramètres!$A$1:$I$89,5,0)</f>
        <v>266.85568000000006</v>
      </c>
      <c r="AK116" s="14">
        <f t="shared" si="89"/>
        <v>64.181510971852489</v>
      </c>
      <c r="AL116" s="22">
        <f t="shared" si="58"/>
        <v>576.55644094264323</v>
      </c>
      <c r="AM116" s="58">
        <f t="shared" si="59"/>
        <v>869.88977427597661</v>
      </c>
      <c r="AN116" s="58">
        <f ca="1">AVERAGE(OFFSET($AM$3,0,0,'Données projet'!$E$10+1,1))-AVERAGE(OFFSET($H$3,0,0,'Données projet'!$E$10+1,1))</f>
        <v>435.7095890216213</v>
      </c>
      <c r="AO116" s="58">
        <f t="shared" si="90"/>
        <v>231.36959598460686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-4.9658410716801891E-14</v>
      </c>
      <c r="BF116" s="14" t="e">
        <f t="shared" si="91"/>
        <v>#NUM!</v>
      </c>
      <c r="BG116" s="22" t="e">
        <f t="shared" si="61"/>
        <v>#NUM!</v>
      </c>
      <c r="BH116" s="58" t="e">
        <f t="shared" si="62"/>
        <v>#NUM!</v>
      </c>
      <c r="BI116" s="58">
        <f ca="1">AVERAGE(OFFSET($BH$3,0,0,'Données projet'!$E$11+1,1))-AVERAGE(OFFSET($H$3,0,0,'Données projet'!$E$11+1,1))</f>
        <v>218.76424742311815</v>
      </c>
      <c r="BJ116" s="58">
        <f t="shared" si="92"/>
        <v>264.34598683038593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0.45270483464435191</v>
      </c>
      <c r="BQ116" s="23">
        <f>EXP(-LN(2)/25)*BQ115+(1-EXP(-LN(2)/25))/(LN(2)/25)*Calculateur!BL116*Calculateur!BN116*VLOOKUP('Données projet'!$B$11,Paramètres!$A$1:$I$89,3,0)*0.475*44/12</f>
        <v>0.43704159611097659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0.88974643075532844</v>
      </c>
      <c r="BT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</v>
      </c>
      <c r="BY116" s="13">
        <f>IF('Données projet'!$A$114&gt;35,BY115+BX116-CG115,IF(A116&lt;'Données projet'!$A$114,$BV$205^A116,IF(A116='Données projet'!$A$114,'Données projet'!$B$114,BY115+BX116-CG115)))</f>
        <v>228.00000000000006</v>
      </c>
      <c r="BZ116" s="14">
        <f>BY116*VLOOKUP('Données projet'!$B$12,Paramètres!$A$1:$I$89,3,0)*VLOOKUP('Données projet'!$B$12,Paramètres!$A$1:$I$89,5,0)</f>
        <v>220.52160000000006</v>
      </c>
      <c r="CA116" s="14">
        <f t="shared" si="93"/>
        <v>54.228237274069159</v>
      </c>
      <c r="CB116" s="22">
        <f t="shared" si="64"/>
        <v>478.52263325233724</v>
      </c>
      <c r="CC116" s="58">
        <f t="shared" si="65"/>
        <v>771.85596658567056</v>
      </c>
      <c r="CD116" s="58">
        <f ca="1">AVERAGE(OFFSET($CC$3,0,0,'Données projet'!$E$12+1,1))-AVERAGE(OFFSET($H$3,0,0,'Données projet'!$E$12+1,1))</f>
        <v>343.86347628565426</v>
      </c>
      <c r="CE116" s="58">
        <f t="shared" si="94"/>
        <v>129.28196646107097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58" t="e">
        <f t="shared" si="68"/>
        <v>#N/A</v>
      </c>
      <c r="CY116" s="58" t="e">
        <f ca="1">AVERAGE(OFFSET($CX$3,0,0,'Données projet'!$E$13+1,1))-AVERAGE(OFFSET($H$3,0,0,'Données projet'!$E$13+1,1))</f>
        <v>#N/A</v>
      </c>
      <c r="CZ116" s="58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2.6060606060606064</v>
      </c>
      <c r="DO116" s="13">
        <f>IF('Données projet'!$A$166&gt;35,DO115+DN116-DW115,IF(A116&lt;'Données projet'!$A$166,$DL$205^A116,IF(A116='Données projet'!$A$166,'Données projet'!$B$166,DO115+DN116-DW115)))</f>
        <v>219.33333333333348</v>
      </c>
      <c r="DP116" s="18">
        <f>DO116*VLOOKUP('Données projet'!$B$14,Paramètres!$A$1:$I$89,3,0)*VLOOKUP('Données projet'!$B$14,Paramètres!$A$1:$I$89,5,0)</f>
        <v>208.71760000000017</v>
      </c>
      <c r="DQ116" s="14">
        <f t="shared" si="97"/>
        <v>51.65524920816376</v>
      </c>
      <c r="DR116" s="22">
        <f t="shared" si="70"/>
        <v>453.48271237088551</v>
      </c>
      <c r="DS116" s="58">
        <f t="shared" si="71"/>
        <v>746.81604570421882</v>
      </c>
      <c r="DT116" s="58">
        <f ca="1">AVERAGE(OFFSET($DS$3,0,0,'Données projet'!$E$14+1,1))-AVERAGE(OFFSET($H$3,0,0,'Données projet'!$E$14+1,1))</f>
        <v>332.49889399440514</v>
      </c>
      <c r="DU116" s="58">
        <f t="shared" si="98"/>
        <v>256.06044006790529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4.0384615384615419</v>
      </c>
      <c r="EJ116" s="13">
        <f>IF('Données projet'!$A$192&gt;35,EJ115+EI116-ER115,IF(A116&lt;'Données projet'!$A$192,$EG$205^A116,IF(A116='Données projet'!$A$192,'Données projet'!$B$192,EJ115+EI116-ER115)))</f>
        <v>371.08974358974382</v>
      </c>
      <c r="EK116" s="18">
        <f>EJ116*VLOOKUP('Données projet'!$B$15,Paramètres!$A$1:$I$89,3,0)*VLOOKUP('Données projet'!$B$15,Paramètres!$A$1:$I$89,5,0)</f>
        <v>387.86300000000028</v>
      </c>
      <c r="EL116" s="14">
        <f t="shared" si="99"/>
        <v>89.311679625885745</v>
      </c>
      <c r="EM116" s="22">
        <f t="shared" si="73"/>
        <v>831.07923368175136</v>
      </c>
      <c r="EN116" s="58">
        <f t="shared" si="74"/>
        <v>1124.4125670150847</v>
      </c>
      <c r="EO116" s="58">
        <f ca="1">AVERAGE(OFFSET($EN$3,0,0,'Données projet'!$E$15+1,1))-AVERAGE(OFFSET($H$3,0,0,'Données projet'!$E$15+1,1))</f>
        <v>596.00698505207174</v>
      </c>
      <c r="EP116" s="58">
        <f t="shared" si="100"/>
        <v>378.16197659288338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2.2737367544323206E-13</v>
      </c>
      <c r="FF116" s="18">
        <f>FE116*VLOOKUP('Données projet'!$B$16,Paramètres!$A$1:$I$89,3,0)*VLOOKUP('Données projet'!$B$16,Paramètres!$A$1:$I$89,5,0)</f>
        <v>1.064108801074326E-13</v>
      </c>
      <c r="FG116" s="14">
        <f t="shared" si="101"/>
        <v>1.5870730813698654E-12</v>
      </c>
      <c r="FH116" s="22">
        <f t="shared" si="76"/>
        <v>2.9494845662396269E-12</v>
      </c>
      <c r="FI116" s="58">
        <f t="shared" si="77"/>
        <v>293.33333333333627</v>
      </c>
      <c r="FJ116" s="58">
        <f ca="1">AVERAGE(OFFSET($FI$3,0,0,'Données projet'!$E$16+1,1))-AVERAGE(OFFSET($H$3,0,0,'Données projet'!$E$16+1,1))</f>
        <v>294.31042006404056</v>
      </c>
      <c r="FK116" s="58">
        <f t="shared" si="102"/>
        <v>260.93767498478502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2.8421709430404007E-13</v>
      </c>
      <c r="GA116" s="18">
        <f>FZ116*VLOOKUP('Données projet'!$B$17,Paramètres!$A$1:$I$89,3,0)*VLOOKUP('Données projet'!$B$17,Paramètres!$A$1:$I$89,5,0)</f>
        <v>1.9065282685915009E-13</v>
      </c>
      <c r="GB116" s="14">
        <f t="shared" si="103"/>
        <v>2.6568987209435707E-12</v>
      </c>
      <c r="GC116" s="22">
        <f t="shared" si="79"/>
        <v>4.959485612423072E-12</v>
      </c>
      <c r="GD116" s="58">
        <f t="shared" si="80"/>
        <v>293.33333333333826</v>
      </c>
      <c r="GE116" s="58">
        <f ca="1">AVERAGE(OFFSET($GD$3,0,0,'Données projet'!$E$17+1,1))-AVERAGE(OFFSET($H$3,0,0,'Données projet'!$E$17+1,1))</f>
        <v>362.1372269575329</v>
      </c>
      <c r="GF116" s="58">
        <f t="shared" si="104"/>
        <v>308.1559670593121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58" t="e">
        <f t="shared" si="83"/>
        <v>#N/A</v>
      </c>
      <c r="GZ116" s="58" t="e">
        <f ca="1">AVERAGE(OFFSET($GY$3,0,0,'Données projet'!$E$18+1,1))-AVERAGE(OFFSET($H$3,0,0,'Données projet'!$E$18+1,1))</f>
        <v>#N/A</v>
      </c>
      <c r="HA116" s="58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0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3">
        <f t="shared" si="56"/>
        <v>256.66666666666669</v>
      </c>
      <c r="I117" s="6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3.8666666666666667</v>
      </c>
      <c r="N117" s="14">
        <f>IF('Données projet'!$A$36&gt;35,N116+M117-V116,IF(A117&lt;'Données projet'!$A$36,$K$205^A117,IF(A117='Données projet'!$A$36,'Données projet'!$B$36,N116+M117-V116)))</f>
        <v>298.80000000000013</v>
      </c>
      <c r="O117" s="14">
        <f>N117*VLOOKUP('Données projet'!$B$9,Paramètres!$A$1:$I$89,3,0)*VLOOKUP('Données projet'!$B$9,Paramètres!$A$1:$I$89,5,0)</f>
        <v>302.98320000000012</v>
      </c>
      <c r="P117" s="14">
        <f t="shared" si="87"/>
        <v>71.80149617339778</v>
      </c>
      <c r="Q117" s="22">
        <f t="shared" si="107"/>
        <v>652.75001250200137</v>
      </c>
      <c r="R117" s="58">
        <f t="shared" si="55"/>
        <v>946.08334583533474</v>
      </c>
      <c r="S117" s="58">
        <f ca="1">AVERAGE(OFFSET($R$3,0,0,'Données projet'!$E$9+1,1))-AVERAGE(OFFSET($H$3,0,0,'Données projet'!$E$9+1,1))</f>
        <v>483.15009705023641</v>
      </c>
      <c r="T117" s="58">
        <f t="shared" si="88"/>
        <v>254.25036207346591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3.8666666666666667</v>
      </c>
      <c r="AI117" s="14">
        <f>IF('Données projet'!$A$62&gt;35,AI116+AH117-AQ116,IF(A117&lt;'Données projet'!$A$62,$AF$205^A117,IF(A117='Données projet'!$A$62,'Données projet'!$B$62,AI116+AH117-AQ116)))</f>
        <v>298.80000000000013</v>
      </c>
      <c r="AJ117" s="14">
        <f>AI117*VLOOKUP('Données projet'!$B$10,Paramètres!$A$1:$I$89,3,0)*VLOOKUP('Données projet'!$B$10,Paramètres!$A$1:$I$89,5,0)</f>
        <v>270.35424000000012</v>
      </c>
      <c r="AK117" s="14">
        <f t="shared" si="89"/>
        <v>64.924442218534367</v>
      </c>
      <c r="AL117" s="22">
        <f t="shared" si="58"/>
        <v>583.94370486394746</v>
      </c>
      <c r="AM117" s="58">
        <f t="shared" si="59"/>
        <v>877.27703819728072</v>
      </c>
      <c r="AN117" s="58">
        <f ca="1">AVERAGE(OFFSET($AM$3,0,0,'Données projet'!$E$10+1,1))-AVERAGE(OFFSET($H$3,0,0,'Données projet'!$E$10+1,1))</f>
        <v>435.7095890216213</v>
      </c>
      <c r="AO117" s="58">
        <f t="shared" si="90"/>
        <v>231.36959598460686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-4.9658410716801891E-14</v>
      </c>
      <c r="BF117" s="14" t="e">
        <f t="shared" si="91"/>
        <v>#NUM!</v>
      </c>
      <c r="BG117" s="22" t="e">
        <f t="shared" si="61"/>
        <v>#NUM!</v>
      </c>
      <c r="BH117" s="58" t="e">
        <f t="shared" si="62"/>
        <v>#NUM!</v>
      </c>
      <c r="BI117" s="58">
        <f ca="1">AVERAGE(OFFSET($BH$3,0,0,'Données projet'!$E$11+1,1))-AVERAGE(OFFSET($H$3,0,0,'Données projet'!$E$11+1,1))</f>
        <v>218.76424742311815</v>
      </c>
      <c r="BJ117" s="58">
        <f t="shared" si="92"/>
        <v>264.34598683038593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0.44382756895966047</v>
      </c>
      <c r="BQ117" s="23">
        <f>EXP(-LN(2)/25)*BQ116+(1-EXP(-LN(2)/25))/(LN(2)/25)*Calculateur!BL117*Calculateur!BN117*VLOOKUP('Données projet'!$B$11,Paramètres!$A$1:$I$89,3,0)*0.475*44/12</f>
        <v>0.42509067068230327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0.86891823964196369</v>
      </c>
      <c r="BT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</v>
      </c>
      <c r="BY117" s="13">
        <f>IF('Données projet'!$A$114&gt;35,BY116+BX117-CG116,IF(A117&lt;'Données projet'!$A$114,$BV$205^A117,IF(A117='Données projet'!$A$114,'Données projet'!$B$114,BY116+BX117-CG116)))</f>
        <v>231.00000000000006</v>
      </c>
      <c r="BZ117" s="14">
        <f>BY117*VLOOKUP('Données projet'!$B$12,Paramètres!$A$1:$I$89,3,0)*VLOOKUP('Données projet'!$B$12,Paramètres!$A$1:$I$89,5,0)</f>
        <v>223.42320000000004</v>
      </c>
      <c r="CA117" s="14">
        <f t="shared" si="93"/>
        <v>54.858231422257631</v>
      </c>
      <c r="CB117" s="22">
        <f t="shared" si="64"/>
        <v>484.67349306043207</v>
      </c>
      <c r="CC117" s="58">
        <f t="shared" si="65"/>
        <v>778.00682639376532</v>
      </c>
      <c r="CD117" s="58">
        <f ca="1">AVERAGE(OFFSET($CC$3,0,0,'Données projet'!$E$12+1,1))-AVERAGE(OFFSET($H$3,0,0,'Données projet'!$E$12+1,1))</f>
        <v>343.86347628565426</v>
      </c>
      <c r="CE117" s="58">
        <f t="shared" si="94"/>
        <v>129.28196646107097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58" t="e">
        <f t="shared" si="68"/>
        <v>#N/A</v>
      </c>
      <c r="CY117" s="58" t="e">
        <f ca="1">AVERAGE(OFFSET($CX$3,0,0,'Données projet'!$E$13+1,1))-AVERAGE(OFFSET($H$3,0,0,'Données projet'!$E$13+1,1))</f>
        <v>#N/A</v>
      </c>
      <c r="CZ117" s="58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2.6060606060606064</v>
      </c>
      <c r="DO117" s="13">
        <f>IF('Données projet'!$A$166&gt;35,DO116+DN117-DW116,IF(A117&lt;'Données projet'!$A$166,$DL$205^A117,IF(A117='Données projet'!$A$166,'Données projet'!$B$166,DO116+DN117-DW116)))</f>
        <v>221.93939393939408</v>
      </c>
      <c r="DP117" s="18">
        <f>DO117*VLOOKUP('Données projet'!$B$14,Paramètres!$A$1:$I$89,3,0)*VLOOKUP('Données projet'!$B$14,Paramètres!$A$1:$I$89,5,0)</f>
        <v>211.1975272727274</v>
      </c>
      <c r="DQ117" s="14">
        <f t="shared" si="97"/>
        <v>52.197188869263762</v>
      </c>
      <c r="DR117" s="22">
        <f t="shared" si="70"/>
        <v>458.74579728063463</v>
      </c>
      <c r="DS117" s="58">
        <f t="shared" si="71"/>
        <v>752.07913061396789</v>
      </c>
      <c r="DT117" s="58">
        <f ca="1">AVERAGE(OFFSET($DS$3,0,0,'Données projet'!$E$14+1,1))-AVERAGE(OFFSET($H$3,0,0,'Données projet'!$E$14+1,1))</f>
        <v>332.49889399440514</v>
      </c>
      <c r="DU117" s="58">
        <f t="shared" si="98"/>
        <v>256.06044006790529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4.0384615384615419</v>
      </c>
      <c r="EJ117" s="13">
        <f>IF('Données projet'!$A$192&gt;35,EJ116+EI117-ER116,IF(A117&lt;'Données projet'!$A$192,$EG$205^A117,IF(A117='Données projet'!$A$192,'Données projet'!$B$192,EJ116+EI117-ER116)))</f>
        <v>375.12820512820537</v>
      </c>
      <c r="EK117" s="18">
        <f>EJ117*VLOOKUP('Données projet'!$B$15,Paramètres!$A$1:$I$89,3,0)*VLOOKUP('Données projet'!$B$15,Paramètres!$A$1:$I$89,5,0)</f>
        <v>392.08400000000029</v>
      </c>
      <c r="EL117" s="14">
        <f t="shared" si="99"/>
        <v>90.169955519181002</v>
      </c>
      <c r="EM117" s="22">
        <f t="shared" si="73"/>
        <v>839.92563919590748</v>
      </c>
      <c r="EN117" s="58">
        <f t="shared" si="74"/>
        <v>1133.2589725292407</v>
      </c>
      <c r="EO117" s="58">
        <f ca="1">AVERAGE(OFFSET($EN$3,0,0,'Données projet'!$E$15+1,1))-AVERAGE(OFFSET($H$3,0,0,'Données projet'!$E$15+1,1))</f>
        <v>596.00698505207174</v>
      </c>
      <c r="EP117" s="58">
        <f t="shared" si="100"/>
        <v>378.16197659288338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2.2737367544323206E-13</v>
      </c>
      <c r="FF117" s="18">
        <f>FE117*VLOOKUP('Données projet'!$B$16,Paramètres!$A$1:$I$89,3,0)*VLOOKUP('Données projet'!$B$16,Paramètres!$A$1:$I$89,5,0)</f>
        <v>1.064108801074326E-13</v>
      </c>
      <c r="FG117" s="14">
        <f t="shared" si="101"/>
        <v>1.5870730813698654E-12</v>
      </c>
      <c r="FH117" s="22">
        <f t="shared" si="76"/>
        <v>2.9494845662396269E-12</v>
      </c>
      <c r="FI117" s="58">
        <f t="shared" si="77"/>
        <v>293.33333333333627</v>
      </c>
      <c r="FJ117" s="58">
        <f ca="1">AVERAGE(OFFSET($FI$3,0,0,'Données projet'!$E$16+1,1))-AVERAGE(OFFSET($H$3,0,0,'Données projet'!$E$16+1,1))</f>
        <v>294.31042006404056</v>
      </c>
      <c r="FK117" s="58">
        <f t="shared" si="102"/>
        <v>260.93767498478502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2.8421709430404007E-13</v>
      </c>
      <c r="GA117" s="18">
        <f>FZ117*VLOOKUP('Données projet'!$B$17,Paramètres!$A$1:$I$89,3,0)*VLOOKUP('Données projet'!$B$17,Paramètres!$A$1:$I$89,5,0)</f>
        <v>1.9065282685915009E-13</v>
      </c>
      <c r="GB117" s="14">
        <f t="shared" si="103"/>
        <v>2.6568987209435707E-12</v>
      </c>
      <c r="GC117" s="22">
        <f t="shared" si="79"/>
        <v>4.959485612423072E-12</v>
      </c>
      <c r="GD117" s="58">
        <f t="shared" si="80"/>
        <v>293.33333333333826</v>
      </c>
      <c r="GE117" s="58">
        <f ca="1">AVERAGE(OFFSET($GD$3,0,0,'Données projet'!$E$17+1,1))-AVERAGE(OFFSET($H$3,0,0,'Données projet'!$E$17+1,1))</f>
        <v>362.1372269575329</v>
      </c>
      <c r="GF117" s="58">
        <f t="shared" si="104"/>
        <v>308.1559670593121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58" t="e">
        <f t="shared" si="83"/>
        <v>#N/A</v>
      </c>
      <c r="GZ117" s="58" t="e">
        <f ca="1">AVERAGE(OFFSET($GY$3,0,0,'Données projet'!$E$18+1,1))-AVERAGE(OFFSET($H$3,0,0,'Données projet'!$E$18+1,1))</f>
        <v>#N/A</v>
      </c>
      <c r="HA117" s="58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0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3">
        <f t="shared" si="56"/>
        <v>256.66666666666669</v>
      </c>
      <c r="I118" s="6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3.8666666666666667</v>
      </c>
      <c r="N118" s="14">
        <f>IF('Données projet'!$A$36&gt;35,N117+M118-V117,IF(A118&lt;'Données projet'!$A$36,$K$205^A118,IF(A118='Données projet'!$A$36,'Données projet'!$B$36,N117+M118-V117)))</f>
        <v>302.6666666666668</v>
      </c>
      <c r="O118" s="14">
        <f>N118*VLOOKUP('Données projet'!$B$9,Paramètres!$A$1:$I$89,3,0)*VLOOKUP('Données projet'!$B$9,Paramètres!$A$1:$I$89,5,0)</f>
        <v>306.90400000000017</v>
      </c>
      <c r="P118" s="14">
        <f t="shared" si="87"/>
        <v>72.621884926386244</v>
      </c>
      <c r="Q118" s="22">
        <f t="shared" si="107"/>
        <v>661.0075829134563</v>
      </c>
      <c r="R118" s="58">
        <f t="shared" si="55"/>
        <v>954.34091624678967</v>
      </c>
      <c r="S118" s="58">
        <f ca="1">AVERAGE(OFFSET($R$3,0,0,'Données projet'!$E$9+1,1))-AVERAGE(OFFSET($H$3,0,0,'Données projet'!$E$9+1,1))</f>
        <v>483.15009705023641</v>
      </c>
      <c r="T118" s="58">
        <f t="shared" si="88"/>
        <v>254.25036207346591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3.8666666666666667</v>
      </c>
      <c r="AI118" s="14">
        <f>IF('Données projet'!$A$62&gt;35,AI117+AH118-AQ117,IF(A118&lt;'Données projet'!$A$62,$AF$205^A118,IF(A118='Données projet'!$A$62,'Données projet'!$B$62,AI117+AH118-AQ117)))</f>
        <v>302.6666666666668</v>
      </c>
      <c r="AJ118" s="14">
        <f>AI118*VLOOKUP('Données projet'!$B$10,Paramètres!$A$1:$I$89,3,0)*VLOOKUP('Données projet'!$B$10,Paramètres!$A$1:$I$89,5,0)</f>
        <v>273.85280000000012</v>
      </c>
      <c r="AK118" s="14">
        <f t="shared" si="89"/>
        <v>65.666255203343354</v>
      </c>
      <c r="AL118" s="22">
        <f t="shared" si="58"/>
        <v>591.32902114582316</v>
      </c>
      <c r="AM118" s="58">
        <f t="shared" si="59"/>
        <v>884.66235447915642</v>
      </c>
      <c r="AN118" s="58">
        <f ca="1">AVERAGE(OFFSET($AM$3,0,0,'Données projet'!$E$10+1,1))-AVERAGE(OFFSET($H$3,0,0,'Données projet'!$E$10+1,1))</f>
        <v>435.7095890216213</v>
      </c>
      <c r="AO118" s="58">
        <f t="shared" si="90"/>
        <v>231.36959598460686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-4.9658410716801891E-14</v>
      </c>
      <c r="BF118" s="14" t="e">
        <f t="shared" si="91"/>
        <v>#NUM!</v>
      </c>
      <c r="BG118" s="22" t="e">
        <f t="shared" si="61"/>
        <v>#NUM!</v>
      </c>
      <c r="BH118" s="58" t="e">
        <f t="shared" si="62"/>
        <v>#NUM!</v>
      </c>
      <c r="BI118" s="58">
        <f ca="1">AVERAGE(OFFSET($BH$3,0,0,'Données projet'!$E$11+1,1))-AVERAGE(OFFSET($H$3,0,0,'Données projet'!$E$11+1,1))</f>
        <v>218.76424742311815</v>
      </c>
      <c r="BJ118" s="58">
        <f t="shared" si="92"/>
        <v>264.34598683038593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0.43512438104044837</v>
      </c>
      <c r="BQ118" s="23">
        <f>EXP(-LN(2)/25)*BQ117+(1-EXP(-LN(2)/25))/(LN(2)/25)*Calculateur!BL118*Calculateur!BN118*VLOOKUP('Données projet'!$B$11,Paramètres!$A$1:$I$89,3,0)*0.475*44/12</f>
        <v>0.41346654393794885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0.84859092497839717</v>
      </c>
      <c r="BT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234</v>
      </c>
      <c r="BW118" s="13">
        <f>VLOOKUP(A118,'Données projet'!$A$113:$I$133,9,0)</f>
        <v>3</v>
      </c>
      <c r="BX118" s="13">
        <f t="array" ref="BX118">INDEX(BW:BW,MIN(IF(ISNUMBER(BW118:BW314),ROW(BW118:BW314),"")))</f>
        <v>3</v>
      </c>
      <c r="BY118" s="13">
        <f>IF('Données projet'!$A$114&gt;35,BY117+BX118-CG117,IF(A118&lt;'Données projet'!$A$114,$BV$205^A118,IF(A118='Données projet'!$A$114,'Données projet'!$B$114,BY117+BX118-CG117)))</f>
        <v>234.00000000000006</v>
      </c>
      <c r="BZ118" s="14">
        <f>BY118*VLOOKUP('Données projet'!$B$12,Paramètres!$A$1:$I$89,3,0)*VLOOKUP('Données projet'!$B$12,Paramètres!$A$1:$I$89,5,0)</f>
        <v>226.32480000000007</v>
      </c>
      <c r="CA118" s="14">
        <f t="shared" si="93"/>
        <v>55.48727390683672</v>
      </c>
      <c r="CB118" s="22">
        <f t="shared" si="64"/>
        <v>490.82269538774068</v>
      </c>
      <c r="CC118" s="58">
        <f t="shared" si="65"/>
        <v>784.15602872107399</v>
      </c>
      <c r="CD118" s="58">
        <f ca="1">AVERAGE(OFFSET($CC$3,0,0,'Données projet'!$E$12+1,1))-AVERAGE(OFFSET($H$3,0,0,'Données projet'!$E$12+1,1))</f>
        <v>343.86347628565426</v>
      </c>
      <c r="CE118" s="58">
        <f t="shared" si="94"/>
        <v>129.28196646107097</v>
      </c>
      <c r="CF118" s="16">
        <f>IF(ISNA(VLOOKUP(A118,'Données projet'!$A$113:$I$133,3,0)),0,VLOOKUP(A118,'Données projet'!$A$113:$I$133,3,0))</f>
        <v>9</v>
      </c>
      <c r="CG118" s="16">
        <f>IF(ISNA(VLOOKUP(A118,'Données projet'!$A$113:$I$133,4,0)),0,VLOOKUP(A118,'Données projet'!$A$113:$I$133,4,0))</f>
        <v>26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58" t="e">
        <f t="shared" si="68"/>
        <v>#N/A</v>
      </c>
      <c r="CY118" s="58" t="e">
        <f ca="1">AVERAGE(OFFSET($CX$3,0,0,'Données projet'!$E$13+1,1))-AVERAGE(OFFSET($H$3,0,0,'Données projet'!$E$13+1,1))</f>
        <v>#N/A</v>
      </c>
      <c r="CZ118" s="58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2.6060606060606064</v>
      </c>
      <c r="DO118" s="13">
        <f>IF('Données projet'!$A$166&gt;35,DO117+DN118-DW117,IF(A118&lt;'Données projet'!$A$166,$DL$205^A118,IF(A118='Données projet'!$A$166,'Données projet'!$B$166,DO117+DN118-DW117)))</f>
        <v>224.54545454545467</v>
      </c>
      <c r="DP118" s="18">
        <f>DO118*VLOOKUP('Données projet'!$B$14,Paramètres!$A$1:$I$89,3,0)*VLOOKUP('Données projet'!$B$14,Paramètres!$A$1:$I$89,5,0)</f>
        <v>213.67745454545468</v>
      </c>
      <c r="DQ118" s="14">
        <f t="shared" si="97"/>
        <v>52.738388298418002</v>
      </c>
      <c r="DR118" s="22">
        <f t="shared" si="70"/>
        <v>464.00759295307824</v>
      </c>
      <c r="DS118" s="58">
        <f t="shared" si="71"/>
        <v>757.34092628641156</v>
      </c>
      <c r="DT118" s="58">
        <f ca="1">AVERAGE(OFFSET($DS$3,0,0,'Données projet'!$E$14+1,1))-AVERAGE(OFFSET($H$3,0,0,'Données projet'!$E$14+1,1))</f>
        <v>332.49889399440514</v>
      </c>
      <c r="DU118" s="58">
        <f t="shared" si="98"/>
        <v>256.06044006790529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4.0384615384615419</v>
      </c>
      <c r="EJ118" s="13">
        <f>IF('Données projet'!$A$192&gt;35,EJ117+EI118-ER117,IF(A118&lt;'Données projet'!$A$192,$EG$205^A118,IF(A118='Données projet'!$A$192,'Données projet'!$B$192,EJ117+EI118-ER117)))</f>
        <v>379.16666666666691</v>
      </c>
      <c r="EK118" s="18">
        <f>EJ118*VLOOKUP('Données projet'!$B$15,Paramètres!$A$1:$I$89,3,0)*VLOOKUP('Données projet'!$B$15,Paramètres!$A$1:$I$89,5,0)</f>
        <v>396.30500000000029</v>
      </c>
      <c r="EL118" s="14">
        <f t="shared" si="99"/>
        <v>91.027156549960466</v>
      </c>
      <c r="EM118" s="22">
        <f t="shared" si="73"/>
        <v>848.77017265784832</v>
      </c>
      <c r="EN118" s="58">
        <f t="shared" si="74"/>
        <v>1142.1035059911817</v>
      </c>
      <c r="EO118" s="58">
        <f ca="1">AVERAGE(OFFSET($EN$3,0,0,'Données projet'!$E$15+1,1))-AVERAGE(OFFSET($H$3,0,0,'Données projet'!$E$15+1,1))</f>
        <v>596.00698505207174</v>
      </c>
      <c r="EP118" s="58">
        <f t="shared" si="100"/>
        <v>378.16197659288338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2.2737367544323206E-13</v>
      </c>
      <c r="FF118" s="18">
        <f>FE118*VLOOKUP('Données projet'!$B$16,Paramètres!$A$1:$I$89,3,0)*VLOOKUP('Données projet'!$B$16,Paramètres!$A$1:$I$89,5,0)</f>
        <v>1.064108801074326E-13</v>
      </c>
      <c r="FG118" s="14">
        <f t="shared" si="101"/>
        <v>1.5870730813698654E-12</v>
      </c>
      <c r="FH118" s="22">
        <f t="shared" si="76"/>
        <v>2.9494845662396269E-12</v>
      </c>
      <c r="FI118" s="58">
        <f t="shared" si="77"/>
        <v>293.33333333333627</v>
      </c>
      <c r="FJ118" s="58">
        <f ca="1">AVERAGE(OFFSET($FI$3,0,0,'Données projet'!$E$16+1,1))-AVERAGE(OFFSET($H$3,0,0,'Données projet'!$E$16+1,1))</f>
        <v>294.31042006404056</v>
      </c>
      <c r="FK118" s="58">
        <f t="shared" si="102"/>
        <v>260.93767498478502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2.8421709430404007E-13</v>
      </c>
      <c r="GA118" s="18">
        <f>FZ118*VLOOKUP('Données projet'!$B$17,Paramètres!$A$1:$I$89,3,0)*VLOOKUP('Données projet'!$B$17,Paramètres!$A$1:$I$89,5,0)</f>
        <v>1.9065282685915009E-13</v>
      </c>
      <c r="GB118" s="14">
        <f t="shared" si="103"/>
        <v>2.6568987209435707E-12</v>
      </c>
      <c r="GC118" s="22">
        <f t="shared" si="79"/>
        <v>4.959485612423072E-12</v>
      </c>
      <c r="GD118" s="58">
        <f t="shared" si="80"/>
        <v>293.33333333333826</v>
      </c>
      <c r="GE118" s="58">
        <f ca="1">AVERAGE(OFFSET($GD$3,0,0,'Données projet'!$E$17+1,1))-AVERAGE(OFFSET($H$3,0,0,'Données projet'!$E$17+1,1))</f>
        <v>362.1372269575329</v>
      </c>
      <c r="GF118" s="58">
        <f t="shared" si="104"/>
        <v>308.1559670593121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58" t="e">
        <f t="shared" si="83"/>
        <v>#N/A</v>
      </c>
      <c r="GZ118" s="58" t="e">
        <f ca="1">AVERAGE(OFFSET($GY$3,0,0,'Données projet'!$E$18+1,1))-AVERAGE(OFFSET($H$3,0,0,'Données projet'!$E$18+1,1))</f>
        <v>#N/A</v>
      </c>
      <c r="HA118" s="58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0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3">
        <f t="shared" si="56"/>
        <v>256.66666666666669</v>
      </c>
      <c r="I119" s="6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3.8666666666666667</v>
      </c>
      <c r="N119" s="14">
        <f>IF('Données projet'!$A$36&gt;35,N118+M119-V118,IF(A119&lt;'Données projet'!$A$36,$K$205^A119,IF(A119='Données projet'!$A$36,'Données projet'!$B$36,N118+M119-V118)))</f>
        <v>306.53333333333347</v>
      </c>
      <c r="O119" s="14">
        <f>N119*VLOOKUP('Données projet'!$B$9,Paramètres!$A$1:$I$89,3,0)*VLOOKUP('Données projet'!$B$9,Paramètres!$A$1:$I$89,5,0)</f>
        <v>310.82480000000015</v>
      </c>
      <c r="P119" s="14">
        <f t="shared" si="87"/>
        <v>73.441054593096993</v>
      </c>
      <c r="Q119" s="22">
        <f t="shared" si="107"/>
        <v>669.26303008297748</v>
      </c>
      <c r="R119" s="58">
        <f t="shared" si="55"/>
        <v>962.59636341631085</v>
      </c>
      <c r="S119" s="58">
        <f ca="1">AVERAGE(OFFSET($R$3,0,0,'Données projet'!$E$9+1,1))-AVERAGE(OFFSET($H$3,0,0,'Données projet'!$E$9+1,1))</f>
        <v>483.15009705023641</v>
      </c>
      <c r="T119" s="58">
        <f t="shared" si="88"/>
        <v>254.25036207346591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3.8666666666666667</v>
      </c>
      <c r="AI119" s="14">
        <f>IF('Données projet'!$A$62&gt;35,AI118+AH119-AQ118,IF(A119&lt;'Données projet'!$A$62,$AF$205^A119,IF(A119='Données projet'!$A$62,'Données projet'!$B$62,AI118+AH119-AQ118)))</f>
        <v>306.53333333333347</v>
      </c>
      <c r="AJ119" s="14">
        <f>AI119*VLOOKUP('Données projet'!$B$10,Paramètres!$A$1:$I$89,3,0)*VLOOKUP('Données projet'!$B$10,Paramètres!$A$1:$I$89,5,0)</f>
        <v>277.35136000000011</v>
      </c>
      <c r="AK119" s="14">
        <f t="shared" si="89"/>
        <v>66.406965864373319</v>
      </c>
      <c r="AL119" s="22">
        <f t="shared" si="58"/>
        <v>598.71241754711707</v>
      </c>
      <c r="AM119" s="58">
        <f t="shared" si="59"/>
        <v>892.04575088045044</v>
      </c>
      <c r="AN119" s="58">
        <f ca="1">AVERAGE(OFFSET($AM$3,0,0,'Données projet'!$E$10+1,1))-AVERAGE(OFFSET($H$3,0,0,'Données projet'!$E$10+1,1))</f>
        <v>435.7095890216213</v>
      </c>
      <c r="AO119" s="58">
        <f t="shared" si="90"/>
        <v>231.36959598460686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-4.9658410716801891E-14</v>
      </c>
      <c r="BF119" s="14" t="e">
        <f t="shared" si="91"/>
        <v>#NUM!</v>
      </c>
      <c r="BG119" s="22" t="e">
        <f t="shared" si="61"/>
        <v>#NUM!</v>
      </c>
      <c r="BH119" s="58" t="e">
        <f t="shared" si="62"/>
        <v>#NUM!</v>
      </c>
      <c r="BI119" s="58">
        <f ca="1">AVERAGE(OFFSET($BH$3,0,0,'Données projet'!$E$11+1,1))-AVERAGE(OFFSET($H$3,0,0,'Données projet'!$E$11+1,1))</f>
        <v>218.76424742311815</v>
      </c>
      <c r="BJ119" s="58">
        <f t="shared" si="92"/>
        <v>264.34598683038593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0.42659185732791155</v>
      </c>
      <c r="BQ119" s="23">
        <f>EXP(-LN(2)/25)*BQ118+(1-EXP(-LN(2)/25))/(LN(2)/25)*Calculateur!BL119*Calculateur!BN119*VLOOKUP('Données projet'!$B$11,Paramètres!$A$1:$I$89,3,0)*0.475*44/12</f>
        <v>0.4021602795507051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0.8287521368786166</v>
      </c>
      <c r="BT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2.4</v>
      </c>
      <c r="BY119" s="13">
        <f>IF('Données projet'!$A$114&gt;35,BY118+BX119-CG118,IF(A119&lt;'Données projet'!$A$114,$BV$205^A119,IF(A119='Données projet'!$A$114,'Données projet'!$B$114,BY118+BX119-CG118)))</f>
        <v>210.40000000000006</v>
      </c>
      <c r="BZ119" s="14">
        <f>BY119*VLOOKUP('Données projet'!$B$12,Paramètres!$A$1:$I$89,3,0)*VLOOKUP('Données projet'!$B$12,Paramètres!$A$1:$I$89,5,0)</f>
        <v>203.49888000000007</v>
      </c>
      <c r="CA119" s="14">
        <f t="shared" si="93"/>
        <v>50.512337776327122</v>
      </c>
      <c r="CB119" s="22">
        <f t="shared" si="64"/>
        <v>442.40287096043653</v>
      </c>
      <c r="CC119" s="58">
        <f t="shared" si="65"/>
        <v>735.73620429376979</v>
      </c>
      <c r="CD119" s="58">
        <f ca="1">AVERAGE(OFFSET($CC$3,0,0,'Données projet'!$E$12+1,1))-AVERAGE(OFFSET($H$3,0,0,'Données projet'!$E$12+1,1))</f>
        <v>343.86347628565426</v>
      </c>
      <c r="CE119" s="58">
        <f t="shared" si="94"/>
        <v>129.28196646107097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58" t="e">
        <f t="shared" si="68"/>
        <v>#N/A</v>
      </c>
      <c r="CY119" s="58" t="e">
        <f ca="1">AVERAGE(OFFSET($CX$3,0,0,'Données projet'!$E$13+1,1))-AVERAGE(OFFSET($H$3,0,0,'Données projet'!$E$13+1,1))</f>
        <v>#N/A</v>
      </c>
      <c r="CZ119" s="58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2.6060606060606064</v>
      </c>
      <c r="DO119" s="13">
        <f>IF('Données projet'!$A$166&gt;35,DO118+DN119-DW118,IF(A119&lt;'Données projet'!$A$166,$DL$205^A119,IF(A119='Données projet'!$A$166,'Données projet'!$B$166,DO118+DN119-DW118)))</f>
        <v>227.15151515151527</v>
      </c>
      <c r="DP119" s="18">
        <f>DO119*VLOOKUP('Données projet'!$B$14,Paramètres!$A$1:$I$89,3,0)*VLOOKUP('Données projet'!$B$14,Paramètres!$A$1:$I$89,5,0)</f>
        <v>216.1573818181819</v>
      </c>
      <c r="DQ119" s="14">
        <f t="shared" si="97"/>
        <v>53.278857080672033</v>
      </c>
      <c r="DR119" s="22">
        <f t="shared" si="70"/>
        <v>469.26811608217059</v>
      </c>
      <c r="DS119" s="58">
        <f t="shared" si="71"/>
        <v>762.60144941550391</v>
      </c>
      <c r="DT119" s="58">
        <f ca="1">AVERAGE(OFFSET($DS$3,0,0,'Données projet'!$E$14+1,1))-AVERAGE(OFFSET($H$3,0,0,'Données projet'!$E$14+1,1))</f>
        <v>332.49889399440514</v>
      </c>
      <c r="DU119" s="58">
        <f t="shared" si="98"/>
        <v>256.06044006790529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4.0384615384615419</v>
      </c>
      <c r="EJ119" s="13">
        <f>IF('Données projet'!$A$192&gt;35,EJ118+EI119-ER118,IF(A119&lt;'Données projet'!$A$192,$EG$205^A119,IF(A119='Données projet'!$A$192,'Données projet'!$B$192,EJ118+EI119-ER118)))</f>
        <v>383.20512820512846</v>
      </c>
      <c r="EK119" s="18">
        <f>EJ119*VLOOKUP('Données projet'!$B$15,Paramètres!$A$1:$I$89,3,0)*VLOOKUP('Données projet'!$B$15,Paramètres!$A$1:$I$89,5,0)</f>
        <v>400.52600000000035</v>
      </c>
      <c r="EL119" s="14">
        <f t="shared" si="99"/>
        <v>91.883295491605139</v>
      </c>
      <c r="EM119" s="22">
        <f t="shared" si="73"/>
        <v>857.61285631454621</v>
      </c>
      <c r="EN119" s="58">
        <f t="shared" si="74"/>
        <v>1150.9461896478795</v>
      </c>
      <c r="EO119" s="58">
        <f ca="1">AVERAGE(OFFSET($EN$3,0,0,'Données projet'!$E$15+1,1))-AVERAGE(OFFSET($H$3,0,0,'Données projet'!$E$15+1,1))</f>
        <v>596.00698505207174</v>
      </c>
      <c r="EP119" s="58">
        <f t="shared" si="100"/>
        <v>378.16197659288338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2.2737367544323206E-13</v>
      </c>
      <c r="FF119" s="18">
        <f>FE119*VLOOKUP('Données projet'!$B$16,Paramètres!$A$1:$I$89,3,0)*VLOOKUP('Données projet'!$B$16,Paramètres!$A$1:$I$89,5,0)</f>
        <v>1.064108801074326E-13</v>
      </c>
      <c r="FG119" s="14">
        <f t="shared" si="101"/>
        <v>1.5870730813698654E-12</v>
      </c>
      <c r="FH119" s="22">
        <f t="shared" si="76"/>
        <v>2.9494845662396269E-12</v>
      </c>
      <c r="FI119" s="58">
        <f t="shared" si="77"/>
        <v>293.33333333333627</v>
      </c>
      <c r="FJ119" s="58">
        <f ca="1">AVERAGE(OFFSET($FI$3,0,0,'Données projet'!$E$16+1,1))-AVERAGE(OFFSET($H$3,0,0,'Données projet'!$E$16+1,1))</f>
        <v>294.31042006404056</v>
      </c>
      <c r="FK119" s="58">
        <f t="shared" si="102"/>
        <v>260.93767498478502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2.8421709430404007E-13</v>
      </c>
      <c r="GA119" s="18">
        <f>FZ119*VLOOKUP('Données projet'!$B$17,Paramètres!$A$1:$I$89,3,0)*VLOOKUP('Données projet'!$B$17,Paramètres!$A$1:$I$89,5,0)</f>
        <v>1.9065282685915009E-13</v>
      </c>
      <c r="GB119" s="14">
        <f t="shared" si="103"/>
        <v>2.6568987209435707E-12</v>
      </c>
      <c r="GC119" s="22">
        <f t="shared" si="79"/>
        <v>4.959485612423072E-12</v>
      </c>
      <c r="GD119" s="58">
        <f t="shared" si="80"/>
        <v>293.33333333333826</v>
      </c>
      <c r="GE119" s="58">
        <f ca="1">AVERAGE(OFFSET($GD$3,0,0,'Données projet'!$E$17+1,1))-AVERAGE(OFFSET($H$3,0,0,'Données projet'!$E$17+1,1))</f>
        <v>362.1372269575329</v>
      </c>
      <c r="GF119" s="58">
        <f t="shared" si="104"/>
        <v>308.1559670593121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58" t="e">
        <f t="shared" si="83"/>
        <v>#N/A</v>
      </c>
      <c r="GZ119" s="58" t="e">
        <f ca="1">AVERAGE(OFFSET($GY$3,0,0,'Données projet'!$E$18+1,1))-AVERAGE(OFFSET($H$3,0,0,'Données projet'!$E$18+1,1))</f>
        <v>#N/A</v>
      </c>
      <c r="HA119" s="58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0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3">
        <f t="shared" si="56"/>
        <v>256.66666666666669</v>
      </c>
      <c r="I120" s="6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3.8666666666666667</v>
      </c>
      <c r="N120" s="14">
        <f>IF('Données projet'!$A$36&gt;35,N119+M120-V119,IF(A120&lt;'Données projet'!$A$36,$K$205^A120,IF(A120='Données projet'!$A$36,'Données projet'!$B$36,N119+M120-V119)))</f>
        <v>310.40000000000015</v>
      </c>
      <c r="O120" s="14">
        <f>N120*VLOOKUP('Données projet'!$B$9,Paramètres!$A$1:$I$89,3,0)*VLOOKUP('Données projet'!$B$9,Paramètres!$A$1:$I$89,5,0)</f>
        <v>314.74560000000019</v>
      </c>
      <c r="P120" s="14">
        <f t="shared" si="87"/>
        <v>74.259022329594401</v>
      </c>
      <c r="Q120" s="22">
        <f t="shared" si="107"/>
        <v>677.51638389071059</v>
      </c>
      <c r="R120" s="58">
        <f t="shared" si="55"/>
        <v>970.84971722404384</v>
      </c>
      <c r="S120" s="58">
        <f ca="1">AVERAGE(OFFSET($R$3,0,0,'Données projet'!$E$9+1,1))-AVERAGE(OFFSET($H$3,0,0,'Données projet'!$E$9+1,1))</f>
        <v>483.15009705023641</v>
      </c>
      <c r="T120" s="58">
        <f t="shared" si="88"/>
        <v>254.25036207346591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3.8666666666666667</v>
      </c>
      <c r="AI120" s="14">
        <f>IF('Données projet'!$A$62&gt;35,AI119+AH120-AQ119,IF(A120&lt;'Données projet'!$A$62,$AF$205^A120,IF(A120='Données projet'!$A$62,'Données projet'!$B$62,AI119+AH120-AQ119)))</f>
        <v>310.40000000000015</v>
      </c>
      <c r="AJ120" s="14">
        <f>AI120*VLOOKUP('Données projet'!$B$10,Paramètres!$A$1:$I$89,3,0)*VLOOKUP('Données projet'!$B$10,Paramètres!$A$1:$I$89,5,0)</f>
        <v>280.84992000000011</v>
      </c>
      <c r="AK120" s="14">
        <f t="shared" si="89"/>
        <v>67.146589714503094</v>
      </c>
      <c r="AL120" s="22">
        <f t="shared" si="58"/>
        <v>606.09392108609302</v>
      </c>
      <c r="AM120" s="58">
        <f t="shared" si="59"/>
        <v>899.42725441942639</v>
      </c>
      <c r="AN120" s="58">
        <f ca="1">AVERAGE(OFFSET($AM$3,0,0,'Données projet'!$E$10+1,1))-AVERAGE(OFFSET($H$3,0,0,'Données projet'!$E$10+1,1))</f>
        <v>435.7095890216213</v>
      </c>
      <c r="AO120" s="58">
        <f t="shared" si="90"/>
        <v>231.36959598460686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-4.9658410716801891E-14</v>
      </c>
      <c r="BF120" s="14" t="e">
        <f t="shared" si="91"/>
        <v>#NUM!</v>
      </c>
      <c r="BG120" s="22" t="e">
        <f t="shared" si="61"/>
        <v>#NUM!</v>
      </c>
      <c r="BH120" s="58" t="e">
        <f t="shared" si="62"/>
        <v>#NUM!</v>
      </c>
      <c r="BI120" s="58">
        <f ca="1">AVERAGE(OFFSET($BH$3,0,0,'Données projet'!$E$11+1,1))-AVERAGE(OFFSET($H$3,0,0,'Données projet'!$E$11+1,1))</f>
        <v>218.76424742311815</v>
      </c>
      <c r="BJ120" s="58">
        <f t="shared" si="92"/>
        <v>264.34598683038593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0.41822665120105201</v>
      </c>
      <c r="BQ120" s="23">
        <f>EXP(-LN(2)/25)*BQ119+(1-EXP(-LN(2)/25))/(LN(2)/25)*Calculateur!BL120*Calculateur!BN120*VLOOKUP('Données projet'!$B$11,Paramètres!$A$1:$I$89,3,0)*0.475*44/12</f>
        <v>0.39116318555770113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0.80938983675875309</v>
      </c>
      <c r="BT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2.4</v>
      </c>
      <c r="BY120" s="13">
        <f>IF('Données projet'!$A$114&gt;35,BY119+BX120-CG119,IF(A120&lt;'Données projet'!$A$114,$BV$205^A120,IF(A120='Données projet'!$A$114,'Données projet'!$B$114,BY119+BX120-CG119)))</f>
        <v>212.80000000000007</v>
      </c>
      <c r="BZ120" s="14">
        <f>BY120*VLOOKUP('Données projet'!$B$12,Paramètres!$A$1:$I$89,3,0)*VLOOKUP('Données projet'!$B$12,Paramètres!$A$1:$I$89,5,0)</f>
        <v>205.82016000000007</v>
      </c>
      <c r="CA120" s="14">
        <f t="shared" si="93"/>
        <v>51.02111947975375</v>
      </c>
      <c r="CB120" s="22">
        <f t="shared" si="64"/>
        <v>447.33189509390462</v>
      </c>
      <c r="CC120" s="58">
        <f t="shared" si="65"/>
        <v>740.66522842723793</v>
      </c>
      <c r="CD120" s="58">
        <f ca="1">AVERAGE(OFFSET($CC$3,0,0,'Données projet'!$E$12+1,1))-AVERAGE(OFFSET($H$3,0,0,'Données projet'!$E$12+1,1))</f>
        <v>343.86347628565426</v>
      </c>
      <c r="CE120" s="58">
        <f t="shared" si="94"/>
        <v>129.28196646107097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58" t="e">
        <f t="shared" si="68"/>
        <v>#N/A</v>
      </c>
      <c r="CY120" s="58" t="e">
        <f ca="1">AVERAGE(OFFSET($CX$3,0,0,'Données projet'!$E$13+1,1))-AVERAGE(OFFSET($H$3,0,0,'Données projet'!$E$13+1,1))</f>
        <v>#N/A</v>
      </c>
      <c r="CZ120" s="58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2.6060606060606064</v>
      </c>
      <c r="DO120" s="13">
        <f>IF('Données projet'!$A$166&gt;35,DO119+DN120-DW119,IF(A120&lt;'Données projet'!$A$166,$DL$205^A120,IF(A120='Données projet'!$A$166,'Données projet'!$B$166,DO119+DN120-DW119)))</f>
        <v>229.75757575757586</v>
      </c>
      <c r="DP120" s="18">
        <f>DO120*VLOOKUP('Données projet'!$B$14,Paramètres!$A$1:$I$89,3,0)*VLOOKUP('Données projet'!$B$14,Paramètres!$A$1:$I$89,5,0)</f>
        <v>218.63730909090918</v>
      </c>
      <c r="DQ120" s="14">
        <f t="shared" si="97"/>
        <v>53.818604568476886</v>
      </c>
      <c r="DR120" s="22">
        <f t="shared" si="70"/>
        <v>474.52738295676409</v>
      </c>
      <c r="DS120" s="58">
        <f t="shared" si="71"/>
        <v>767.86071629009734</v>
      </c>
      <c r="DT120" s="58">
        <f ca="1">AVERAGE(OFFSET($DS$3,0,0,'Données projet'!$E$14+1,1))-AVERAGE(OFFSET($H$3,0,0,'Données projet'!$E$14+1,1))</f>
        <v>332.49889399440514</v>
      </c>
      <c r="DU120" s="58">
        <f t="shared" si="98"/>
        <v>256.06044006790529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4.0384615384615419</v>
      </c>
      <c r="EJ120" s="13">
        <f>IF('Données projet'!$A$192&gt;35,EJ119+EI120-ER119,IF(A120&lt;'Données projet'!$A$192,$EG$205^A120,IF(A120='Données projet'!$A$192,'Données projet'!$B$192,EJ119+EI120-ER119)))</f>
        <v>387.24358974359001</v>
      </c>
      <c r="EK120" s="18">
        <f>EJ120*VLOOKUP('Données projet'!$B$15,Paramètres!$A$1:$I$89,3,0)*VLOOKUP('Données projet'!$B$15,Paramètres!$A$1:$I$89,5,0)</f>
        <v>404.7470000000003</v>
      </c>
      <c r="EL120" s="14">
        <f t="shared" si="99"/>
        <v>92.738384832757589</v>
      </c>
      <c r="EM120" s="22">
        <f t="shared" si="73"/>
        <v>866.45371191705317</v>
      </c>
      <c r="EN120" s="58">
        <f t="shared" si="74"/>
        <v>1159.7870452503864</v>
      </c>
      <c r="EO120" s="58">
        <f ca="1">AVERAGE(OFFSET($EN$3,0,0,'Données projet'!$E$15+1,1))-AVERAGE(OFFSET($H$3,0,0,'Données projet'!$E$15+1,1))</f>
        <v>596.00698505207174</v>
      </c>
      <c r="EP120" s="58">
        <f t="shared" si="100"/>
        <v>378.16197659288338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2.2737367544323206E-13</v>
      </c>
      <c r="FF120" s="18">
        <f>FE120*VLOOKUP('Données projet'!$B$16,Paramètres!$A$1:$I$89,3,0)*VLOOKUP('Données projet'!$B$16,Paramètres!$A$1:$I$89,5,0)</f>
        <v>1.064108801074326E-13</v>
      </c>
      <c r="FG120" s="14">
        <f t="shared" si="101"/>
        <v>1.5870730813698654E-12</v>
      </c>
      <c r="FH120" s="22">
        <f t="shared" si="76"/>
        <v>2.9494845662396269E-12</v>
      </c>
      <c r="FI120" s="58">
        <f t="shared" si="77"/>
        <v>293.33333333333627</v>
      </c>
      <c r="FJ120" s="58">
        <f ca="1">AVERAGE(OFFSET($FI$3,0,0,'Données projet'!$E$16+1,1))-AVERAGE(OFFSET($H$3,0,0,'Données projet'!$E$16+1,1))</f>
        <v>294.31042006404056</v>
      </c>
      <c r="FK120" s="58">
        <f t="shared" si="102"/>
        <v>260.93767498478502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2.8421709430404007E-13</v>
      </c>
      <c r="GA120" s="18">
        <f>FZ120*VLOOKUP('Données projet'!$B$17,Paramètres!$A$1:$I$89,3,0)*VLOOKUP('Données projet'!$B$17,Paramètres!$A$1:$I$89,5,0)</f>
        <v>1.9065282685915009E-13</v>
      </c>
      <c r="GB120" s="14">
        <f t="shared" si="103"/>
        <v>2.6568987209435707E-12</v>
      </c>
      <c r="GC120" s="22">
        <f t="shared" si="79"/>
        <v>4.959485612423072E-12</v>
      </c>
      <c r="GD120" s="58">
        <f t="shared" si="80"/>
        <v>293.33333333333826</v>
      </c>
      <c r="GE120" s="58">
        <f ca="1">AVERAGE(OFFSET($GD$3,0,0,'Données projet'!$E$17+1,1))-AVERAGE(OFFSET($H$3,0,0,'Données projet'!$E$17+1,1))</f>
        <v>362.1372269575329</v>
      </c>
      <c r="GF120" s="58">
        <f t="shared" si="104"/>
        <v>308.1559670593121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58" t="e">
        <f t="shared" si="83"/>
        <v>#N/A</v>
      </c>
      <c r="GZ120" s="58" t="e">
        <f ca="1">AVERAGE(OFFSET($GY$3,0,0,'Données projet'!$E$18+1,1))-AVERAGE(OFFSET($H$3,0,0,'Données projet'!$E$18+1,1))</f>
        <v>#N/A</v>
      </c>
      <c r="HA120" s="58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0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3">
        <f t="shared" si="56"/>
        <v>256.66666666666669</v>
      </c>
      <c r="I121" s="6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3.8666666666666667</v>
      </c>
      <c r="N121" s="14">
        <f>IF('Données projet'!$A$36&gt;35,N120+M121-V120,IF(A121&lt;'Données projet'!$A$36,$K$205^A121,IF(A121='Données projet'!$A$36,'Données projet'!$B$36,N120+M121-V120)))</f>
        <v>314.26666666666682</v>
      </c>
      <c r="O121" s="14">
        <f>N121*VLOOKUP('Données projet'!$B$9,Paramètres!$A$1:$I$89,3,0)*VLOOKUP('Données projet'!$B$9,Paramètres!$A$1:$I$89,5,0)</f>
        <v>318.66640000000018</v>
      </c>
      <c r="P121" s="14">
        <f t="shared" si="87"/>
        <v>75.075804839931777</v>
      </c>
      <c r="Q121" s="22">
        <f t="shared" si="107"/>
        <v>685.76767342954815</v>
      </c>
      <c r="R121" s="58">
        <f t="shared" si="55"/>
        <v>979.10100676288152</v>
      </c>
      <c r="S121" s="58">
        <f ca="1">AVERAGE(OFFSET($R$3,0,0,'Données projet'!$E$9+1,1))-AVERAGE(OFFSET($H$3,0,0,'Données projet'!$E$9+1,1))</f>
        <v>483.15009705023641</v>
      </c>
      <c r="T121" s="58">
        <f t="shared" si="88"/>
        <v>254.25036207346591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3.8666666666666667</v>
      </c>
      <c r="AI121" s="14">
        <f>IF('Données projet'!$A$62&gt;35,AI120+AH121-AQ120,IF(A121&lt;'Données projet'!$A$62,$AF$205^A121,IF(A121='Données projet'!$A$62,'Données projet'!$B$62,AI120+AH121-AQ120)))</f>
        <v>314.26666666666682</v>
      </c>
      <c r="AJ121" s="14">
        <f>AI121*VLOOKUP('Données projet'!$B$10,Paramètres!$A$1:$I$89,3,0)*VLOOKUP('Données projet'!$B$10,Paramètres!$A$1:$I$89,5,0)</f>
        <v>284.34848000000011</v>
      </c>
      <c r="AK121" s="14">
        <f t="shared" si="89"/>
        <v>67.885141857893686</v>
      </c>
      <c r="AL121" s="22">
        <f t="shared" si="58"/>
        <v>613.47355806916505</v>
      </c>
      <c r="AM121" s="58">
        <f t="shared" si="59"/>
        <v>906.80689140249842</v>
      </c>
      <c r="AN121" s="58">
        <f ca="1">AVERAGE(OFFSET($AM$3,0,0,'Données projet'!$E$10+1,1))-AVERAGE(OFFSET($H$3,0,0,'Données projet'!$E$10+1,1))</f>
        <v>435.7095890216213</v>
      </c>
      <c r="AO121" s="58">
        <f t="shared" si="90"/>
        <v>231.36959598460686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-4.9658410716801891E-14</v>
      </c>
      <c r="BF121" s="14" t="e">
        <f t="shared" si="91"/>
        <v>#NUM!</v>
      </c>
      <c r="BG121" s="22" t="e">
        <f t="shared" si="61"/>
        <v>#NUM!</v>
      </c>
      <c r="BH121" s="58" t="e">
        <f t="shared" si="62"/>
        <v>#NUM!</v>
      </c>
      <c r="BI121" s="58">
        <f ca="1">AVERAGE(OFFSET($BH$3,0,0,'Données projet'!$E$11+1,1))-AVERAGE(OFFSET($H$3,0,0,'Données projet'!$E$11+1,1))</f>
        <v>218.76424742311815</v>
      </c>
      <c r="BJ121" s="58">
        <f t="shared" si="92"/>
        <v>264.34598683038593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0.41002548166406827</v>
      </c>
      <c r="BQ121" s="23">
        <f>EXP(-LN(2)/25)*BQ120+(1-EXP(-LN(2)/25))/(LN(2)/25)*Calculateur!BL121*Calculateur!BN121*VLOOKUP('Données projet'!$B$11,Paramètres!$A$1:$I$89,3,0)*0.475*44/12</f>
        <v>0.38046680767824786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0.79049228934231608</v>
      </c>
      <c r="BT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2.4</v>
      </c>
      <c r="BY121" s="13">
        <f>IF('Données projet'!$A$114&gt;35,BY120+BX121-CG120,IF(A121&lt;'Données projet'!$A$114,$BV$205^A121,IF(A121='Données projet'!$A$114,'Données projet'!$B$114,BY120+BX121-CG120)))</f>
        <v>215.20000000000007</v>
      </c>
      <c r="BZ121" s="14">
        <f>BY121*VLOOKUP('Données projet'!$B$12,Paramètres!$A$1:$I$89,3,0)*VLOOKUP('Données projet'!$B$12,Paramètres!$A$1:$I$89,5,0)</f>
        <v>208.14144000000007</v>
      </c>
      <c r="CA121" s="14">
        <f t="shared" si="93"/>
        <v>51.529233687000762</v>
      </c>
      <c r="CB121" s="22">
        <f t="shared" si="64"/>
        <v>452.25975667152642</v>
      </c>
      <c r="CC121" s="58">
        <f t="shared" si="65"/>
        <v>745.59309000485973</v>
      </c>
      <c r="CD121" s="58">
        <f ca="1">AVERAGE(OFFSET($CC$3,0,0,'Données projet'!$E$12+1,1))-AVERAGE(OFFSET($H$3,0,0,'Données projet'!$E$12+1,1))</f>
        <v>343.86347628565426</v>
      </c>
      <c r="CE121" s="58">
        <f t="shared" si="94"/>
        <v>129.28196646107097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58" t="e">
        <f t="shared" si="68"/>
        <v>#N/A</v>
      </c>
      <c r="CY121" s="58" t="e">
        <f ca="1">AVERAGE(OFFSET($CX$3,0,0,'Données projet'!$E$13+1,1))-AVERAGE(OFFSET($H$3,0,0,'Données projet'!$E$13+1,1))</f>
        <v>#N/A</v>
      </c>
      <c r="CZ121" s="58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2.6060606060606064</v>
      </c>
      <c r="DO121" s="13">
        <f>IF('Données projet'!$A$166&gt;35,DO120+DN121-DW120,IF(A121&lt;'Données projet'!$A$166,$DL$205^A121,IF(A121='Données projet'!$A$166,'Données projet'!$B$166,DO120+DN121-DW120)))</f>
        <v>232.36363636363646</v>
      </c>
      <c r="DP121" s="18">
        <f>DO121*VLOOKUP('Données projet'!$B$14,Paramètres!$A$1:$I$89,3,0)*VLOOKUP('Données projet'!$B$14,Paramètres!$A$1:$I$89,5,0)</f>
        <v>221.11723636363647</v>
      </c>
      <c r="DQ121" s="14">
        <f t="shared" si="97"/>
        <v>54.357639889906515</v>
      </c>
      <c r="DR121" s="22">
        <f t="shared" si="70"/>
        <v>479.7854094749207</v>
      </c>
      <c r="DS121" s="58">
        <f t="shared" si="71"/>
        <v>773.11874280825396</v>
      </c>
      <c r="DT121" s="58">
        <f ca="1">AVERAGE(OFFSET($DS$3,0,0,'Données projet'!$E$14+1,1))-AVERAGE(OFFSET($H$3,0,0,'Données projet'!$E$14+1,1))</f>
        <v>332.49889399440514</v>
      </c>
      <c r="DU121" s="58">
        <f t="shared" si="98"/>
        <v>256.06044006790529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4.0384615384615419</v>
      </c>
      <c r="EJ121" s="13">
        <f>IF('Données projet'!$A$192&gt;35,EJ120+EI121-ER120,IF(A121&lt;'Données projet'!$A$192,$EG$205^A121,IF(A121='Données projet'!$A$192,'Données projet'!$B$192,EJ120+EI121-ER120)))</f>
        <v>391.28205128205155</v>
      </c>
      <c r="EK121" s="18">
        <f>EJ121*VLOOKUP('Données projet'!$B$15,Paramètres!$A$1:$I$89,3,0)*VLOOKUP('Données projet'!$B$15,Paramètres!$A$1:$I$89,5,0)</f>
        <v>408.9680000000003</v>
      </c>
      <c r="EL121" s="14">
        <f t="shared" si="99"/>
        <v>93.592436786571383</v>
      </c>
      <c r="EM121" s="22">
        <f t="shared" si="73"/>
        <v>875.29276073661231</v>
      </c>
      <c r="EN121" s="58">
        <f t="shared" si="74"/>
        <v>1168.6260940699456</v>
      </c>
      <c r="EO121" s="58">
        <f ca="1">AVERAGE(OFFSET($EN$3,0,0,'Données projet'!$E$15+1,1))-AVERAGE(OFFSET($H$3,0,0,'Données projet'!$E$15+1,1))</f>
        <v>596.00698505207174</v>
      </c>
      <c r="EP121" s="58">
        <f t="shared" si="100"/>
        <v>378.16197659288338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2.2737367544323206E-13</v>
      </c>
      <c r="FF121" s="18">
        <f>FE121*VLOOKUP('Données projet'!$B$16,Paramètres!$A$1:$I$89,3,0)*VLOOKUP('Données projet'!$B$16,Paramètres!$A$1:$I$89,5,0)</f>
        <v>1.064108801074326E-13</v>
      </c>
      <c r="FG121" s="14">
        <f t="shared" si="101"/>
        <v>1.5870730813698654E-12</v>
      </c>
      <c r="FH121" s="22">
        <f t="shared" si="76"/>
        <v>2.9494845662396269E-12</v>
      </c>
      <c r="FI121" s="58">
        <f t="shared" si="77"/>
        <v>293.33333333333627</v>
      </c>
      <c r="FJ121" s="58">
        <f ca="1">AVERAGE(OFFSET($FI$3,0,0,'Données projet'!$E$16+1,1))-AVERAGE(OFFSET($H$3,0,0,'Données projet'!$E$16+1,1))</f>
        <v>294.31042006404056</v>
      </c>
      <c r="FK121" s="58">
        <f t="shared" si="102"/>
        <v>260.93767498478502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2.8421709430404007E-13</v>
      </c>
      <c r="GA121" s="18">
        <f>FZ121*VLOOKUP('Données projet'!$B$17,Paramètres!$A$1:$I$89,3,0)*VLOOKUP('Données projet'!$B$17,Paramètres!$A$1:$I$89,5,0)</f>
        <v>1.9065282685915009E-13</v>
      </c>
      <c r="GB121" s="14">
        <f t="shared" si="103"/>
        <v>2.6568987209435707E-12</v>
      </c>
      <c r="GC121" s="22">
        <f t="shared" si="79"/>
        <v>4.959485612423072E-12</v>
      </c>
      <c r="GD121" s="58">
        <f t="shared" si="80"/>
        <v>293.33333333333826</v>
      </c>
      <c r="GE121" s="58">
        <f ca="1">AVERAGE(OFFSET($GD$3,0,0,'Données projet'!$E$17+1,1))-AVERAGE(OFFSET($H$3,0,0,'Données projet'!$E$17+1,1))</f>
        <v>362.1372269575329</v>
      </c>
      <c r="GF121" s="58">
        <f t="shared" si="104"/>
        <v>308.1559670593121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58" t="e">
        <f t="shared" si="83"/>
        <v>#N/A</v>
      </c>
      <c r="GZ121" s="58" t="e">
        <f ca="1">AVERAGE(OFFSET($GY$3,0,0,'Données projet'!$E$18+1,1))-AVERAGE(OFFSET($H$3,0,0,'Données projet'!$E$18+1,1))</f>
        <v>#N/A</v>
      </c>
      <c r="HA121" s="58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0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3">
        <f t="shared" si="56"/>
        <v>256.66666666666669</v>
      </c>
      <c r="I122" s="6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3.8666666666666667</v>
      </c>
      <c r="N122" s="14">
        <f>IF('Données projet'!$A$36&gt;35,N121+M122-V121,IF(A122&lt;'Données projet'!$A$36,$K$205^A122,IF(A122='Données projet'!$A$36,'Données projet'!$B$36,N121+M122-V121)))</f>
        <v>318.1333333333335</v>
      </c>
      <c r="O122" s="14">
        <f>N122*VLOOKUP('Données projet'!$B$9,Paramètres!$A$1:$I$89,3,0)*VLOOKUP('Données projet'!$B$9,Paramètres!$A$1:$I$89,5,0)</f>
        <v>322.58720000000017</v>
      </c>
      <c r="P122" s="14">
        <f t="shared" si="87"/>
        <v>75.891418393472364</v>
      </c>
      <c r="Q122" s="22">
        <f t="shared" si="107"/>
        <v>694.01692703529795</v>
      </c>
      <c r="R122" s="58">
        <f t="shared" si="55"/>
        <v>987.35026036863133</v>
      </c>
      <c r="S122" s="58">
        <f ca="1">AVERAGE(OFFSET($R$3,0,0,'Données projet'!$E$9+1,1))-AVERAGE(OFFSET($H$3,0,0,'Données projet'!$E$9+1,1))</f>
        <v>483.15009705023641</v>
      </c>
      <c r="T122" s="58">
        <f t="shared" si="88"/>
        <v>254.25036207346591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3.8666666666666667</v>
      </c>
      <c r="AI122" s="14">
        <f>IF('Données projet'!$A$62&gt;35,AI121+AH122-AQ121,IF(A122&lt;'Données projet'!$A$62,$AF$205^A122,IF(A122='Données projet'!$A$62,'Données projet'!$B$62,AI121+AH122-AQ121)))</f>
        <v>318.1333333333335</v>
      </c>
      <c r="AJ122" s="14">
        <f>AI122*VLOOKUP('Données projet'!$B$10,Paramètres!$A$1:$I$89,3,0)*VLOOKUP('Données projet'!$B$10,Paramètres!$A$1:$I$89,5,0)</f>
        <v>287.84704000000016</v>
      </c>
      <c r="AK122" s="14">
        <f t="shared" si="89"/>
        <v>68.622637005649636</v>
      </c>
      <c r="AL122" s="22">
        <f t="shared" si="58"/>
        <v>620.85135411817339</v>
      </c>
      <c r="AM122" s="58">
        <f t="shared" si="59"/>
        <v>914.18468745150676</v>
      </c>
      <c r="AN122" s="58">
        <f ca="1">AVERAGE(OFFSET($AM$3,0,0,'Données projet'!$E$10+1,1))-AVERAGE(OFFSET($H$3,0,0,'Données projet'!$E$10+1,1))</f>
        <v>435.7095890216213</v>
      </c>
      <c r="AO122" s="58">
        <f t="shared" si="90"/>
        <v>231.36959598460686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-4.9658410716801891E-14</v>
      </c>
      <c r="BF122" s="14" t="e">
        <f t="shared" si="91"/>
        <v>#NUM!</v>
      </c>
      <c r="BG122" s="22" t="e">
        <f t="shared" si="61"/>
        <v>#NUM!</v>
      </c>
      <c r="BH122" s="58" t="e">
        <f t="shared" si="62"/>
        <v>#NUM!</v>
      </c>
      <c r="BI122" s="58">
        <f ca="1">AVERAGE(OFFSET($BH$3,0,0,'Données projet'!$E$11+1,1))-AVERAGE(OFFSET($H$3,0,0,'Données projet'!$E$11+1,1))</f>
        <v>218.76424742311815</v>
      </c>
      <c r="BJ122" s="58">
        <f t="shared" si="92"/>
        <v>264.34598683038593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0.40198513205948527</v>
      </c>
      <c r="BQ122" s="23">
        <f>EXP(-LN(2)/25)*BQ121+(1-EXP(-LN(2)/25))/(LN(2)/25)*Calculateur!BL122*Calculateur!BN122*VLOOKUP('Données projet'!$B$11,Paramètres!$A$1:$I$89,3,0)*0.475*44/12</f>
        <v>0.37006292281440634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0.77204805487389161</v>
      </c>
      <c r="BT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2.4</v>
      </c>
      <c r="BY122" s="13">
        <f>IF('Données projet'!$A$114&gt;35,BY121+BX122-CG121,IF(A122&lt;'Données projet'!$A$114,$BV$205^A122,IF(A122='Données projet'!$A$114,'Données projet'!$B$114,BY121+BX122-CG121)))</f>
        <v>217.60000000000008</v>
      </c>
      <c r="BZ122" s="14">
        <f>BY122*VLOOKUP('Données projet'!$B$12,Paramètres!$A$1:$I$89,3,0)*VLOOKUP('Données projet'!$B$12,Paramètres!$A$1:$I$89,5,0)</f>
        <v>210.46272000000005</v>
      </c>
      <c r="CA122" s="14">
        <f t="shared" si="93"/>
        <v>52.036688703722042</v>
      </c>
      <c r="CB122" s="22">
        <f t="shared" si="64"/>
        <v>457.18647015898267</v>
      </c>
      <c r="CC122" s="58">
        <f t="shared" si="65"/>
        <v>750.51980349231599</v>
      </c>
      <c r="CD122" s="58">
        <f ca="1">AVERAGE(OFFSET($CC$3,0,0,'Données projet'!$E$12+1,1))-AVERAGE(OFFSET($H$3,0,0,'Données projet'!$E$12+1,1))</f>
        <v>343.86347628565426</v>
      </c>
      <c r="CE122" s="58">
        <f t="shared" si="94"/>
        <v>129.28196646107097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58" t="e">
        <f t="shared" si="68"/>
        <v>#N/A</v>
      </c>
      <c r="CY122" s="58" t="e">
        <f ca="1">AVERAGE(OFFSET($CX$3,0,0,'Données projet'!$E$13+1,1))-AVERAGE(OFFSET($H$3,0,0,'Données projet'!$E$13+1,1))</f>
        <v>#N/A</v>
      </c>
      <c r="CZ122" s="58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2.6060606060606064</v>
      </c>
      <c r="DO122" s="13">
        <f>IF('Données projet'!$A$166&gt;35,DO121+DN122-DW121,IF(A122&lt;'Données projet'!$A$166,$DL$205^A122,IF(A122='Données projet'!$A$166,'Données projet'!$B$166,DO121+DN122-DW121)))</f>
        <v>234.96969696969705</v>
      </c>
      <c r="DP122" s="18">
        <f>DO122*VLOOKUP('Données projet'!$B$14,Paramètres!$A$1:$I$89,3,0)*VLOOKUP('Données projet'!$B$14,Paramètres!$A$1:$I$89,5,0)</f>
        <v>223.59716363636372</v>
      </c>
      <c r="DQ122" s="14">
        <f t="shared" si="97"/>
        <v>54.895971956495302</v>
      </c>
      <c r="DR122" s="22">
        <f t="shared" si="70"/>
        <v>485.04221115756269</v>
      </c>
      <c r="DS122" s="58">
        <f t="shared" si="71"/>
        <v>778.375544490896</v>
      </c>
      <c r="DT122" s="58">
        <f ca="1">AVERAGE(OFFSET($DS$3,0,0,'Données projet'!$E$14+1,1))-AVERAGE(OFFSET($H$3,0,0,'Données projet'!$E$14+1,1))</f>
        <v>332.49889399440514</v>
      </c>
      <c r="DU122" s="58">
        <f t="shared" si="98"/>
        <v>256.06044006790529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4.0384615384615419</v>
      </c>
      <c r="EJ122" s="13">
        <f>IF('Données projet'!$A$192&gt;35,EJ121+EI122-ER121,IF(A122&lt;'Données projet'!$A$192,$EG$205^A122,IF(A122='Données projet'!$A$192,'Données projet'!$B$192,EJ121+EI122-ER121)))</f>
        <v>395.3205128205131</v>
      </c>
      <c r="EK122" s="18">
        <f>EJ122*VLOOKUP('Données projet'!$B$15,Paramètres!$A$1:$I$89,3,0)*VLOOKUP('Données projet'!$B$15,Paramètres!$A$1:$I$89,5,0)</f>
        <v>413.18900000000036</v>
      </c>
      <c r="EL122" s="14">
        <f t="shared" si="99"/>
        <v>94.445463299567351</v>
      </c>
      <c r="EM122" s="22">
        <f t="shared" si="73"/>
        <v>884.13002358008043</v>
      </c>
      <c r="EN122" s="58">
        <f t="shared" si="74"/>
        <v>1177.4633569134137</v>
      </c>
      <c r="EO122" s="58">
        <f ca="1">AVERAGE(OFFSET($EN$3,0,0,'Données projet'!$E$15+1,1))-AVERAGE(OFFSET($H$3,0,0,'Données projet'!$E$15+1,1))</f>
        <v>596.00698505207174</v>
      </c>
      <c r="EP122" s="58">
        <f t="shared" si="100"/>
        <v>378.16197659288338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2.2737367544323206E-13</v>
      </c>
      <c r="FF122" s="18">
        <f>FE122*VLOOKUP('Données projet'!$B$16,Paramètres!$A$1:$I$89,3,0)*VLOOKUP('Données projet'!$B$16,Paramètres!$A$1:$I$89,5,0)</f>
        <v>1.064108801074326E-13</v>
      </c>
      <c r="FG122" s="14">
        <f t="shared" si="101"/>
        <v>1.5870730813698654E-12</v>
      </c>
      <c r="FH122" s="22">
        <f t="shared" si="76"/>
        <v>2.9494845662396269E-12</v>
      </c>
      <c r="FI122" s="58">
        <f t="shared" si="77"/>
        <v>293.33333333333627</v>
      </c>
      <c r="FJ122" s="58">
        <f ca="1">AVERAGE(OFFSET($FI$3,0,0,'Données projet'!$E$16+1,1))-AVERAGE(OFFSET($H$3,0,0,'Données projet'!$E$16+1,1))</f>
        <v>294.31042006404056</v>
      </c>
      <c r="FK122" s="58">
        <f t="shared" si="102"/>
        <v>260.93767498478502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2.8421709430404007E-13</v>
      </c>
      <c r="GA122" s="18">
        <f>FZ122*VLOOKUP('Données projet'!$B$17,Paramètres!$A$1:$I$89,3,0)*VLOOKUP('Données projet'!$B$17,Paramètres!$A$1:$I$89,5,0)</f>
        <v>1.9065282685915009E-13</v>
      </c>
      <c r="GB122" s="14">
        <f t="shared" si="103"/>
        <v>2.6568987209435707E-12</v>
      </c>
      <c r="GC122" s="22">
        <f t="shared" si="79"/>
        <v>4.959485612423072E-12</v>
      </c>
      <c r="GD122" s="58">
        <f t="shared" si="80"/>
        <v>293.33333333333826</v>
      </c>
      <c r="GE122" s="58">
        <f ca="1">AVERAGE(OFFSET($GD$3,0,0,'Données projet'!$E$17+1,1))-AVERAGE(OFFSET($H$3,0,0,'Données projet'!$E$17+1,1))</f>
        <v>362.1372269575329</v>
      </c>
      <c r="GF122" s="58">
        <f t="shared" si="104"/>
        <v>308.1559670593121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58" t="e">
        <f t="shared" si="83"/>
        <v>#N/A</v>
      </c>
      <c r="GZ122" s="58" t="e">
        <f ca="1">AVERAGE(OFFSET($GY$3,0,0,'Données projet'!$E$18+1,1))-AVERAGE(OFFSET($H$3,0,0,'Données projet'!$E$18+1,1))</f>
        <v>#N/A</v>
      </c>
      <c r="HA122" s="58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0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3">
        <f t="shared" si="56"/>
        <v>256.66666666666669</v>
      </c>
      <c r="I123" s="6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322</v>
      </c>
      <c r="L123" s="13">
        <f>VLOOKUP(A123,'Données projet'!$A$35:$I$55,9,0)</f>
        <v>3.8666666666666667</v>
      </c>
      <c r="M123" s="13">
        <f t="array" ref="M123">INDEX(L:L,MIN(IF(ISNUMBER(L123:L319),ROW(L123:L319),"")))</f>
        <v>3.8666666666666667</v>
      </c>
      <c r="N123" s="14">
        <f>IF('Données projet'!$A$36&gt;35,N122+M123-V122,IF(A123&lt;'Données projet'!$A$36,$K$205^A123,IF(A123='Données projet'!$A$36,'Données projet'!$B$36,N122+M123-V122)))</f>
        <v>322.00000000000017</v>
      </c>
      <c r="O123" s="14">
        <f>N123*VLOOKUP('Données projet'!$B$9,Paramètres!$A$1:$I$89,3,0)*VLOOKUP('Données projet'!$B$9,Paramètres!$A$1:$I$89,5,0)</f>
        <v>326.50800000000021</v>
      </c>
      <c r="P123" s="14">
        <f t="shared" si="87"/>
        <v>76.70587884134433</v>
      </c>
      <c r="Q123" s="22">
        <f t="shared" si="107"/>
        <v>702.26417231534163</v>
      </c>
      <c r="R123" s="58">
        <f t="shared" si="55"/>
        <v>995.597505648675</v>
      </c>
      <c r="S123" s="58">
        <f ca="1">AVERAGE(OFFSET($R$3,0,0,'Données projet'!$E$9+1,1))-AVERAGE(OFFSET($H$3,0,0,'Données projet'!$E$9+1,1))</f>
        <v>483.15009705023641</v>
      </c>
      <c r="T123" s="58">
        <f t="shared" si="88"/>
        <v>254.25036207346591</v>
      </c>
      <c r="U123" s="16">
        <f>IF(ISNA(VLOOKUP(A123,'Données projet'!$A$35:$I$55,3,0)),0,VLOOKUP(A123,'Données projet'!$A$35:$I$55,3,0))</f>
        <v>9</v>
      </c>
      <c r="V123" s="16">
        <f>IF(ISNA(VLOOKUP(A123,'Données projet'!$A$35:$I$55,4,0)),0,VLOOKUP(A123,'Données projet'!$A$35:$I$55,4,0))</f>
        <v>54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322</v>
      </c>
      <c r="AG123" s="13">
        <f>VLOOKUP(A123,'Données projet'!$A$61:$I$81,9,0)</f>
        <v>3.8666666666666667</v>
      </c>
      <c r="AH123" s="13">
        <f t="array" ref="AH123">INDEX(AG:AG,MIN(IF(ISNUMBER(AG123:AG319),ROW(AG123:AG319),"")))</f>
        <v>3.8666666666666667</v>
      </c>
      <c r="AI123" s="14">
        <f>IF('Données projet'!$A$62&gt;35,AI122+AH123-AQ122,IF(A123&lt;'Données projet'!$A$62,$AF$205^A123,IF(A123='Données projet'!$A$62,'Données projet'!$B$62,AI122+AH123-AQ122)))</f>
        <v>322.00000000000017</v>
      </c>
      <c r="AJ123" s="14">
        <f>AI123*VLOOKUP('Données projet'!$B$10,Paramètres!$A$1:$I$89,3,0)*VLOOKUP('Données projet'!$B$10,Paramètres!$A$1:$I$89,5,0)</f>
        <v>291.3456000000001</v>
      </c>
      <c r="AK123" s="14">
        <f t="shared" si="89"/>
        <v>69.359089490698707</v>
      </c>
      <c r="AL123" s="22">
        <f t="shared" si="58"/>
        <v>628.22733419630038</v>
      </c>
      <c r="AM123" s="58">
        <f t="shared" si="59"/>
        <v>921.56066752963375</v>
      </c>
      <c r="AN123" s="58">
        <f ca="1">AVERAGE(OFFSET($AM$3,0,0,'Données projet'!$E$10+1,1))-AVERAGE(OFFSET($H$3,0,0,'Données projet'!$E$10+1,1))</f>
        <v>435.7095890216213</v>
      </c>
      <c r="AO123" s="58">
        <f t="shared" si="90"/>
        <v>231.36959598460686</v>
      </c>
      <c r="AP123" s="16">
        <f>IF(ISNA(VLOOKUP(A123,'Données projet'!$A$61:$I$81,3,0)),0,VLOOKUP(A123,'Données projet'!$A$61:$I$81,3,0))</f>
        <v>9</v>
      </c>
      <c r="AQ123" s="16">
        <f>IF(ISNA(VLOOKUP(A123,'Données projet'!$A$61:$I$81,4,0)),0,VLOOKUP(A123,'Données projet'!$A$61:$I$81,4,0))</f>
        <v>54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-4.9658410716801891E-14</v>
      </c>
      <c r="BF123" s="14" t="e">
        <f t="shared" si="91"/>
        <v>#NUM!</v>
      </c>
      <c r="BG123" s="22" t="e">
        <f t="shared" si="61"/>
        <v>#NUM!</v>
      </c>
      <c r="BH123" s="58" t="e">
        <f t="shared" si="62"/>
        <v>#NUM!</v>
      </c>
      <c r="BI123" s="58">
        <f ca="1">AVERAGE(OFFSET($BH$3,0,0,'Données projet'!$E$11+1,1))-AVERAGE(OFFSET($H$3,0,0,'Données projet'!$E$11+1,1))</f>
        <v>218.76424742311815</v>
      </c>
      <c r="BJ123" s="58">
        <f t="shared" si="92"/>
        <v>264.34598683038593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0.39410244880651912</v>
      </c>
      <c r="BQ123" s="23">
        <f>EXP(-LN(2)/25)*BQ122+(1-EXP(-LN(2)/25))/(LN(2)/25)*Calculateur!BL123*Calculateur!BN123*VLOOKUP('Données projet'!$B$11,Paramètres!$A$1:$I$89,3,0)*0.475*44/12</f>
        <v>0.35994353272928309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0.75404598153580227</v>
      </c>
      <c r="BT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2.4</v>
      </c>
      <c r="BY123" s="13">
        <f>IF('Données projet'!$A$114&gt;35,BY122+BX123-CG122,IF(A123&lt;'Données projet'!$A$114,$BV$205^A123,IF(A123='Données projet'!$A$114,'Données projet'!$B$114,BY122+BX123-CG122)))</f>
        <v>220.00000000000009</v>
      </c>
      <c r="BZ123" s="14">
        <f>BY123*VLOOKUP('Données projet'!$B$12,Paramètres!$A$1:$I$89,3,0)*VLOOKUP('Données projet'!$B$12,Paramètres!$A$1:$I$89,5,0)</f>
        <v>212.78400000000011</v>
      </c>
      <c r="CA123" s="14">
        <f t="shared" si="93"/>
        <v>52.543492641808108</v>
      </c>
      <c r="CB123" s="22">
        <f t="shared" si="64"/>
        <v>462.1120496844826</v>
      </c>
      <c r="CC123" s="58">
        <f t="shared" si="65"/>
        <v>755.44538301781586</v>
      </c>
      <c r="CD123" s="58">
        <f ca="1">AVERAGE(OFFSET($CC$3,0,0,'Données projet'!$E$12+1,1))-AVERAGE(OFFSET($H$3,0,0,'Données projet'!$E$12+1,1))</f>
        <v>343.86347628565426</v>
      </c>
      <c r="CE123" s="58">
        <f t="shared" si="94"/>
        <v>129.28196646107097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58" t="e">
        <f t="shared" si="68"/>
        <v>#N/A</v>
      </c>
      <c r="CY123" s="58" t="e">
        <f ca="1">AVERAGE(OFFSET($CX$3,0,0,'Données projet'!$E$13+1,1))-AVERAGE(OFFSET($H$3,0,0,'Données projet'!$E$13+1,1))</f>
        <v>#N/A</v>
      </c>
      <c r="CZ123" s="58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237.57575757575759</v>
      </c>
      <c r="DM123" s="13">
        <f>VLOOKUP(A123,'Données projet'!$A$165:$I$185,9,0)</f>
        <v>2.6060606060606064</v>
      </c>
      <c r="DN123" s="13">
        <f t="array" ref="DN123">INDEX(DM:DM,MIN(IF(ISNUMBER(DM123:DM319),ROW(DM123:DM319),"")))</f>
        <v>2.6060606060606064</v>
      </c>
      <c r="DO123" s="13">
        <f>IF('Données projet'!$A$166&gt;35,DO122+DN123-DW122,IF(A123&lt;'Données projet'!$A$166,$DL$205^A123,IF(A123='Données projet'!$A$166,'Données projet'!$B$166,DO122+DN123-DW122)))</f>
        <v>237.57575757575765</v>
      </c>
      <c r="DP123" s="18">
        <f>DO123*VLOOKUP('Données projet'!$B$14,Paramètres!$A$1:$I$89,3,0)*VLOOKUP('Données projet'!$B$14,Paramètres!$A$1:$I$89,5,0)</f>
        <v>226.077090909091</v>
      </c>
      <c r="DQ123" s="14">
        <f t="shared" si="97"/>
        <v>55.433609470718658</v>
      </c>
      <c r="DR123" s="22">
        <f t="shared" si="70"/>
        <v>490.2978031615018</v>
      </c>
      <c r="DS123" s="58">
        <f t="shared" si="71"/>
        <v>783.63113649483512</v>
      </c>
      <c r="DT123" s="58">
        <f ca="1">AVERAGE(OFFSET($DS$3,0,0,'Données projet'!$E$14+1,1))-AVERAGE(OFFSET($H$3,0,0,'Données projet'!$E$14+1,1))</f>
        <v>332.49889399440514</v>
      </c>
      <c r="DU123" s="58">
        <f t="shared" si="98"/>
        <v>256.06044006790529</v>
      </c>
      <c r="DV123" s="16">
        <f>IF(ISNA(VLOOKUP(A123,'Données projet'!$A$165:$I$185,3,0)),0,VLOOKUP(A123,'Données projet'!$A$165:$I$185,3,0))</f>
        <v>11</v>
      </c>
      <c r="DW123" s="16">
        <f>IF(ISNA(VLOOKUP(A123,'Données projet'!$A$165:$I$185,4,0)),0,VLOOKUP(A123,'Données projet'!$A$165:$I$185,4,0))</f>
        <v>237.57575757575759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399.35897435897436</v>
      </c>
      <c r="EH123" s="13">
        <f>VLOOKUP(A123,'Données projet'!$A$191:$I$211,9,0)</f>
        <v>4.0384615384615419</v>
      </c>
      <c r="EI123" s="13">
        <f t="array" ref="EI123">INDEX(EH:EH,MIN(IF(ISNUMBER(EH123:EH319),ROW(EH123:EH319),"")))</f>
        <v>4.0384615384615419</v>
      </c>
      <c r="EJ123" s="13">
        <f>IF('Données projet'!$A$192&gt;35,EJ122+EI123-ER122,IF(A123&lt;'Données projet'!$A$192,$EG$205^A123,IF(A123='Données projet'!$A$192,'Données projet'!$B$192,EJ122+EI123-ER122)))</f>
        <v>399.35897435897465</v>
      </c>
      <c r="EK123" s="18">
        <f>EJ123*VLOOKUP('Données projet'!$B$15,Paramètres!$A$1:$I$89,3,0)*VLOOKUP('Données projet'!$B$15,Paramètres!$A$1:$I$89,5,0)</f>
        <v>417.41000000000037</v>
      </c>
      <c r="EL123" s="14">
        <f t="shared" si="99"/>
        <v>95.297476060117091</v>
      </c>
      <c r="EM123" s="22">
        <f t="shared" si="73"/>
        <v>892.9655208047044</v>
      </c>
      <c r="EN123" s="58">
        <f t="shared" si="74"/>
        <v>1186.2988541380378</v>
      </c>
      <c r="EO123" s="58">
        <f ca="1">AVERAGE(OFFSET($EN$3,0,0,'Données projet'!$E$15+1,1))-AVERAGE(OFFSET($H$3,0,0,'Données projet'!$E$15+1,1))</f>
        <v>596.00698505207174</v>
      </c>
      <c r="EP123" s="58">
        <f t="shared" si="100"/>
        <v>378.16197659288338</v>
      </c>
      <c r="EQ123" s="16">
        <f>IF(ISNA(VLOOKUP(A123,'Données projet'!$A$191:$I$211,3,0)),0,VLOOKUP(A123,'Données projet'!$A$191:$I$211,3,0))</f>
        <v>11</v>
      </c>
      <c r="ER123" s="16">
        <f>IF(ISNA(VLOOKUP(A123,'Données projet'!$A$191:$I$211,4,0)),0,VLOOKUP(A123,'Données projet'!$A$191:$I$211,4,0))</f>
        <v>21.153846153846153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2.2737367544323206E-13</v>
      </c>
      <c r="FF123" s="18">
        <f>FE123*VLOOKUP('Données projet'!$B$16,Paramètres!$A$1:$I$89,3,0)*VLOOKUP('Données projet'!$B$16,Paramètres!$A$1:$I$89,5,0)</f>
        <v>1.064108801074326E-13</v>
      </c>
      <c r="FG123" s="14">
        <f t="shared" si="101"/>
        <v>1.5870730813698654E-12</v>
      </c>
      <c r="FH123" s="22">
        <f t="shared" si="76"/>
        <v>2.9494845662396269E-12</v>
      </c>
      <c r="FI123" s="58">
        <f t="shared" si="77"/>
        <v>293.33333333333627</v>
      </c>
      <c r="FJ123" s="58">
        <f ca="1">AVERAGE(OFFSET($FI$3,0,0,'Données projet'!$E$16+1,1))-AVERAGE(OFFSET($H$3,0,0,'Données projet'!$E$16+1,1))</f>
        <v>294.31042006404056</v>
      </c>
      <c r="FK123" s="58">
        <f t="shared" si="102"/>
        <v>260.93767498478502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2.8421709430404007E-13</v>
      </c>
      <c r="GA123" s="18">
        <f>FZ123*VLOOKUP('Données projet'!$B$17,Paramètres!$A$1:$I$89,3,0)*VLOOKUP('Données projet'!$B$17,Paramètres!$A$1:$I$89,5,0)</f>
        <v>1.9065282685915009E-13</v>
      </c>
      <c r="GB123" s="14">
        <f t="shared" si="103"/>
        <v>2.6568987209435707E-12</v>
      </c>
      <c r="GC123" s="22">
        <f t="shared" si="79"/>
        <v>4.959485612423072E-12</v>
      </c>
      <c r="GD123" s="58">
        <f t="shared" si="80"/>
        <v>293.33333333333826</v>
      </c>
      <c r="GE123" s="58">
        <f ca="1">AVERAGE(OFFSET($GD$3,0,0,'Données projet'!$E$17+1,1))-AVERAGE(OFFSET($H$3,0,0,'Données projet'!$E$17+1,1))</f>
        <v>362.1372269575329</v>
      </c>
      <c r="GF123" s="58">
        <f t="shared" si="104"/>
        <v>308.1559670593121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58" t="e">
        <f t="shared" si="83"/>
        <v>#N/A</v>
      </c>
      <c r="GZ123" s="58" t="e">
        <f ca="1">AVERAGE(OFFSET($GY$3,0,0,'Données projet'!$E$18+1,1))-AVERAGE(OFFSET($H$3,0,0,'Données projet'!$E$18+1,1))</f>
        <v>#N/A</v>
      </c>
      <c r="HA123" s="58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0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3">
        <f t="shared" si="56"/>
        <v>256.66666666666669</v>
      </c>
      <c r="I124" s="6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3.0666666666666669</v>
      </c>
      <c r="N124" s="14">
        <f>IF('Données projet'!$A$36&gt;35,N123+M124-V123,IF(A124&lt;'Données projet'!$A$36,$K$205^A124,IF(A124='Données projet'!$A$36,'Données projet'!$B$36,N123+M124-V123)))</f>
        <v>271.06666666666683</v>
      </c>
      <c r="O124" s="14">
        <f>N124*VLOOKUP('Données projet'!$B$9,Paramètres!$A$1:$I$89,3,0)*VLOOKUP('Données projet'!$B$9,Paramètres!$A$1:$I$89,5,0)</f>
        <v>274.86160000000018</v>
      </c>
      <c r="P124" s="14">
        <f t="shared" si="87"/>
        <v>65.87994946141221</v>
      </c>
      <c r="Q124" s="22">
        <f t="shared" si="107"/>
        <v>593.45819864529324</v>
      </c>
      <c r="R124" s="58">
        <f t="shared" si="55"/>
        <v>886.79153197862661</v>
      </c>
      <c r="S124" s="58">
        <f ca="1">AVERAGE(OFFSET($R$3,0,0,'Données projet'!$E$9+1,1))-AVERAGE(OFFSET($H$3,0,0,'Données projet'!$E$9+1,1))</f>
        <v>483.15009705023641</v>
      </c>
      <c r="T124" s="58">
        <f t="shared" si="88"/>
        <v>254.25036207346591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3.0666666666666669</v>
      </c>
      <c r="AI124" s="14">
        <f>IF('Données projet'!$A$62&gt;35,AI123+AH124-AQ123,IF(A124&lt;'Données projet'!$A$62,$AF$205^A124,IF(A124='Données projet'!$A$62,'Données projet'!$B$62,AI123+AH124-AQ123)))</f>
        <v>271.06666666666683</v>
      </c>
      <c r="AJ124" s="14">
        <f>AI124*VLOOKUP('Données projet'!$B$10,Paramètres!$A$1:$I$89,3,0)*VLOOKUP('Données projet'!$B$10,Paramètres!$A$1:$I$89,5,0)</f>
        <v>245.26112000000015</v>
      </c>
      <c r="AK124" s="14">
        <f t="shared" si="89"/>
        <v>59.570053552061239</v>
      </c>
      <c r="AL124" s="22">
        <f t="shared" si="58"/>
        <v>530.91429393650685</v>
      </c>
      <c r="AM124" s="58">
        <f t="shared" si="59"/>
        <v>824.24762726984022</v>
      </c>
      <c r="AN124" s="58">
        <f ca="1">AVERAGE(OFFSET($AM$3,0,0,'Données projet'!$E$10+1,1))-AVERAGE(OFFSET($H$3,0,0,'Données projet'!$E$10+1,1))</f>
        <v>435.7095890216213</v>
      </c>
      <c r="AO124" s="58">
        <f t="shared" si="90"/>
        <v>231.36959598460686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-4.9658410716801891E-14</v>
      </c>
      <c r="BF124" s="14" t="e">
        <f t="shared" si="91"/>
        <v>#NUM!</v>
      </c>
      <c r="BG124" s="22" t="e">
        <f t="shared" si="61"/>
        <v>#NUM!</v>
      </c>
      <c r="BH124" s="58" t="e">
        <f t="shared" si="62"/>
        <v>#NUM!</v>
      </c>
      <c r="BI124" s="58">
        <f ca="1">AVERAGE(OFFSET($BH$3,0,0,'Données projet'!$E$11+1,1))-AVERAGE(OFFSET($H$3,0,0,'Données projet'!$E$11+1,1))</f>
        <v>218.76424742311815</v>
      </c>
      <c r="BJ124" s="58">
        <f t="shared" si="92"/>
        <v>264.34598683038593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0.38637434016418165</v>
      </c>
      <c r="BQ124" s="23">
        <f>EXP(-LN(2)/25)*BQ123+(1-EXP(-LN(2)/25))/(LN(2)/25)*Calculateur!BL124*Calculateur!BN124*VLOOKUP('Données projet'!$B$11,Paramètres!$A$1:$I$89,3,0)*0.475*44/12</f>
        <v>0.35010085789819312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0.73647519806237471</v>
      </c>
      <c r="BT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2.4</v>
      </c>
      <c r="BY124" s="13">
        <f>IF('Données projet'!$A$114&gt;35,BY123+BX124-CG123,IF(A124&lt;'Données projet'!$A$114,$BV$205^A124,IF(A124='Données projet'!$A$114,'Données projet'!$B$114,BY123+BX124-CG123)))</f>
        <v>222.40000000000009</v>
      </c>
      <c r="BZ124" s="14">
        <f>BY124*VLOOKUP('Données projet'!$B$12,Paramètres!$A$1:$I$89,3,0)*VLOOKUP('Données projet'!$B$12,Paramètres!$A$1:$I$89,5,0)</f>
        <v>215.10528000000011</v>
      </c>
      <c r="CA124" s="14">
        <f t="shared" si="93"/>
        <v>53.049653425970071</v>
      </c>
      <c r="CB124" s="22">
        <f t="shared" si="64"/>
        <v>467.03650905023136</v>
      </c>
      <c r="CC124" s="58">
        <f t="shared" si="65"/>
        <v>760.36984238356467</v>
      </c>
      <c r="CD124" s="58">
        <f ca="1">AVERAGE(OFFSET($CC$3,0,0,'Données projet'!$E$12+1,1))-AVERAGE(OFFSET($H$3,0,0,'Données projet'!$E$12+1,1))</f>
        <v>343.86347628565426</v>
      </c>
      <c r="CE124" s="58">
        <f t="shared" si="94"/>
        <v>129.28196646107097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58" t="e">
        <f t="shared" si="68"/>
        <v>#N/A</v>
      </c>
      <c r="CY124" s="58" t="e">
        <f ca="1">AVERAGE(OFFSET($CX$3,0,0,'Données projet'!$E$13+1,1))-AVERAGE(OFFSET($H$3,0,0,'Données projet'!$E$13+1,1))</f>
        <v>#N/A</v>
      </c>
      <c r="CZ124" s="58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5.4092197387944907E-14</v>
      </c>
      <c r="DQ124" s="14">
        <f t="shared" si="97"/>
        <v>8.7287050538073676E-13</v>
      </c>
      <c r="DR124" s="22">
        <f t="shared" si="70"/>
        <v>1.6144600406554537E-12</v>
      </c>
      <c r="DS124" s="58">
        <f t="shared" si="71"/>
        <v>293.33333333333491</v>
      </c>
      <c r="DT124" s="58">
        <f ca="1">AVERAGE(OFFSET($DS$3,0,0,'Données projet'!$E$14+1,1))-AVERAGE(OFFSET($H$3,0,0,'Données projet'!$E$14+1,1))</f>
        <v>332.49889399440514</v>
      </c>
      <c r="DU124" s="58">
        <f t="shared" si="98"/>
        <v>256.06044006790529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3.0769230769230718</v>
      </c>
      <c r="EJ124" s="13">
        <f>IF('Données projet'!$A$192&gt;35,EJ123+EI124-ER123,IF(A124&lt;'Données projet'!$A$192,$EG$205^A124,IF(A124='Données projet'!$A$192,'Données projet'!$B$192,EJ123+EI124-ER123)))</f>
        <v>381.28205128205161</v>
      </c>
      <c r="EK124" s="18">
        <f>EJ124*VLOOKUP('Données projet'!$B$15,Paramètres!$A$1:$I$89,3,0)*VLOOKUP('Données projet'!$B$15,Paramètres!$A$1:$I$89,5,0)</f>
        <v>398.51600000000036</v>
      </c>
      <c r="EL124" s="14">
        <f t="shared" si="99"/>
        <v>91.475741943717054</v>
      </c>
      <c r="EM124" s="22">
        <f t="shared" si="73"/>
        <v>853.40228388530784</v>
      </c>
      <c r="EN124" s="58">
        <f t="shared" si="74"/>
        <v>1146.7356172186412</v>
      </c>
      <c r="EO124" s="58">
        <f ca="1">AVERAGE(OFFSET($EN$3,0,0,'Données projet'!$E$15+1,1))-AVERAGE(OFFSET($H$3,0,0,'Données projet'!$E$15+1,1))</f>
        <v>596.00698505207174</v>
      </c>
      <c r="EP124" s="58">
        <f t="shared" si="100"/>
        <v>378.16197659288338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2.2737367544323206E-13</v>
      </c>
      <c r="FF124" s="18">
        <f>FE124*VLOOKUP('Données projet'!$B$16,Paramètres!$A$1:$I$89,3,0)*VLOOKUP('Données projet'!$B$16,Paramètres!$A$1:$I$89,5,0)</f>
        <v>1.064108801074326E-13</v>
      </c>
      <c r="FG124" s="14">
        <f t="shared" si="101"/>
        <v>1.5870730813698654E-12</v>
      </c>
      <c r="FH124" s="22">
        <f t="shared" si="76"/>
        <v>2.9494845662396269E-12</v>
      </c>
      <c r="FI124" s="58">
        <f t="shared" si="77"/>
        <v>293.33333333333627</v>
      </c>
      <c r="FJ124" s="58">
        <f ca="1">AVERAGE(OFFSET($FI$3,0,0,'Données projet'!$E$16+1,1))-AVERAGE(OFFSET($H$3,0,0,'Données projet'!$E$16+1,1))</f>
        <v>294.31042006404056</v>
      </c>
      <c r="FK124" s="58">
        <f t="shared" si="102"/>
        <v>260.93767498478502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2.8421709430404007E-13</v>
      </c>
      <c r="GA124" s="18">
        <f>FZ124*VLOOKUP('Données projet'!$B$17,Paramètres!$A$1:$I$89,3,0)*VLOOKUP('Données projet'!$B$17,Paramètres!$A$1:$I$89,5,0)</f>
        <v>1.9065282685915009E-13</v>
      </c>
      <c r="GB124" s="14">
        <f t="shared" si="103"/>
        <v>2.6568987209435707E-12</v>
      </c>
      <c r="GC124" s="22">
        <f t="shared" si="79"/>
        <v>4.959485612423072E-12</v>
      </c>
      <c r="GD124" s="58">
        <f t="shared" si="80"/>
        <v>293.33333333333826</v>
      </c>
      <c r="GE124" s="58">
        <f ca="1">AVERAGE(OFFSET($GD$3,0,0,'Données projet'!$E$17+1,1))-AVERAGE(OFFSET($H$3,0,0,'Données projet'!$E$17+1,1))</f>
        <v>362.1372269575329</v>
      </c>
      <c r="GF124" s="58">
        <f t="shared" si="104"/>
        <v>308.1559670593121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58" t="e">
        <f t="shared" si="83"/>
        <v>#N/A</v>
      </c>
      <c r="GZ124" s="58" t="e">
        <f ca="1">AVERAGE(OFFSET($GY$3,0,0,'Données projet'!$E$18+1,1))-AVERAGE(OFFSET($H$3,0,0,'Données projet'!$E$18+1,1))</f>
        <v>#N/A</v>
      </c>
      <c r="HA124" s="58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0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3">
        <f t="shared" si="56"/>
        <v>256.66666666666669</v>
      </c>
      <c r="I125" s="6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3.0666666666666669</v>
      </c>
      <c r="N125" s="14">
        <f>IF('Données projet'!$A$36&gt;35,N124+M125-V124,IF(A125&lt;'Données projet'!$A$36,$K$205^A125,IF(A125='Données projet'!$A$36,'Données projet'!$B$36,N124+M125-V124)))</f>
        <v>274.1333333333335</v>
      </c>
      <c r="O125" s="14">
        <f>N125*VLOOKUP('Données projet'!$B$9,Paramètres!$A$1:$I$89,3,0)*VLOOKUP('Données projet'!$B$9,Paramètres!$A$1:$I$89,5,0)</f>
        <v>277.97120000000018</v>
      </c>
      <c r="P125" s="14">
        <f t="shared" si="87"/>
        <v>66.53808382913617</v>
      </c>
      <c r="Q125" s="22">
        <f t="shared" si="107"/>
        <v>600.02033600241248</v>
      </c>
      <c r="R125" s="58">
        <f t="shared" si="55"/>
        <v>893.35366933574574</v>
      </c>
      <c r="S125" s="58">
        <f ca="1">AVERAGE(OFFSET($R$3,0,0,'Données projet'!$E$9+1,1))-AVERAGE(OFFSET($H$3,0,0,'Données projet'!$E$9+1,1))</f>
        <v>483.15009705023641</v>
      </c>
      <c r="T125" s="58">
        <f t="shared" si="88"/>
        <v>254.25036207346591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3.0666666666666669</v>
      </c>
      <c r="AI125" s="14">
        <f>IF('Données projet'!$A$62&gt;35,AI124+AH125-AQ124,IF(A125&lt;'Données projet'!$A$62,$AF$205^A125,IF(A125='Données projet'!$A$62,'Données projet'!$B$62,AI124+AH125-AQ124)))</f>
        <v>274.1333333333335</v>
      </c>
      <c r="AJ125" s="14">
        <f>AI125*VLOOKUP('Données projet'!$B$10,Paramètres!$A$1:$I$89,3,0)*VLOOKUP('Données projet'!$B$10,Paramètres!$A$1:$I$89,5,0)</f>
        <v>248.03584000000015</v>
      </c>
      <c r="AK125" s="14">
        <f t="shared" si="89"/>
        <v>60.165152665680495</v>
      </c>
      <c r="AL125" s="22">
        <f t="shared" si="58"/>
        <v>536.78339555939385</v>
      </c>
      <c r="AM125" s="58">
        <f t="shared" si="59"/>
        <v>830.11672889272722</v>
      </c>
      <c r="AN125" s="58">
        <f ca="1">AVERAGE(OFFSET($AM$3,0,0,'Données projet'!$E$10+1,1))-AVERAGE(OFFSET($H$3,0,0,'Données projet'!$E$10+1,1))</f>
        <v>435.7095890216213</v>
      </c>
      <c r="AO125" s="58">
        <f t="shared" si="90"/>
        <v>231.36959598460686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-4.9658410716801891E-14</v>
      </c>
      <c r="BF125" s="14" t="e">
        <f t="shared" si="91"/>
        <v>#NUM!</v>
      </c>
      <c r="BG125" s="22" t="e">
        <f t="shared" si="61"/>
        <v>#NUM!</v>
      </c>
      <c r="BH125" s="58" t="e">
        <f t="shared" si="62"/>
        <v>#NUM!</v>
      </c>
      <c r="BI125" s="58">
        <f ca="1">AVERAGE(OFFSET($BH$3,0,0,'Données projet'!$E$11+1,1))-AVERAGE(OFFSET($H$3,0,0,'Données projet'!$E$11+1,1))</f>
        <v>218.76424742311815</v>
      </c>
      <c r="BJ125" s="58">
        <f t="shared" si="92"/>
        <v>264.34598683038593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0.37879777501863954</v>
      </c>
      <c r="BQ125" s="23">
        <f>EXP(-LN(2)/25)*BQ124+(1-EXP(-LN(2)/25))/(LN(2)/25)*Calculateur!BL125*Calculateur!BN125*VLOOKUP('Données projet'!$B$11,Paramètres!$A$1:$I$89,3,0)*0.475*44/12</f>
        <v>0.34052733152796305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0.71932510654660264</v>
      </c>
      <c r="BT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2.4</v>
      </c>
      <c r="BY125" s="13">
        <f>IF('Données projet'!$A$114&gt;35,BY124+BX125-CG124,IF(A125&lt;'Données projet'!$A$114,$BV$205^A125,IF(A125='Données projet'!$A$114,'Données projet'!$B$114,BY124+BX125-CG124)))</f>
        <v>224.8000000000001</v>
      </c>
      <c r="BZ125" s="14">
        <f>BY125*VLOOKUP('Données projet'!$B$12,Paramètres!$A$1:$I$89,3,0)*VLOOKUP('Données projet'!$B$12,Paramètres!$A$1:$I$89,5,0)</f>
        <v>217.42656000000011</v>
      </c>
      <c r="CA125" s="14">
        <f t="shared" si="93"/>
        <v>53.555178800030887</v>
      </c>
      <c r="CB125" s="22">
        <f t="shared" si="64"/>
        <v>471.95986174338731</v>
      </c>
      <c r="CC125" s="58">
        <f t="shared" si="65"/>
        <v>765.29319507672062</v>
      </c>
      <c r="CD125" s="58">
        <f ca="1">AVERAGE(OFFSET($CC$3,0,0,'Données projet'!$E$12+1,1))-AVERAGE(OFFSET($H$3,0,0,'Données projet'!$E$12+1,1))</f>
        <v>343.86347628565426</v>
      </c>
      <c r="CE125" s="58">
        <f t="shared" si="94"/>
        <v>129.28196646107097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58" t="e">
        <f t="shared" si="68"/>
        <v>#N/A</v>
      </c>
      <c r="CY125" s="58" t="e">
        <f ca="1">AVERAGE(OFFSET($CX$3,0,0,'Données projet'!$E$13+1,1))-AVERAGE(OFFSET($H$3,0,0,'Données projet'!$E$13+1,1))</f>
        <v>#N/A</v>
      </c>
      <c r="CZ125" s="58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5.4092197387944907E-14</v>
      </c>
      <c r="DQ125" s="14">
        <f t="shared" si="97"/>
        <v>8.7287050538073676E-13</v>
      </c>
      <c r="DR125" s="22">
        <f t="shared" si="70"/>
        <v>1.6144600406554537E-12</v>
      </c>
      <c r="DS125" s="58">
        <f t="shared" si="71"/>
        <v>293.33333333333491</v>
      </c>
      <c r="DT125" s="58">
        <f ca="1">AVERAGE(OFFSET($DS$3,0,0,'Données projet'!$E$14+1,1))-AVERAGE(OFFSET($H$3,0,0,'Données projet'!$E$14+1,1))</f>
        <v>332.49889399440514</v>
      </c>
      <c r="DU125" s="58">
        <f t="shared" si="98"/>
        <v>256.06044006790529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3.0769230769230718</v>
      </c>
      <c r="EJ125" s="13">
        <f>IF('Données projet'!$A$192&gt;35,EJ124+EI125-ER124,IF(A125&lt;'Données projet'!$A$192,$EG$205^A125,IF(A125='Données projet'!$A$192,'Données projet'!$B$192,EJ124+EI125-ER124)))</f>
        <v>384.35897435897471</v>
      </c>
      <c r="EK125" s="18">
        <f>EJ125*VLOOKUP('Données projet'!$B$15,Paramètres!$A$1:$I$89,3,0)*VLOOKUP('Données projet'!$B$15,Paramètres!$A$1:$I$89,5,0)</f>
        <v>401.73200000000043</v>
      </c>
      <c r="EL125" s="14">
        <f t="shared" si="99"/>
        <v>92.127713294836596</v>
      </c>
      <c r="EM125" s="22">
        <f t="shared" si="73"/>
        <v>860.13900065517453</v>
      </c>
      <c r="EN125" s="58">
        <f t="shared" si="74"/>
        <v>1153.4723339885079</v>
      </c>
      <c r="EO125" s="58">
        <f ca="1">AVERAGE(OFFSET($EN$3,0,0,'Données projet'!$E$15+1,1))-AVERAGE(OFFSET($H$3,0,0,'Données projet'!$E$15+1,1))</f>
        <v>596.00698505207174</v>
      </c>
      <c r="EP125" s="58">
        <f t="shared" si="100"/>
        <v>378.16197659288338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2.2737367544323206E-13</v>
      </c>
      <c r="FF125" s="18">
        <f>FE125*VLOOKUP('Données projet'!$B$16,Paramètres!$A$1:$I$89,3,0)*VLOOKUP('Données projet'!$B$16,Paramètres!$A$1:$I$89,5,0)</f>
        <v>1.064108801074326E-13</v>
      </c>
      <c r="FG125" s="14">
        <f t="shared" si="101"/>
        <v>1.5870730813698654E-12</v>
      </c>
      <c r="FH125" s="22">
        <f t="shared" si="76"/>
        <v>2.9494845662396269E-12</v>
      </c>
      <c r="FI125" s="58">
        <f t="shared" si="77"/>
        <v>293.33333333333627</v>
      </c>
      <c r="FJ125" s="58">
        <f ca="1">AVERAGE(OFFSET($FI$3,0,0,'Données projet'!$E$16+1,1))-AVERAGE(OFFSET($H$3,0,0,'Données projet'!$E$16+1,1))</f>
        <v>294.31042006404056</v>
      </c>
      <c r="FK125" s="58">
        <f t="shared" si="102"/>
        <v>260.93767498478502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2.8421709430404007E-13</v>
      </c>
      <c r="GA125" s="18">
        <f>FZ125*VLOOKUP('Données projet'!$B$17,Paramètres!$A$1:$I$89,3,0)*VLOOKUP('Données projet'!$B$17,Paramètres!$A$1:$I$89,5,0)</f>
        <v>1.9065282685915009E-13</v>
      </c>
      <c r="GB125" s="14">
        <f t="shared" si="103"/>
        <v>2.6568987209435707E-12</v>
      </c>
      <c r="GC125" s="22">
        <f t="shared" si="79"/>
        <v>4.959485612423072E-12</v>
      </c>
      <c r="GD125" s="58">
        <f t="shared" si="80"/>
        <v>293.33333333333826</v>
      </c>
      <c r="GE125" s="58">
        <f ca="1">AVERAGE(OFFSET($GD$3,0,0,'Données projet'!$E$17+1,1))-AVERAGE(OFFSET($H$3,0,0,'Données projet'!$E$17+1,1))</f>
        <v>362.1372269575329</v>
      </c>
      <c r="GF125" s="58">
        <f t="shared" si="104"/>
        <v>308.1559670593121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58" t="e">
        <f t="shared" si="83"/>
        <v>#N/A</v>
      </c>
      <c r="GZ125" s="58" t="e">
        <f ca="1">AVERAGE(OFFSET($GY$3,0,0,'Données projet'!$E$18+1,1))-AVERAGE(OFFSET($H$3,0,0,'Données projet'!$E$18+1,1))</f>
        <v>#N/A</v>
      </c>
      <c r="HA125" s="58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0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3">
        <f t="shared" si="56"/>
        <v>256.66666666666669</v>
      </c>
      <c r="I126" s="6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3.0666666666666669</v>
      </c>
      <c r="N126" s="14">
        <f>IF('Données projet'!$A$36&gt;35,N125+M126-V125,IF(A126&lt;'Données projet'!$A$36,$K$205^A126,IF(A126='Données projet'!$A$36,'Données projet'!$B$36,N125+M126-V125)))</f>
        <v>277.20000000000016</v>
      </c>
      <c r="O126" s="14">
        <f>N126*VLOOKUP('Données projet'!$B$9,Paramètres!$A$1:$I$89,3,0)*VLOOKUP('Données projet'!$B$9,Paramètres!$A$1:$I$89,5,0)</f>
        <v>281.08080000000018</v>
      </c>
      <c r="P126" s="14">
        <f t="shared" si="87"/>
        <v>67.195361752546177</v>
      </c>
      <c r="Q126" s="22">
        <f t="shared" si="107"/>
        <v>606.58098171901827</v>
      </c>
      <c r="R126" s="58">
        <f t="shared" si="55"/>
        <v>899.91431505235164</v>
      </c>
      <c r="S126" s="58">
        <f ca="1">AVERAGE(OFFSET($R$3,0,0,'Données projet'!$E$9+1,1))-AVERAGE(OFFSET($H$3,0,0,'Données projet'!$E$9+1,1))</f>
        <v>483.15009705023641</v>
      </c>
      <c r="T126" s="58">
        <f t="shared" si="88"/>
        <v>254.25036207346591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3.0666666666666669</v>
      </c>
      <c r="AI126" s="14">
        <f>IF('Données projet'!$A$62&gt;35,AI125+AH126-AQ125,IF(A126&lt;'Données projet'!$A$62,$AF$205^A126,IF(A126='Données projet'!$A$62,'Données projet'!$B$62,AI125+AH126-AQ125)))</f>
        <v>277.20000000000016</v>
      </c>
      <c r="AJ126" s="14">
        <f>AI126*VLOOKUP('Données projet'!$B$10,Paramètres!$A$1:$I$89,3,0)*VLOOKUP('Données projet'!$B$10,Paramètres!$A$1:$I$89,5,0)</f>
        <v>250.81056000000012</v>
      </c>
      <c r="AK126" s="14">
        <f t="shared" si="89"/>
        <v>60.75947736410874</v>
      </c>
      <c r="AL126" s="22">
        <f t="shared" si="58"/>
        <v>542.65114840915624</v>
      </c>
      <c r="AM126" s="58">
        <f t="shared" si="59"/>
        <v>835.98448174248961</v>
      </c>
      <c r="AN126" s="58">
        <f ca="1">AVERAGE(OFFSET($AM$3,0,0,'Données projet'!$E$10+1,1))-AVERAGE(OFFSET($H$3,0,0,'Données projet'!$E$10+1,1))</f>
        <v>435.7095890216213</v>
      </c>
      <c r="AO126" s="58">
        <f t="shared" si="90"/>
        <v>231.36959598460686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-4.9658410716801891E-14</v>
      </c>
      <c r="BF126" s="14" t="e">
        <f t="shared" si="91"/>
        <v>#NUM!</v>
      </c>
      <c r="BG126" s="22" t="e">
        <f t="shared" si="61"/>
        <v>#NUM!</v>
      </c>
      <c r="BH126" s="58" t="e">
        <f t="shared" si="62"/>
        <v>#NUM!</v>
      </c>
      <c r="BI126" s="58">
        <f ca="1">AVERAGE(OFFSET($BH$3,0,0,'Données projet'!$E$11+1,1))-AVERAGE(OFFSET($H$3,0,0,'Données projet'!$E$11+1,1))</f>
        <v>218.76424742311815</v>
      </c>
      <c r="BJ126" s="58">
        <f t="shared" si="92"/>
        <v>264.34598683038593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0.37136978169435308</v>
      </c>
      <c r="BQ126" s="23">
        <f>EXP(-LN(2)/25)*BQ125+(1-EXP(-LN(2)/25))/(LN(2)/25)*Calculateur!BL126*Calculateur!BN126*VLOOKUP('Données projet'!$B$11,Paramètres!$A$1:$I$89,3,0)*0.475*44/12</f>
        <v>0.33121559373977683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0.70258537543412991</v>
      </c>
      <c r="BT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2.4</v>
      </c>
      <c r="BY126" s="13">
        <f>IF('Données projet'!$A$114&gt;35,BY125+BX126-CG125,IF(A126&lt;'Données projet'!$A$114,$BV$205^A126,IF(A126='Données projet'!$A$114,'Données projet'!$B$114,BY125+BX126-CG125)))</f>
        <v>227.2000000000001</v>
      </c>
      <c r="BZ126" s="14">
        <f>BY126*VLOOKUP('Données projet'!$B$12,Paramètres!$A$1:$I$89,3,0)*VLOOKUP('Données projet'!$B$12,Paramètres!$A$1:$I$89,5,0)</f>
        <v>219.74784000000011</v>
      </c>
      <c r="CA126" s="14">
        <f t="shared" si="93"/>
        <v>54.060076332940611</v>
      </c>
      <c r="CB126" s="22">
        <f t="shared" si="64"/>
        <v>476.88212094653846</v>
      </c>
      <c r="CC126" s="58">
        <f t="shared" si="65"/>
        <v>770.21545427987178</v>
      </c>
      <c r="CD126" s="58">
        <f ca="1">AVERAGE(OFFSET($CC$3,0,0,'Données projet'!$E$12+1,1))-AVERAGE(OFFSET($H$3,0,0,'Données projet'!$E$12+1,1))</f>
        <v>343.86347628565426</v>
      </c>
      <c r="CE126" s="58">
        <f t="shared" si="94"/>
        <v>129.28196646107097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58" t="e">
        <f t="shared" si="68"/>
        <v>#N/A</v>
      </c>
      <c r="CY126" s="58" t="e">
        <f ca="1">AVERAGE(OFFSET($CX$3,0,0,'Données projet'!$E$13+1,1))-AVERAGE(OFFSET($H$3,0,0,'Données projet'!$E$13+1,1))</f>
        <v>#N/A</v>
      </c>
      <c r="CZ126" s="58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5.4092197387944907E-14</v>
      </c>
      <c r="DQ126" s="14">
        <f t="shared" si="97"/>
        <v>8.7287050538073676E-13</v>
      </c>
      <c r="DR126" s="22">
        <f t="shared" si="70"/>
        <v>1.6144600406554537E-12</v>
      </c>
      <c r="DS126" s="58">
        <f t="shared" si="71"/>
        <v>293.33333333333491</v>
      </c>
      <c r="DT126" s="58">
        <f ca="1">AVERAGE(OFFSET($DS$3,0,0,'Données projet'!$E$14+1,1))-AVERAGE(OFFSET($H$3,0,0,'Données projet'!$E$14+1,1))</f>
        <v>332.49889399440514</v>
      </c>
      <c r="DU126" s="58">
        <f t="shared" si="98"/>
        <v>256.06044006790529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3.0769230769230718</v>
      </c>
      <c r="EJ126" s="13">
        <f>IF('Données projet'!$A$192&gt;35,EJ125+EI126-ER125,IF(A126&lt;'Données projet'!$A$192,$EG$205^A126,IF(A126='Données projet'!$A$192,'Données projet'!$B$192,EJ125+EI126-ER125)))</f>
        <v>387.4358974358978</v>
      </c>
      <c r="EK126" s="18">
        <f>EJ126*VLOOKUP('Données projet'!$B$15,Paramètres!$A$1:$I$89,3,0)*VLOOKUP('Données projet'!$B$15,Paramètres!$A$1:$I$89,5,0)</f>
        <v>404.94800000000043</v>
      </c>
      <c r="EL126" s="14">
        <f t="shared" si="99"/>
        <v>92.779077401322354</v>
      </c>
      <c r="EM126" s="22">
        <f t="shared" si="73"/>
        <v>866.87465980730383</v>
      </c>
      <c r="EN126" s="58">
        <f t="shared" si="74"/>
        <v>1160.2079931406372</v>
      </c>
      <c r="EO126" s="58">
        <f ca="1">AVERAGE(OFFSET($EN$3,0,0,'Données projet'!$E$15+1,1))-AVERAGE(OFFSET($H$3,0,0,'Données projet'!$E$15+1,1))</f>
        <v>596.00698505207174</v>
      </c>
      <c r="EP126" s="58">
        <f t="shared" si="100"/>
        <v>378.16197659288338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2.2737367544323206E-13</v>
      </c>
      <c r="FF126" s="18">
        <f>FE126*VLOOKUP('Données projet'!$B$16,Paramètres!$A$1:$I$89,3,0)*VLOOKUP('Données projet'!$B$16,Paramètres!$A$1:$I$89,5,0)</f>
        <v>1.064108801074326E-13</v>
      </c>
      <c r="FG126" s="14">
        <f t="shared" si="101"/>
        <v>1.5870730813698654E-12</v>
      </c>
      <c r="FH126" s="22">
        <f t="shared" si="76"/>
        <v>2.9494845662396269E-12</v>
      </c>
      <c r="FI126" s="58">
        <f t="shared" si="77"/>
        <v>293.33333333333627</v>
      </c>
      <c r="FJ126" s="58">
        <f ca="1">AVERAGE(OFFSET($FI$3,0,0,'Données projet'!$E$16+1,1))-AVERAGE(OFFSET($H$3,0,0,'Données projet'!$E$16+1,1))</f>
        <v>294.31042006404056</v>
      </c>
      <c r="FK126" s="58">
        <f t="shared" si="102"/>
        <v>260.93767498478502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2.8421709430404007E-13</v>
      </c>
      <c r="GA126" s="18">
        <f>FZ126*VLOOKUP('Données projet'!$B$17,Paramètres!$A$1:$I$89,3,0)*VLOOKUP('Données projet'!$B$17,Paramètres!$A$1:$I$89,5,0)</f>
        <v>1.9065282685915009E-13</v>
      </c>
      <c r="GB126" s="14">
        <f t="shared" si="103"/>
        <v>2.6568987209435707E-12</v>
      </c>
      <c r="GC126" s="22">
        <f t="shared" si="79"/>
        <v>4.959485612423072E-12</v>
      </c>
      <c r="GD126" s="58">
        <f t="shared" si="80"/>
        <v>293.33333333333826</v>
      </c>
      <c r="GE126" s="58">
        <f ca="1">AVERAGE(OFFSET($GD$3,0,0,'Données projet'!$E$17+1,1))-AVERAGE(OFFSET($H$3,0,0,'Données projet'!$E$17+1,1))</f>
        <v>362.1372269575329</v>
      </c>
      <c r="GF126" s="58">
        <f t="shared" si="104"/>
        <v>308.1559670593121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58" t="e">
        <f t="shared" si="83"/>
        <v>#N/A</v>
      </c>
      <c r="GZ126" s="58" t="e">
        <f ca="1">AVERAGE(OFFSET($GY$3,0,0,'Données projet'!$E$18+1,1))-AVERAGE(OFFSET($H$3,0,0,'Données projet'!$E$18+1,1))</f>
        <v>#N/A</v>
      </c>
      <c r="HA126" s="58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0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3">
        <f t="shared" si="56"/>
        <v>256.66666666666669</v>
      </c>
      <c r="I127" s="6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3.0666666666666669</v>
      </c>
      <c r="N127" s="14">
        <f>IF('Données projet'!$A$36&gt;35,N126+M127-V126,IF(A127&lt;'Données projet'!$A$36,$K$205^A127,IF(A127='Données projet'!$A$36,'Données projet'!$B$36,N126+M127-V126)))</f>
        <v>280.26666666666682</v>
      </c>
      <c r="O127" s="14">
        <f>N127*VLOOKUP('Données projet'!$B$9,Paramètres!$A$1:$I$89,3,0)*VLOOKUP('Données projet'!$B$9,Paramètres!$A$1:$I$89,5,0)</f>
        <v>284.19040000000018</v>
      </c>
      <c r="P127" s="14">
        <f t="shared" si="87"/>
        <v>67.851793802993825</v>
      </c>
      <c r="Q127" s="22">
        <f t="shared" si="107"/>
        <v>613.14015420688122</v>
      </c>
      <c r="R127" s="58">
        <f t="shared" si="55"/>
        <v>906.47348754021459</v>
      </c>
      <c r="S127" s="58">
        <f ca="1">AVERAGE(OFFSET($R$3,0,0,'Données projet'!$E$9+1,1))-AVERAGE(OFFSET($H$3,0,0,'Données projet'!$E$9+1,1))</f>
        <v>483.15009705023641</v>
      </c>
      <c r="T127" s="58">
        <f t="shared" si="88"/>
        <v>254.25036207346591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3.0666666666666669</v>
      </c>
      <c r="AI127" s="14">
        <f>IF('Données projet'!$A$62&gt;35,AI126+AH127-AQ126,IF(A127&lt;'Données projet'!$A$62,$AF$205^A127,IF(A127='Données projet'!$A$62,'Données projet'!$B$62,AI126+AH127-AQ126)))</f>
        <v>280.26666666666682</v>
      </c>
      <c r="AJ127" s="14">
        <f>AI127*VLOOKUP('Données projet'!$B$10,Paramètres!$A$1:$I$89,3,0)*VLOOKUP('Données projet'!$B$10,Paramètres!$A$1:$I$89,5,0)</f>
        <v>253.58528000000013</v>
      </c>
      <c r="AK127" s="14">
        <f t="shared" si="89"/>
        <v>61.353037206187253</v>
      </c>
      <c r="AL127" s="22">
        <f t="shared" si="58"/>
        <v>548.51756913410964</v>
      </c>
      <c r="AM127" s="58">
        <f t="shared" si="59"/>
        <v>841.85090246744289</v>
      </c>
      <c r="AN127" s="58">
        <f ca="1">AVERAGE(OFFSET($AM$3,0,0,'Données projet'!$E$10+1,1))-AVERAGE(OFFSET($H$3,0,0,'Données projet'!$E$10+1,1))</f>
        <v>435.7095890216213</v>
      </c>
      <c r="AO127" s="58">
        <f t="shared" si="90"/>
        <v>231.36959598460686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-4.9658410716801891E-14</v>
      </c>
      <c r="BF127" s="14" t="e">
        <f t="shared" si="91"/>
        <v>#NUM!</v>
      </c>
      <c r="BG127" s="22" t="e">
        <f t="shared" si="61"/>
        <v>#NUM!</v>
      </c>
      <c r="BH127" s="58" t="e">
        <f t="shared" si="62"/>
        <v>#NUM!</v>
      </c>
      <c r="BI127" s="58">
        <f ca="1">AVERAGE(OFFSET($BH$3,0,0,'Données projet'!$E$11+1,1))-AVERAGE(OFFSET($H$3,0,0,'Données projet'!$E$11+1,1))</f>
        <v>218.76424742311815</v>
      </c>
      <c r="BJ127" s="58">
        <f t="shared" si="92"/>
        <v>264.34598683038593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0.36408744678852734</v>
      </c>
      <c r="BQ127" s="23">
        <f>EXP(-LN(2)/25)*BQ126+(1-EXP(-LN(2)/25))/(LN(2)/25)*Calculateur!BL127*Calculateur!BN127*VLOOKUP('Données projet'!$B$11,Paramètres!$A$1:$I$89,3,0)*0.475*44/12</f>
        <v>0.32215848591109153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0.68624593269961887</v>
      </c>
      <c r="BT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2.4</v>
      </c>
      <c r="BY127" s="13">
        <f>IF('Données projet'!$A$114&gt;35,BY126+BX127-CG126,IF(A127&lt;'Données projet'!$A$114,$BV$205^A127,IF(A127='Données projet'!$A$114,'Données projet'!$B$114,BY126+BX127-CG126)))</f>
        <v>229.60000000000011</v>
      </c>
      <c r="BZ127" s="14">
        <f>BY127*VLOOKUP('Données projet'!$B$12,Paramètres!$A$1:$I$89,3,0)*VLOOKUP('Données projet'!$B$12,Paramètres!$A$1:$I$89,5,0)</f>
        <v>222.06912000000011</v>
      </c>
      <c r="CA127" s="14">
        <f t="shared" si="93"/>
        <v>54.564353424529749</v>
      </c>
      <c r="CB127" s="22">
        <f t="shared" si="64"/>
        <v>481.80329954772287</v>
      </c>
      <c r="CC127" s="58">
        <f t="shared" si="65"/>
        <v>775.13663288105613</v>
      </c>
      <c r="CD127" s="58">
        <f ca="1">AVERAGE(OFFSET($CC$3,0,0,'Données projet'!$E$12+1,1))-AVERAGE(OFFSET($H$3,0,0,'Données projet'!$E$12+1,1))</f>
        <v>343.86347628565426</v>
      </c>
      <c r="CE127" s="58">
        <f t="shared" si="94"/>
        <v>129.28196646107097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58" t="e">
        <f t="shared" si="68"/>
        <v>#N/A</v>
      </c>
      <c r="CY127" s="58" t="e">
        <f ca="1">AVERAGE(OFFSET($CX$3,0,0,'Données projet'!$E$13+1,1))-AVERAGE(OFFSET($H$3,0,0,'Données projet'!$E$13+1,1))</f>
        <v>#N/A</v>
      </c>
      <c r="CZ127" s="58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5.4092197387944907E-14</v>
      </c>
      <c r="DQ127" s="14">
        <f t="shared" si="97"/>
        <v>8.7287050538073676E-13</v>
      </c>
      <c r="DR127" s="22">
        <f t="shared" si="70"/>
        <v>1.6144600406554537E-12</v>
      </c>
      <c r="DS127" s="58">
        <f t="shared" si="71"/>
        <v>293.33333333333491</v>
      </c>
      <c r="DT127" s="58">
        <f ca="1">AVERAGE(OFFSET($DS$3,0,0,'Données projet'!$E$14+1,1))-AVERAGE(OFFSET($H$3,0,0,'Données projet'!$E$14+1,1))</f>
        <v>332.49889399440514</v>
      </c>
      <c r="DU127" s="58">
        <f t="shared" si="98"/>
        <v>256.06044006790529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3.0769230769230718</v>
      </c>
      <c r="EJ127" s="13">
        <f>IF('Données projet'!$A$192&gt;35,EJ126+EI127-ER126,IF(A127&lt;'Données projet'!$A$192,$EG$205^A127,IF(A127='Données projet'!$A$192,'Données projet'!$B$192,EJ126+EI127-ER126)))</f>
        <v>390.51282051282089</v>
      </c>
      <c r="EK127" s="18">
        <f>EJ127*VLOOKUP('Données projet'!$B$15,Paramètres!$A$1:$I$89,3,0)*VLOOKUP('Données projet'!$B$15,Paramètres!$A$1:$I$89,5,0)</f>
        <v>408.1640000000005</v>
      </c>
      <c r="EL127" s="14">
        <f t="shared" si="99"/>
        <v>93.429839644741037</v>
      </c>
      <c r="EM127" s="22">
        <f t="shared" si="73"/>
        <v>873.60927071459139</v>
      </c>
      <c r="EN127" s="58">
        <f t="shared" si="74"/>
        <v>1166.9426040479248</v>
      </c>
      <c r="EO127" s="58">
        <f ca="1">AVERAGE(OFFSET($EN$3,0,0,'Données projet'!$E$15+1,1))-AVERAGE(OFFSET($H$3,0,0,'Données projet'!$E$15+1,1))</f>
        <v>596.00698505207174</v>
      </c>
      <c r="EP127" s="58">
        <f t="shared" si="100"/>
        <v>378.16197659288338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2.2737367544323206E-13</v>
      </c>
      <c r="FF127" s="18">
        <f>FE127*VLOOKUP('Données projet'!$B$16,Paramètres!$A$1:$I$89,3,0)*VLOOKUP('Données projet'!$B$16,Paramètres!$A$1:$I$89,5,0)</f>
        <v>1.064108801074326E-13</v>
      </c>
      <c r="FG127" s="14">
        <f t="shared" si="101"/>
        <v>1.5870730813698654E-12</v>
      </c>
      <c r="FH127" s="22">
        <f t="shared" si="76"/>
        <v>2.9494845662396269E-12</v>
      </c>
      <c r="FI127" s="58">
        <f t="shared" si="77"/>
        <v>293.33333333333627</v>
      </c>
      <c r="FJ127" s="58">
        <f ca="1">AVERAGE(OFFSET($FI$3,0,0,'Données projet'!$E$16+1,1))-AVERAGE(OFFSET($H$3,0,0,'Données projet'!$E$16+1,1))</f>
        <v>294.31042006404056</v>
      </c>
      <c r="FK127" s="58">
        <f t="shared" si="102"/>
        <v>260.93767498478502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2.8421709430404007E-13</v>
      </c>
      <c r="GA127" s="18">
        <f>FZ127*VLOOKUP('Données projet'!$B$17,Paramètres!$A$1:$I$89,3,0)*VLOOKUP('Données projet'!$B$17,Paramètres!$A$1:$I$89,5,0)</f>
        <v>1.9065282685915009E-13</v>
      </c>
      <c r="GB127" s="14">
        <f t="shared" si="103"/>
        <v>2.6568987209435707E-12</v>
      </c>
      <c r="GC127" s="22">
        <f t="shared" si="79"/>
        <v>4.959485612423072E-12</v>
      </c>
      <c r="GD127" s="58">
        <f t="shared" si="80"/>
        <v>293.33333333333826</v>
      </c>
      <c r="GE127" s="58">
        <f ca="1">AVERAGE(OFFSET($GD$3,0,0,'Données projet'!$E$17+1,1))-AVERAGE(OFFSET($H$3,0,0,'Données projet'!$E$17+1,1))</f>
        <v>362.1372269575329</v>
      </c>
      <c r="GF127" s="58">
        <f t="shared" si="104"/>
        <v>308.1559670593121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58" t="e">
        <f t="shared" si="83"/>
        <v>#N/A</v>
      </c>
      <c r="GZ127" s="58" t="e">
        <f ca="1">AVERAGE(OFFSET($GY$3,0,0,'Données projet'!$E$18+1,1))-AVERAGE(OFFSET($H$3,0,0,'Données projet'!$E$18+1,1))</f>
        <v>#N/A</v>
      </c>
      <c r="HA127" s="58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0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3">
        <f t="shared" si="56"/>
        <v>256.66666666666669</v>
      </c>
      <c r="I128" s="6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3.0666666666666669</v>
      </c>
      <c r="N128" s="14">
        <f>IF('Données projet'!$A$36&gt;35,N127+M128-V127,IF(A128&lt;'Données projet'!$A$36,$K$205^A128,IF(A128='Données projet'!$A$36,'Données projet'!$B$36,N127+M128-V127)))</f>
        <v>283.33333333333348</v>
      </c>
      <c r="O128" s="14">
        <f>N128*VLOOKUP('Données projet'!$B$9,Paramètres!$A$1:$I$89,3,0)*VLOOKUP('Données projet'!$B$9,Paramètres!$A$1:$I$89,5,0)</f>
        <v>287.30000000000018</v>
      </c>
      <c r="P128" s="14">
        <f t="shared" si="87"/>
        <v>68.507390307165139</v>
      </c>
      <c r="Q128" s="22">
        <f t="shared" si="107"/>
        <v>619.69787145164617</v>
      </c>
      <c r="R128" s="58">
        <f t="shared" si="55"/>
        <v>913.03120478497954</v>
      </c>
      <c r="S128" s="58">
        <f ca="1">AVERAGE(OFFSET($R$3,0,0,'Données projet'!$E$9+1,1))-AVERAGE(OFFSET($H$3,0,0,'Données projet'!$E$9+1,1))</f>
        <v>483.15009705023641</v>
      </c>
      <c r="T128" s="58">
        <f t="shared" si="88"/>
        <v>254.25036207346591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3.0666666666666669</v>
      </c>
      <c r="AI128" s="14">
        <f>IF('Données projet'!$A$62&gt;35,AI127+AH128-AQ127,IF(A128&lt;'Données projet'!$A$62,$AF$205^A128,IF(A128='Données projet'!$A$62,'Données projet'!$B$62,AI127+AH128-AQ127)))</f>
        <v>283.33333333333348</v>
      </c>
      <c r="AJ128" s="14">
        <f>AI128*VLOOKUP('Données projet'!$B$10,Paramètres!$A$1:$I$89,3,0)*VLOOKUP('Données projet'!$B$10,Paramètres!$A$1:$I$89,5,0)</f>
        <v>256.36000000000013</v>
      </c>
      <c r="AK128" s="14">
        <f t="shared" si="89"/>
        <v>61.945841529525474</v>
      </c>
      <c r="AL128" s="22">
        <f t="shared" si="58"/>
        <v>554.38267399725703</v>
      </c>
      <c r="AM128" s="58">
        <f t="shared" si="59"/>
        <v>847.7160073305904</v>
      </c>
      <c r="AN128" s="58">
        <f ca="1">AVERAGE(OFFSET($AM$3,0,0,'Données projet'!$E$10+1,1))-AVERAGE(OFFSET($H$3,0,0,'Données projet'!$E$10+1,1))</f>
        <v>435.7095890216213</v>
      </c>
      <c r="AO128" s="58">
        <f t="shared" si="90"/>
        <v>231.36959598460686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-4.9658410716801891E-14</v>
      </c>
      <c r="BF128" s="14" t="e">
        <f t="shared" si="91"/>
        <v>#NUM!</v>
      </c>
      <c r="BG128" s="22" t="e">
        <f t="shared" si="61"/>
        <v>#NUM!</v>
      </c>
      <c r="BH128" s="58" t="e">
        <f t="shared" si="62"/>
        <v>#NUM!</v>
      </c>
      <c r="BI128" s="58">
        <f ca="1">AVERAGE(OFFSET($BH$3,0,0,'Données projet'!$E$11+1,1))-AVERAGE(OFFSET($H$3,0,0,'Données projet'!$E$11+1,1))</f>
        <v>218.76424742311815</v>
      </c>
      <c r="BJ128" s="58">
        <f t="shared" si="92"/>
        <v>264.34598683038593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0.35694791402841913</v>
      </c>
      <c r="BQ128" s="23">
        <f>EXP(-LN(2)/25)*BQ127+(1-EXP(-LN(2)/25))/(LN(2)/25)*Calculateur!BL128*Calculateur!BN128*VLOOKUP('Données projet'!$B$11,Paramètres!$A$1:$I$89,3,0)*0.475*44/12</f>
        <v>0.31334904517227424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0.67029695920069332</v>
      </c>
      <c r="BT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>
        <f>VLOOKUP(A128,'Données projet'!$A$113:$I$133,2,0)</f>
        <v>232</v>
      </c>
      <c r="BW128" s="13">
        <f>VLOOKUP(A128,'Données projet'!$A$113:$I$133,9,0)</f>
        <v>2.4</v>
      </c>
      <c r="BX128" s="13">
        <f t="array" ref="BX128">INDEX(BW:BW,MIN(IF(ISNUMBER(BW128:BW324),ROW(BW128:BW324),"")))</f>
        <v>2.4</v>
      </c>
      <c r="BY128" s="13">
        <f>IF('Données projet'!$A$114&gt;35,BY127+BX128-CG127,IF(A128&lt;'Données projet'!$A$114,$BV$205^A128,IF(A128='Données projet'!$A$114,'Données projet'!$B$114,BY127+BX128-CG127)))</f>
        <v>232.00000000000011</v>
      </c>
      <c r="BZ128" s="14">
        <f>BY128*VLOOKUP('Données projet'!$B$12,Paramètres!$A$1:$I$89,3,0)*VLOOKUP('Données projet'!$B$12,Paramètres!$A$1:$I$89,5,0)</f>
        <v>224.39040000000011</v>
      </c>
      <c r="CA128" s="14">
        <f t="shared" si="93"/>
        <v>55.068017311015858</v>
      </c>
      <c r="CB128" s="22">
        <f t="shared" si="64"/>
        <v>486.72341015001945</v>
      </c>
      <c r="CC128" s="58">
        <f t="shared" si="65"/>
        <v>780.05674348335276</v>
      </c>
      <c r="CD128" s="58">
        <f ca="1">AVERAGE(OFFSET($CC$3,0,0,'Données projet'!$E$12+1,1))-AVERAGE(OFFSET($H$3,0,0,'Données projet'!$E$12+1,1))</f>
        <v>343.86347628565426</v>
      </c>
      <c r="CE128" s="58">
        <f t="shared" si="94"/>
        <v>129.28196646107097</v>
      </c>
      <c r="CF128" s="16">
        <f>IF(ISNA(VLOOKUP(A128,'Données projet'!$A$113:$I$133,3,0)),0,VLOOKUP(A128,'Données projet'!$A$113:$I$133,3,0))</f>
        <v>10</v>
      </c>
      <c r="CG128" s="16">
        <f>IF(ISNA(VLOOKUP(A128,'Données projet'!$A$113:$I$133,4,0)),0,VLOOKUP(A128,'Données projet'!$A$113:$I$133,4,0))</f>
        <v>23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58" t="e">
        <f t="shared" si="68"/>
        <v>#N/A</v>
      </c>
      <c r="CY128" s="58" t="e">
        <f ca="1">AVERAGE(OFFSET($CX$3,0,0,'Données projet'!$E$13+1,1))-AVERAGE(OFFSET($H$3,0,0,'Données projet'!$E$13+1,1))</f>
        <v>#N/A</v>
      </c>
      <c r="CZ128" s="58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5.4092197387944907E-14</v>
      </c>
      <c r="DQ128" s="14">
        <f t="shared" si="97"/>
        <v>8.7287050538073676E-13</v>
      </c>
      <c r="DR128" s="22">
        <f t="shared" si="70"/>
        <v>1.6144600406554537E-12</v>
      </c>
      <c r="DS128" s="58">
        <f t="shared" si="71"/>
        <v>293.33333333333491</v>
      </c>
      <c r="DT128" s="58">
        <f ca="1">AVERAGE(OFFSET($DS$3,0,0,'Données projet'!$E$14+1,1))-AVERAGE(OFFSET($H$3,0,0,'Données projet'!$E$14+1,1))</f>
        <v>332.49889399440514</v>
      </c>
      <c r="DU128" s="58">
        <f t="shared" si="98"/>
        <v>256.06044006790529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3.0769230769230718</v>
      </c>
      <c r="EJ128" s="13">
        <f>IF('Données projet'!$A$192&gt;35,EJ127+EI128-ER127,IF(A128&lt;'Données projet'!$A$192,$EG$205^A128,IF(A128='Données projet'!$A$192,'Données projet'!$B$192,EJ127+EI128-ER127)))</f>
        <v>393.58974358974399</v>
      </c>
      <c r="EK128" s="18">
        <f>EJ128*VLOOKUP('Données projet'!$B$15,Paramètres!$A$1:$I$89,3,0)*VLOOKUP('Données projet'!$B$15,Paramètres!$A$1:$I$89,5,0)</f>
        <v>411.38000000000039</v>
      </c>
      <c r="EL128" s="14">
        <f t="shared" si="99"/>
        <v>94.080005316957639</v>
      </c>
      <c r="EM128" s="22">
        <f t="shared" si="73"/>
        <v>880.34284259370179</v>
      </c>
      <c r="EN128" s="58">
        <f t="shared" si="74"/>
        <v>1173.676175927035</v>
      </c>
      <c r="EO128" s="58">
        <f ca="1">AVERAGE(OFFSET($EN$3,0,0,'Données projet'!$E$15+1,1))-AVERAGE(OFFSET($H$3,0,0,'Données projet'!$E$15+1,1))</f>
        <v>596.00698505207174</v>
      </c>
      <c r="EP128" s="58">
        <f t="shared" si="100"/>
        <v>378.16197659288338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2.2737367544323206E-13</v>
      </c>
      <c r="FF128" s="18">
        <f>FE128*VLOOKUP('Données projet'!$B$16,Paramètres!$A$1:$I$89,3,0)*VLOOKUP('Données projet'!$B$16,Paramètres!$A$1:$I$89,5,0)</f>
        <v>1.064108801074326E-13</v>
      </c>
      <c r="FG128" s="14">
        <f t="shared" si="101"/>
        <v>1.5870730813698654E-12</v>
      </c>
      <c r="FH128" s="22">
        <f t="shared" si="76"/>
        <v>2.9494845662396269E-12</v>
      </c>
      <c r="FI128" s="58">
        <f t="shared" si="77"/>
        <v>293.33333333333627</v>
      </c>
      <c r="FJ128" s="58">
        <f ca="1">AVERAGE(OFFSET($FI$3,0,0,'Données projet'!$E$16+1,1))-AVERAGE(OFFSET($H$3,0,0,'Données projet'!$E$16+1,1))</f>
        <v>294.31042006404056</v>
      </c>
      <c r="FK128" s="58">
        <f t="shared" si="102"/>
        <v>260.93767498478502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2.8421709430404007E-13</v>
      </c>
      <c r="GA128" s="18">
        <f>FZ128*VLOOKUP('Données projet'!$B$17,Paramètres!$A$1:$I$89,3,0)*VLOOKUP('Données projet'!$B$17,Paramètres!$A$1:$I$89,5,0)</f>
        <v>1.9065282685915009E-13</v>
      </c>
      <c r="GB128" s="14">
        <f t="shared" si="103"/>
        <v>2.6568987209435707E-12</v>
      </c>
      <c r="GC128" s="22">
        <f t="shared" si="79"/>
        <v>4.959485612423072E-12</v>
      </c>
      <c r="GD128" s="58">
        <f t="shared" si="80"/>
        <v>293.33333333333826</v>
      </c>
      <c r="GE128" s="58">
        <f ca="1">AVERAGE(OFFSET($GD$3,0,0,'Données projet'!$E$17+1,1))-AVERAGE(OFFSET($H$3,0,0,'Données projet'!$E$17+1,1))</f>
        <v>362.1372269575329</v>
      </c>
      <c r="GF128" s="58">
        <f t="shared" si="104"/>
        <v>308.1559670593121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58" t="e">
        <f t="shared" si="83"/>
        <v>#N/A</v>
      </c>
      <c r="GZ128" s="58" t="e">
        <f ca="1">AVERAGE(OFFSET($GY$3,0,0,'Données projet'!$E$18+1,1))-AVERAGE(OFFSET($H$3,0,0,'Données projet'!$E$18+1,1))</f>
        <v>#N/A</v>
      </c>
      <c r="HA128" s="58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0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3">
        <f t="shared" si="56"/>
        <v>256.66666666666669</v>
      </c>
      <c r="I129" s="6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3.0666666666666669</v>
      </c>
      <c r="N129" s="14">
        <f>IF('Données projet'!$A$36&gt;35,N128+M129-V128,IF(A129&lt;'Données projet'!$A$36,$K$205^A129,IF(A129='Données projet'!$A$36,'Données projet'!$B$36,N128+M129-V128)))</f>
        <v>286.40000000000015</v>
      </c>
      <c r="O129" s="14">
        <f>N129*VLOOKUP('Données projet'!$B$9,Paramètres!$A$1:$I$89,3,0)*VLOOKUP('Données projet'!$B$9,Paramètres!$A$1:$I$89,5,0)</f>
        <v>290.40960000000018</v>
      </c>
      <c r="P129" s="14">
        <f t="shared" si="87"/>
        <v>69.16216135532882</v>
      </c>
      <c r="Q129" s="22">
        <f t="shared" si="107"/>
        <v>626.25415102719796</v>
      </c>
      <c r="R129" s="58">
        <f t="shared" si="55"/>
        <v>919.58748436053133</v>
      </c>
      <c r="S129" s="58">
        <f ca="1">AVERAGE(OFFSET($R$3,0,0,'Données projet'!$E$9+1,1))-AVERAGE(OFFSET($H$3,0,0,'Données projet'!$E$9+1,1))</f>
        <v>483.15009705023641</v>
      </c>
      <c r="T129" s="58">
        <f t="shared" si="88"/>
        <v>254.25036207346591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3.0666666666666669</v>
      </c>
      <c r="AI129" s="14">
        <f>IF('Données projet'!$A$62&gt;35,AI128+AH129-AQ128,IF(A129&lt;'Données projet'!$A$62,$AF$205^A129,IF(A129='Données projet'!$A$62,'Données projet'!$B$62,AI128+AH129-AQ128)))</f>
        <v>286.40000000000015</v>
      </c>
      <c r="AJ129" s="14">
        <f>AI129*VLOOKUP('Données projet'!$B$10,Paramètres!$A$1:$I$89,3,0)*VLOOKUP('Données projet'!$B$10,Paramètres!$A$1:$I$89,5,0)</f>
        <v>259.13472000000013</v>
      </c>
      <c r="AK129" s="14">
        <f t="shared" si="89"/>
        <v>62.537899457959313</v>
      </c>
      <c r="AL129" s="22">
        <f t="shared" si="58"/>
        <v>560.24647888927939</v>
      </c>
      <c r="AM129" s="58">
        <f t="shared" si="59"/>
        <v>853.57981222261265</v>
      </c>
      <c r="AN129" s="58">
        <f ca="1">AVERAGE(OFFSET($AM$3,0,0,'Données projet'!$E$10+1,1))-AVERAGE(OFFSET($H$3,0,0,'Données projet'!$E$10+1,1))</f>
        <v>435.7095890216213</v>
      </c>
      <c r="AO129" s="58">
        <f t="shared" si="90"/>
        <v>231.36959598460686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-4.9658410716801891E-14</v>
      </c>
      <c r="BF129" s="14" t="e">
        <f t="shared" si="91"/>
        <v>#NUM!</v>
      </c>
      <c r="BG129" s="22" t="e">
        <f t="shared" si="61"/>
        <v>#NUM!</v>
      </c>
      <c r="BH129" s="58" t="e">
        <f t="shared" si="62"/>
        <v>#NUM!</v>
      </c>
      <c r="BI129" s="58">
        <f ca="1">AVERAGE(OFFSET($BH$3,0,0,'Données projet'!$E$11+1,1))-AVERAGE(OFFSET($H$3,0,0,'Données projet'!$E$11+1,1))</f>
        <v>218.76424742311815</v>
      </c>
      <c r="BJ129" s="58">
        <f t="shared" si="92"/>
        <v>264.34598683038593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0.34994838315105165</v>
      </c>
      <c r="BQ129" s="23">
        <f>EXP(-LN(2)/25)*BQ128+(1-EXP(-LN(2)/25))/(LN(2)/25)*Calculateur!BL129*Calculateur!BN129*VLOOKUP('Données projet'!$B$11,Paramètres!$A$1:$I$89,3,0)*0.475*44/12</f>
        <v>0.30478049905372828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0.65472888220477987</v>
      </c>
      <c r="BT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2</v>
      </c>
      <c r="BY129" s="13">
        <f>IF('Données projet'!$A$114&gt;35,BY128+BX129-CG128,IF(A129&lt;'Données projet'!$A$114,$BV$205^A129,IF(A129='Données projet'!$A$114,'Données projet'!$B$114,BY128+BX129-CG128)))</f>
        <v>211.00000000000011</v>
      </c>
      <c r="BZ129" s="14">
        <f>BY129*VLOOKUP('Données projet'!$B$12,Paramètres!$A$1:$I$89,3,0)*VLOOKUP('Données projet'!$B$12,Paramètres!$A$1:$I$89,5,0)</f>
        <v>204.07920000000013</v>
      </c>
      <c r="CA129" s="14">
        <f t="shared" si="93"/>
        <v>50.639596241643567</v>
      </c>
      <c r="CB129" s="22">
        <f t="shared" si="64"/>
        <v>443.63523678752944</v>
      </c>
      <c r="CC129" s="58">
        <f t="shared" si="65"/>
        <v>736.96857012086275</v>
      </c>
      <c r="CD129" s="58">
        <f ca="1">AVERAGE(OFFSET($CC$3,0,0,'Données projet'!$E$12+1,1))-AVERAGE(OFFSET($H$3,0,0,'Données projet'!$E$12+1,1))</f>
        <v>343.86347628565426</v>
      </c>
      <c r="CE129" s="58">
        <f t="shared" si="94"/>
        <v>129.28196646107097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58" t="e">
        <f t="shared" si="68"/>
        <v>#N/A</v>
      </c>
      <c r="CY129" s="58" t="e">
        <f ca="1">AVERAGE(OFFSET($CX$3,0,0,'Données projet'!$E$13+1,1))-AVERAGE(OFFSET($H$3,0,0,'Données projet'!$E$13+1,1))</f>
        <v>#N/A</v>
      </c>
      <c r="CZ129" s="58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5.4092197387944907E-14</v>
      </c>
      <c r="DQ129" s="14">
        <f t="shared" si="97"/>
        <v>8.7287050538073676E-13</v>
      </c>
      <c r="DR129" s="22">
        <f t="shared" si="70"/>
        <v>1.6144600406554537E-12</v>
      </c>
      <c r="DS129" s="58">
        <f t="shared" si="71"/>
        <v>293.33333333333491</v>
      </c>
      <c r="DT129" s="58">
        <f ca="1">AVERAGE(OFFSET($DS$3,0,0,'Données projet'!$E$14+1,1))-AVERAGE(OFFSET($H$3,0,0,'Données projet'!$E$14+1,1))</f>
        <v>332.49889399440514</v>
      </c>
      <c r="DU129" s="58">
        <f t="shared" si="98"/>
        <v>256.06044006790529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3.0769230769230718</v>
      </c>
      <c r="EJ129" s="13">
        <f>IF('Données projet'!$A$192&gt;35,EJ128+EI129-ER128,IF(A129&lt;'Données projet'!$A$192,$EG$205^A129,IF(A129='Données projet'!$A$192,'Données projet'!$B$192,EJ128+EI129-ER128)))</f>
        <v>396.66666666666708</v>
      </c>
      <c r="EK129" s="18">
        <f>EJ129*VLOOKUP('Données projet'!$B$15,Paramètres!$A$1:$I$89,3,0)*VLOOKUP('Données projet'!$B$15,Paramètres!$A$1:$I$89,5,0)</f>
        <v>414.59600000000046</v>
      </c>
      <c r="EL129" s="14">
        <f t="shared" si="99"/>
        <v>94.729579622319406</v>
      </c>
      <c r="EM129" s="22">
        <f t="shared" si="73"/>
        <v>887.07538450887375</v>
      </c>
      <c r="EN129" s="58">
        <f t="shared" si="74"/>
        <v>1180.4087178422071</v>
      </c>
      <c r="EO129" s="58">
        <f ca="1">AVERAGE(OFFSET($EN$3,0,0,'Données projet'!$E$15+1,1))-AVERAGE(OFFSET($H$3,0,0,'Données projet'!$E$15+1,1))</f>
        <v>596.00698505207174</v>
      </c>
      <c r="EP129" s="58">
        <f t="shared" si="100"/>
        <v>378.16197659288338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2.2737367544323206E-13</v>
      </c>
      <c r="FF129" s="18">
        <f>FE129*VLOOKUP('Données projet'!$B$16,Paramètres!$A$1:$I$89,3,0)*VLOOKUP('Données projet'!$B$16,Paramètres!$A$1:$I$89,5,0)</f>
        <v>1.064108801074326E-13</v>
      </c>
      <c r="FG129" s="14">
        <f t="shared" si="101"/>
        <v>1.5870730813698654E-12</v>
      </c>
      <c r="FH129" s="22">
        <f t="shared" si="76"/>
        <v>2.9494845662396269E-12</v>
      </c>
      <c r="FI129" s="58">
        <f t="shared" si="77"/>
        <v>293.33333333333627</v>
      </c>
      <c r="FJ129" s="58">
        <f ca="1">AVERAGE(OFFSET($FI$3,0,0,'Données projet'!$E$16+1,1))-AVERAGE(OFFSET($H$3,0,0,'Données projet'!$E$16+1,1))</f>
        <v>294.31042006404056</v>
      </c>
      <c r="FK129" s="58">
        <f t="shared" si="102"/>
        <v>260.93767498478502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2.8421709430404007E-13</v>
      </c>
      <c r="GA129" s="18">
        <f>FZ129*VLOOKUP('Données projet'!$B$17,Paramètres!$A$1:$I$89,3,0)*VLOOKUP('Données projet'!$B$17,Paramètres!$A$1:$I$89,5,0)</f>
        <v>1.9065282685915009E-13</v>
      </c>
      <c r="GB129" s="14">
        <f t="shared" si="103"/>
        <v>2.6568987209435707E-12</v>
      </c>
      <c r="GC129" s="22">
        <f t="shared" si="79"/>
        <v>4.959485612423072E-12</v>
      </c>
      <c r="GD129" s="58">
        <f t="shared" si="80"/>
        <v>293.33333333333826</v>
      </c>
      <c r="GE129" s="58">
        <f ca="1">AVERAGE(OFFSET($GD$3,0,0,'Données projet'!$E$17+1,1))-AVERAGE(OFFSET($H$3,0,0,'Données projet'!$E$17+1,1))</f>
        <v>362.1372269575329</v>
      </c>
      <c r="GF129" s="58">
        <f t="shared" si="104"/>
        <v>308.1559670593121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58" t="e">
        <f t="shared" si="83"/>
        <v>#N/A</v>
      </c>
      <c r="GZ129" s="58" t="e">
        <f ca="1">AVERAGE(OFFSET($GY$3,0,0,'Données projet'!$E$18+1,1))-AVERAGE(OFFSET($H$3,0,0,'Données projet'!$E$18+1,1))</f>
        <v>#N/A</v>
      </c>
      <c r="HA129" s="58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0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3">
        <f t="shared" si="56"/>
        <v>256.66666666666669</v>
      </c>
      <c r="I130" s="6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3.0666666666666669</v>
      </c>
      <c r="N130" s="14">
        <f>IF('Données projet'!$A$36&gt;35,N129+M130-V129,IF(A130&lt;'Données projet'!$A$36,$K$205^A130,IF(A130='Données projet'!$A$36,'Données projet'!$B$36,N129+M130-V129)))</f>
        <v>289.46666666666681</v>
      </c>
      <c r="O130" s="14">
        <f>N130*VLOOKUP('Données projet'!$B$9,Paramètres!$A$1:$I$89,3,0)*VLOOKUP('Données projet'!$B$9,Paramètres!$A$1:$I$89,5,0)</f>
        <v>293.51920000000013</v>
      </c>
      <c r="P130" s="14">
        <f t="shared" si="87"/>
        <v>69.816116809221086</v>
      </c>
      <c r="Q130" s="22">
        <f t="shared" si="107"/>
        <v>632.80901010939363</v>
      </c>
      <c r="R130" s="58">
        <f t="shared" si="55"/>
        <v>926.142343442727</v>
      </c>
      <c r="S130" s="58">
        <f ca="1">AVERAGE(OFFSET($R$3,0,0,'Données projet'!$E$9+1,1))-AVERAGE(OFFSET($H$3,0,0,'Données projet'!$E$9+1,1))</f>
        <v>483.15009705023641</v>
      </c>
      <c r="T130" s="58">
        <f t="shared" si="88"/>
        <v>254.25036207346591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3.0666666666666669</v>
      </c>
      <c r="AI130" s="14">
        <f>IF('Données projet'!$A$62&gt;35,AI129+AH130-AQ129,IF(A130&lt;'Données projet'!$A$62,$AF$205^A130,IF(A130='Données projet'!$A$62,'Données projet'!$B$62,AI129+AH130-AQ129)))</f>
        <v>289.46666666666681</v>
      </c>
      <c r="AJ130" s="14">
        <f>AI130*VLOOKUP('Données projet'!$B$10,Paramètres!$A$1:$I$89,3,0)*VLOOKUP('Données projet'!$B$10,Paramètres!$A$1:$I$89,5,0)</f>
        <v>261.90944000000013</v>
      </c>
      <c r="AK130" s="14">
        <f t="shared" si="89"/>
        <v>63.129219908680703</v>
      </c>
      <c r="AL130" s="22">
        <f t="shared" si="58"/>
        <v>566.10899934095244</v>
      </c>
      <c r="AM130" s="58">
        <f t="shared" si="59"/>
        <v>859.44233267428581</v>
      </c>
      <c r="AN130" s="58">
        <f ca="1">AVERAGE(OFFSET($AM$3,0,0,'Données projet'!$E$10+1,1))-AVERAGE(OFFSET($H$3,0,0,'Données projet'!$E$10+1,1))</f>
        <v>435.7095890216213</v>
      </c>
      <c r="AO130" s="58">
        <f t="shared" si="90"/>
        <v>231.36959598460686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-4.9658410716801891E-14</v>
      </c>
      <c r="BF130" s="14" t="e">
        <f t="shared" si="91"/>
        <v>#NUM!</v>
      </c>
      <c r="BG130" s="22" t="e">
        <f t="shared" si="61"/>
        <v>#NUM!</v>
      </c>
      <c r="BH130" s="58" t="e">
        <f t="shared" si="62"/>
        <v>#NUM!</v>
      </c>
      <c r="BI130" s="58">
        <f ca="1">AVERAGE(OFFSET($BH$3,0,0,'Données projet'!$E$11+1,1))-AVERAGE(OFFSET($H$3,0,0,'Données projet'!$E$11+1,1))</f>
        <v>218.76424742311815</v>
      </c>
      <c r="BJ130" s="58">
        <f t="shared" si="92"/>
        <v>264.34598683038593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0.34308610880489704</v>
      </c>
      <c r="BQ130" s="23">
        <f>EXP(-LN(2)/25)*BQ129+(1-EXP(-LN(2)/25))/(LN(2)/25)*Calculateur!BL130*Calculateur!BN130*VLOOKUP('Données projet'!$B$11,Paramètres!$A$1:$I$89,3,0)*0.475*44/12</f>
        <v>0.29644626027939425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0.63953236908429134</v>
      </c>
      <c r="BT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2</v>
      </c>
      <c r="BY130" s="13">
        <f>IF('Données projet'!$A$114&gt;35,BY129+BX130-CG129,IF(A130&lt;'Données projet'!$A$114,$BV$205^A130,IF(A130='Données projet'!$A$114,'Données projet'!$B$114,BY129+BX130-CG129)))</f>
        <v>213.00000000000011</v>
      </c>
      <c r="BZ130" s="14">
        <f>BY130*VLOOKUP('Données projet'!$B$12,Paramètres!$A$1:$I$89,3,0)*VLOOKUP('Données projet'!$B$12,Paramètres!$A$1:$I$89,5,0)</f>
        <v>206.01360000000011</v>
      </c>
      <c r="CA130" s="14">
        <f t="shared" si="93"/>
        <v>51.063487709141484</v>
      </c>
      <c r="CB130" s="22">
        <f t="shared" si="64"/>
        <v>447.74259442675498</v>
      </c>
      <c r="CC130" s="58">
        <f t="shared" si="65"/>
        <v>741.07592776008823</v>
      </c>
      <c r="CD130" s="58">
        <f ca="1">AVERAGE(OFFSET($CC$3,0,0,'Données projet'!$E$12+1,1))-AVERAGE(OFFSET($H$3,0,0,'Données projet'!$E$12+1,1))</f>
        <v>343.86347628565426</v>
      </c>
      <c r="CE130" s="58">
        <f t="shared" si="94"/>
        <v>129.28196646107097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58" t="e">
        <f t="shared" si="68"/>
        <v>#N/A</v>
      </c>
      <c r="CY130" s="58" t="e">
        <f ca="1">AVERAGE(OFFSET($CX$3,0,0,'Données projet'!$E$13+1,1))-AVERAGE(OFFSET($H$3,0,0,'Données projet'!$E$13+1,1))</f>
        <v>#N/A</v>
      </c>
      <c r="CZ130" s="58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5.4092197387944907E-14</v>
      </c>
      <c r="DQ130" s="14">
        <f t="shared" si="97"/>
        <v>8.7287050538073676E-13</v>
      </c>
      <c r="DR130" s="22">
        <f t="shared" si="70"/>
        <v>1.6144600406554537E-12</v>
      </c>
      <c r="DS130" s="58">
        <f t="shared" si="71"/>
        <v>293.33333333333491</v>
      </c>
      <c r="DT130" s="58">
        <f ca="1">AVERAGE(OFFSET($DS$3,0,0,'Données projet'!$E$14+1,1))-AVERAGE(OFFSET($H$3,0,0,'Données projet'!$E$14+1,1))</f>
        <v>332.49889399440514</v>
      </c>
      <c r="DU130" s="58">
        <f t="shared" si="98"/>
        <v>256.06044006790529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3.0769230769230718</v>
      </c>
      <c r="EJ130" s="13">
        <f>IF('Données projet'!$A$192&gt;35,EJ129+EI130-ER129,IF(A130&lt;'Données projet'!$A$192,$EG$205^A130,IF(A130='Données projet'!$A$192,'Données projet'!$B$192,EJ129+EI130-ER129)))</f>
        <v>399.74358974359018</v>
      </c>
      <c r="EK130" s="18">
        <f>EJ130*VLOOKUP('Données projet'!$B$15,Paramètres!$A$1:$I$89,3,0)*VLOOKUP('Données projet'!$B$15,Paramètres!$A$1:$I$89,5,0)</f>
        <v>417.81200000000047</v>
      </c>
      <c r="EL130" s="14">
        <f t="shared" si="99"/>
        <v>95.378567679771081</v>
      </c>
      <c r="EM130" s="22">
        <f t="shared" si="73"/>
        <v>893.80690537560201</v>
      </c>
      <c r="EN130" s="58">
        <f t="shared" si="74"/>
        <v>1187.1402387089354</v>
      </c>
      <c r="EO130" s="58">
        <f ca="1">AVERAGE(OFFSET($EN$3,0,0,'Données projet'!$E$15+1,1))-AVERAGE(OFFSET($H$3,0,0,'Données projet'!$E$15+1,1))</f>
        <v>596.00698505207174</v>
      </c>
      <c r="EP130" s="58">
        <f t="shared" si="100"/>
        <v>378.16197659288338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2.2737367544323206E-13</v>
      </c>
      <c r="FF130" s="18">
        <f>FE130*VLOOKUP('Données projet'!$B$16,Paramètres!$A$1:$I$89,3,0)*VLOOKUP('Données projet'!$B$16,Paramètres!$A$1:$I$89,5,0)</f>
        <v>1.064108801074326E-13</v>
      </c>
      <c r="FG130" s="14">
        <f t="shared" si="101"/>
        <v>1.5870730813698654E-12</v>
      </c>
      <c r="FH130" s="22">
        <f t="shared" si="76"/>
        <v>2.9494845662396269E-12</v>
      </c>
      <c r="FI130" s="58">
        <f t="shared" si="77"/>
        <v>293.33333333333627</v>
      </c>
      <c r="FJ130" s="58">
        <f ca="1">AVERAGE(OFFSET($FI$3,0,0,'Données projet'!$E$16+1,1))-AVERAGE(OFFSET($H$3,0,0,'Données projet'!$E$16+1,1))</f>
        <v>294.31042006404056</v>
      </c>
      <c r="FK130" s="58">
        <f t="shared" si="102"/>
        <v>260.93767498478502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2.8421709430404007E-13</v>
      </c>
      <c r="GA130" s="18">
        <f>FZ130*VLOOKUP('Données projet'!$B$17,Paramètres!$A$1:$I$89,3,0)*VLOOKUP('Données projet'!$B$17,Paramètres!$A$1:$I$89,5,0)</f>
        <v>1.9065282685915009E-13</v>
      </c>
      <c r="GB130" s="14">
        <f t="shared" si="103"/>
        <v>2.6568987209435707E-12</v>
      </c>
      <c r="GC130" s="22">
        <f t="shared" si="79"/>
        <v>4.959485612423072E-12</v>
      </c>
      <c r="GD130" s="58">
        <f t="shared" si="80"/>
        <v>293.33333333333826</v>
      </c>
      <c r="GE130" s="58">
        <f ca="1">AVERAGE(OFFSET($GD$3,0,0,'Données projet'!$E$17+1,1))-AVERAGE(OFFSET($H$3,0,0,'Données projet'!$E$17+1,1))</f>
        <v>362.1372269575329</v>
      </c>
      <c r="GF130" s="58">
        <f t="shared" si="104"/>
        <v>308.1559670593121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58" t="e">
        <f t="shared" si="83"/>
        <v>#N/A</v>
      </c>
      <c r="GZ130" s="58" t="e">
        <f ca="1">AVERAGE(OFFSET($GY$3,0,0,'Données projet'!$E$18+1,1))-AVERAGE(OFFSET($H$3,0,0,'Données projet'!$E$18+1,1))</f>
        <v>#N/A</v>
      </c>
      <c r="HA130" s="58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0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3">
        <f t="shared" si="56"/>
        <v>256.66666666666669</v>
      </c>
      <c r="I131" s="6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3.0666666666666669</v>
      </c>
      <c r="N131" s="14">
        <f>IF('Données projet'!$A$36&gt;35,N130+M131-V130,IF(A131&lt;'Données projet'!$A$36,$K$205^A131,IF(A131='Données projet'!$A$36,'Données projet'!$B$36,N130+M131-V130)))</f>
        <v>292.53333333333347</v>
      </c>
      <c r="O131" s="14">
        <f>N131*VLOOKUP('Données projet'!$B$9,Paramètres!$A$1:$I$89,3,0)*VLOOKUP('Données projet'!$B$9,Paramètres!$A$1:$I$89,5,0)</f>
        <v>296.62880000000018</v>
      </c>
      <c r="P131" s="14">
        <f t="shared" si="87"/>
        <v>70.4692663095867</v>
      </c>
      <c r="Q131" s="22">
        <f t="shared" ref="Q131:Q153" si="108">(O131+P131)*0.475*44/12</f>
        <v>639.36246548919712</v>
      </c>
      <c r="R131" s="58">
        <f t="shared" ref="R131:R194" si="109">Q131+(I131+J131)*44/12</f>
        <v>932.69579882253038</v>
      </c>
      <c r="S131" s="58">
        <f ca="1">AVERAGE(OFFSET($R$3,0,0,'Données projet'!$E$9+1,1))-AVERAGE(OFFSET($H$3,0,0,'Données projet'!$E$9+1,1))</f>
        <v>483.15009705023641</v>
      </c>
      <c r="T131" s="58">
        <f t="shared" si="88"/>
        <v>254.25036207346591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3.0666666666666669</v>
      </c>
      <c r="AI131" s="14">
        <f>IF('Données projet'!$A$62&gt;35,AI130+AH131-AQ130,IF(A131&lt;'Données projet'!$A$62,$AF$205^A131,IF(A131='Données projet'!$A$62,'Données projet'!$B$62,AI130+AH131-AQ130)))</f>
        <v>292.53333333333347</v>
      </c>
      <c r="AJ131" s="14">
        <f>AI131*VLOOKUP('Données projet'!$B$10,Paramètres!$A$1:$I$89,3,0)*VLOOKUP('Données projet'!$B$10,Paramètres!$A$1:$I$89,5,0)</f>
        <v>264.68416000000013</v>
      </c>
      <c r="AK131" s="14">
        <f t="shared" si="89"/>
        <v>63.719811599056364</v>
      </c>
      <c r="AL131" s="22">
        <f t="shared" si="58"/>
        <v>571.9702505350233</v>
      </c>
      <c r="AM131" s="58">
        <f t="shared" si="59"/>
        <v>865.30358386835655</v>
      </c>
      <c r="AN131" s="58">
        <f ca="1">AVERAGE(OFFSET($AM$3,0,0,'Données projet'!$E$10+1,1))-AVERAGE(OFFSET($H$3,0,0,'Données projet'!$E$10+1,1))</f>
        <v>435.7095890216213</v>
      </c>
      <c r="AO131" s="58">
        <f t="shared" si="90"/>
        <v>231.36959598460686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-4.9658410716801891E-14</v>
      </c>
      <c r="BF131" s="14" t="e">
        <f t="shared" si="91"/>
        <v>#NUM!</v>
      </c>
      <c r="BG131" s="22" t="e">
        <f t="shared" si="61"/>
        <v>#NUM!</v>
      </c>
      <c r="BH131" s="58" t="e">
        <f t="shared" si="62"/>
        <v>#NUM!</v>
      </c>
      <c r="BI131" s="58">
        <f ca="1">AVERAGE(OFFSET($BH$3,0,0,'Données projet'!$E$11+1,1))-AVERAGE(OFFSET($H$3,0,0,'Données projet'!$E$11+1,1))</f>
        <v>218.76424742311815</v>
      </c>
      <c r="BJ131" s="58">
        <f t="shared" si="92"/>
        <v>264.34598683038593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0.33635839947309648</v>
      </c>
      <c r="BQ131" s="23">
        <f>EXP(-LN(2)/25)*BQ130+(1-EXP(-LN(2)/25))/(LN(2)/25)*Calculateur!BL131*Calculateur!BN131*VLOOKUP('Données projet'!$B$11,Paramètres!$A$1:$I$89,3,0)*0.475*44/12</f>
        <v>0.2883399217026229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0.62469832117571933</v>
      </c>
      <c r="BT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2</v>
      </c>
      <c r="BY131" s="13">
        <f>IF('Données projet'!$A$114&gt;35,BY130+BX131-CG130,IF(A131&lt;'Données projet'!$A$114,$BV$205^A131,IF(A131='Données projet'!$A$114,'Données projet'!$B$114,BY130+BX131-CG130)))</f>
        <v>215.00000000000011</v>
      </c>
      <c r="BZ131" s="14">
        <f>BY131*VLOOKUP('Données projet'!$B$12,Paramètres!$A$1:$I$89,3,0)*VLOOKUP('Données projet'!$B$12,Paramètres!$A$1:$I$89,5,0)</f>
        <v>207.94800000000012</v>
      </c>
      <c r="CA131" s="14">
        <f t="shared" si="93"/>
        <v>51.486916127068881</v>
      </c>
      <c r="CB131" s="22">
        <f t="shared" si="64"/>
        <v>451.84914558797851</v>
      </c>
      <c r="CC131" s="58">
        <f t="shared" si="65"/>
        <v>745.18247892131183</v>
      </c>
      <c r="CD131" s="58">
        <f ca="1">AVERAGE(OFFSET($CC$3,0,0,'Données projet'!$E$12+1,1))-AVERAGE(OFFSET($H$3,0,0,'Données projet'!$E$12+1,1))</f>
        <v>343.86347628565426</v>
      </c>
      <c r="CE131" s="58">
        <f t="shared" si="94"/>
        <v>129.28196646107097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58" t="e">
        <f t="shared" si="68"/>
        <v>#N/A</v>
      </c>
      <c r="CY131" s="58" t="e">
        <f ca="1">AVERAGE(OFFSET($CX$3,0,0,'Données projet'!$E$13+1,1))-AVERAGE(OFFSET($H$3,0,0,'Données projet'!$E$13+1,1))</f>
        <v>#N/A</v>
      </c>
      <c r="CZ131" s="58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5.4092197387944907E-14</v>
      </c>
      <c r="DQ131" s="14">
        <f t="shared" si="97"/>
        <v>8.7287050538073676E-13</v>
      </c>
      <c r="DR131" s="22">
        <f t="shared" si="70"/>
        <v>1.6144600406554537E-12</v>
      </c>
      <c r="DS131" s="58">
        <f t="shared" si="71"/>
        <v>293.33333333333491</v>
      </c>
      <c r="DT131" s="58">
        <f ca="1">AVERAGE(OFFSET($DS$3,0,0,'Données projet'!$E$14+1,1))-AVERAGE(OFFSET($H$3,0,0,'Données projet'!$E$14+1,1))</f>
        <v>332.49889399440514</v>
      </c>
      <c r="DU131" s="58">
        <f t="shared" si="98"/>
        <v>256.06044006790529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3.0769230769230718</v>
      </c>
      <c r="EJ131" s="13">
        <f>IF('Données projet'!$A$192&gt;35,EJ130+EI131-ER130,IF(A131&lt;'Données projet'!$A$192,$EG$205^A131,IF(A131='Données projet'!$A$192,'Données projet'!$B$192,EJ130+EI131-ER130)))</f>
        <v>402.82051282051327</v>
      </c>
      <c r="EK131" s="18">
        <f>EJ131*VLOOKUP('Données projet'!$B$15,Paramètres!$A$1:$I$89,3,0)*VLOOKUP('Données projet'!$B$15,Paramètres!$A$1:$I$89,5,0)</f>
        <v>421.02800000000047</v>
      </c>
      <c r="EL131" s="14">
        <f t="shared" si="99"/>
        <v>96.026974524902116</v>
      </c>
      <c r="EM131" s="22">
        <f t="shared" si="73"/>
        <v>900.53741396420526</v>
      </c>
      <c r="EN131" s="58">
        <f t="shared" si="74"/>
        <v>1193.8707472975386</v>
      </c>
      <c r="EO131" s="58">
        <f ca="1">AVERAGE(OFFSET($EN$3,0,0,'Données projet'!$E$15+1,1))-AVERAGE(OFFSET($H$3,0,0,'Données projet'!$E$15+1,1))</f>
        <v>596.00698505207174</v>
      </c>
      <c r="EP131" s="58">
        <f t="shared" si="100"/>
        <v>378.16197659288338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2.2737367544323206E-13</v>
      </c>
      <c r="FF131" s="18">
        <f>FE131*VLOOKUP('Données projet'!$B$16,Paramètres!$A$1:$I$89,3,0)*VLOOKUP('Données projet'!$B$16,Paramètres!$A$1:$I$89,5,0)</f>
        <v>1.064108801074326E-13</v>
      </c>
      <c r="FG131" s="14">
        <f t="shared" si="101"/>
        <v>1.5870730813698654E-12</v>
      </c>
      <c r="FH131" s="22">
        <f t="shared" si="76"/>
        <v>2.9494845662396269E-12</v>
      </c>
      <c r="FI131" s="58">
        <f t="shared" si="77"/>
        <v>293.33333333333627</v>
      </c>
      <c r="FJ131" s="58">
        <f ca="1">AVERAGE(OFFSET($FI$3,0,0,'Données projet'!$E$16+1,1))-AVERAGE(OFFSET($H$3,0,0,'Données projet'!$E$16+1,1))</f>
        <v>294.31042006404056</v>
      </c>
      <c r="FK131" s="58">
        <f t="shared" si="102"/>
        <v>260.93767498478502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2.8421709430404007E-13</v>
      </c>
      <c r="GA131" s="18">
        <f>FZ131*VLOOKUP('Données projet'!$B$17,Paramètres!$A$1:$I$89,3,0)*VLOOKUP('Données projet'!$B$17,Paramètres!$A$1:$I$89,5,0)</f>
        <v>1.9065282685915009E-13</v>
      </c>
      <c r="GB131" s="14">
        <f t="shared" si="103"/>
        <v>2.6568987209435707E-12</v>
      </c>
      <c r="GC131" s="22">
        <f t="shared" si="79"/>
        <v>4.959485612423072E-12</v>
      </c>
      <c r="GD131" s="58">
        <f t="shared" si="80"/>
        <v>293.33333333333826</v>
      </c>
      <c r="GE131" s="58">
        <f ca="1">AVERAGE(OFFSET($GD$3,0,0,'Données projet'!$E$17+1,1))-AVERAGE(OFFSET($H$3,0,0,'Données projet'!$E$17+1,1))</f>
        <v>362.1372269575329</v>
      </c>
      <c r="GF131" s="58">
        <f t="shared" si="104"/>
        <v>308.1559670593121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58" t="e">
        <f t="shared" si="83"/>
        <v>#N/A</v>
      </c>
      <c r="GZ131" s="58" t="e">
        <f ca="1">AVERAGE(OFFSET($GY$3,0,0,'Données projet'!$E$18+1,1))-AVERAGE(OFFSET($H$3,0,0,'Données projet'!$E$18+1,1))</f>
        <v>#N/A</v>
      </c>
      <c r="HA131" s="58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0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3">
        <f t="shared" ref="H132:H195" si="110">(B132+E132+F132)*44/12+(C132+D132)*0.475*44/12</f>
        <v>256.66666666666669</v>
      </c>
      <c r="I132" s="6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3.0666666666666669</v>
      </c>
      <c r="N132" s="14">
        <f>IF('Données projet'!$A$36&gt;35,N131+M132-V131,IF(A132&lt;'Données projet'!$A$36,$K$205^A132,IF(A132='Données projet'!$A$36,'Données projet'!$B$36,N131+M132-V131)))</f>
        <v>295.60000000000014</v>
      </c>
      <c r="O132" s="14">
        <f>N132*VLOOKUP('Données projet'!$B$9,Paramètres!$A$1:$I$89,3,0)*VLOOKUP('Données projet'!$B$9,Paramètres!$A$1:$I$89,5,0)</f>
        <v>299.73840000000018</v>
      </c>
      <c r="P132" s="14">
        <f t="shared" si="87"/>
        <v>71.12161928339448</v>
      </c>
      <c r="Q132" s="22">
        <f t="shared" si="108"/>
        <v>645.91453358524575</v>
      </c>
      <c r="R132" s="58">
        <f t="shared" si="109"/>
        <v>939.24786691857912</v>
      </c>
      <c r="S132" s="58">
        <f ca="1">AVERAGE(OFFSET($R$3,0,0,'Données projet'!$E$9+1,1))-AVERAGE(OFFSET($H$3,0,0,'Données projet'!$E$9+1,1))</f>
        <v>483.15009705023641</v>
      </c>
      <c r="T132" s="58">
        <f t="shared" si="88"/>
        <v>254.25036207346591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3.0666666666666669</v>
      </c>
      <c r="AI132" s="14">
        <f>IF('Données projet'!$A$62&gt;35,AI131+AH132-AQ131,IF(A132&lt;'Données projet'!$A$62,$AF$205^A132,IF(A132='Données projet'!$A$62,'Données projet'!$B$62,AI131+AH132-AQ131)))</f>
        <v>295.60000000000014</v>
      </c>
      <c r="AJ132" s="14">
        <f>AI132*VLOOKUP('Données projet'!$B$10,Paramètres!$A$1:$I$89,3,0)*VLOOKUP('Données projet'!$B$10,Paramètres!$A$1:$I$89,5,0)</f>
        <v>267.45888000000014</v>
      </c>
      <c r="AK132" s="14">
        <f t="shared" si="89"/>
        <v>64.30968305315244</v>
      </c>
      <c r="AL132" s="22">
        <f t="shared" ref="AL132:AL153" si="112">(AJ132+AK132)*0.475*44/12</f>
        <v>577.83024731757405</v>
      </c>
      <c r="AM132" s="58">
        <f t="shared" ref="AM132:AM195" si="113">AL132+(AD132+AE132)*44/12</f>
        <v>871.16358065090731</v>
      </c>
      <c r="AN132" s="58">
        <f ca="1">AVERAGE(OFFSET($AM$3,0,0,'Données projet'!$E$10+1,1))-AVERAGE(OFFSET($H$3,0,0,'Données projet'!$E$10+1,1))</f>
        <v>435.7095890216213</v>
      </c>
      <c r="AO132" s="58">
        <f t="shared" si="90"/>
        <v>231.36959598460686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-4.9658410716801891E-14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58" t="e">
        <f t="shared" ref="BH132:BH195" si="116">BG132+(AY132+AZ132)*44/12</f>
        <v>#NUM!</v>
      </c>
      <c r="BI132" s="58">
        <f ca="1">AVERAGE(OFFSET($BH$3,0,0,'Données projet'!$E$11+1,1))-AVERAGE(OFFSET($H$3,0,0,'Données projet'!$E$11+1,1))</f>
        <v>218.76424742311815</v>
      </c>
      <c r="BJ132" s="58">
        <f t="shared" si="92"/>
        <v>264.34598683038593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0.32976261641779503</v>
      </c>
      <c r="BQ132" s="23">
        <f>EXP(-LN(2)/25)*BQ131+(1-EXP(-LN(2)/25))/(LN(2)/25)*Calculateur!BL132*Calculateur!BN132*VLOOKUP('Données projet'!$B$11,Paramètres!$A$1:$I$89,3,0)*0.475*44/12</f>
        <v>0.28045525138052718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0.61021786779832221</v>
      </c>
      <c r="BT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2</v>
      </c>
      <c r="BY132" s="13">
        <f>IF('Données projet'!$A$114&gt;35,BY131+BX132-CG131,IF(A132&lt;'Données projet'!$A$114,$BV$205^A132,IF(A132='Données projet'!$A$114,'Données projet'!$B$114,BY131+BX132-CG131)))</f>
        <v>217.00000000000011</v>
      </c>
      <c r="BZ132" s="14">
        <f>BY132*VLOOKUP('Données projet'!$B$12,Paramètres!$A$1:$I$89,3,0)*VLOOKUP('Données projet'!$B$12,Paramètres!$A$1:$I$89,5,0)</f>
        <v>209.88240000000013</v>
      </c>
      <c r="CA132" s="14">
        <f t="shared" si="93"/>
        <v>51.909886301786052</v>
      </c>
      <c r="CB132" s="22">
        <f t="shared" ref="CB132:CB153" si="118">(BZ132+CA132)*0.475*44/12</f>
        <v>455.95489864227756</v>
      </c>
      <c r="CC132" s="58">
        <f t="shared" ref="CC132:CC195" si="119">CB132+(BT132+BU132)*44/12</f>
        <v>749.28823197561087</v>
      </c>
      <c r="CD132" s="58">
        <f ca="1">AVERAGE(OFFSET($CC$3,0,0,'Données projet'!$E$12+1,1))-AVERAGE(OFFSET($H$3,0,0,'Données projet'!$E$12+1,1))</f>
        <v>343.86347628565426</v>
      </c>
      <c r="CE132" s="58">
        <f t="shared" si="94"/>
        <v>129.28196646107097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58" t="e">
        <f t="shared" ref="CX132:CX195" si="122">CW132+(CO132+CP132)*44/12</f>
        <v>#N/A</v>
      </c>
      <c r="CY132" s="58" t="e">
        <f ca="1">AVERAGE(OFFSET($CX$3,0,0,'Données projet'!$E$13+1,1))-AVERAGE(OFFSET($H$3,0,0,'Données projet'!$E$13+1,1))</f>
        <v>#N/A</v>
      </c>
      <c r="CZ132" s="58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5.4092197387944907E-14</v>
      </c>
      <c r="DQ132" s="14">
        <f t="shared" si="97"/>
        <v>8.7287050538073676E-13</v>
      </c>
      <c r="DR132" s="22">
        <f t="shared" ref="DR132:DR153" si="124">(DP132+DQ132)*0.475*44/12</f>
        <v>1.6144600406554537E-12</v>
      </c>
      <c r="DS132" s="58">
        <f t="shared" ref="DS132:DS195" si="125">DR132+(DJ132+DK132)*44/12</f>
        <v>293.33333333333491</v>
      </c>
      <c r="DT132" s="58">
        <f ca="1">AVERAGE(OFFSET($DS$3,0,0,'Données projet'!$E$14+1,1))-AVERAGE(OFFSET($H$3,0,0,'Données projet'!$E$14+1,1))</f>
        <v>332.49889399440514</v>
      </c>
      <c r="DU132" s="58">
        <f t="shared" si="98"/>
        <v>256.06044006790529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3.0769230769230718</v>
      </c>
      <c r="EJ132" s="13">
        <f>IF('Données projet'!$A$192&gt;35,EJ131+EI132-ER131,IF(A132&lt;'Données projet'!$A$192,$EG$205^A132,IF(A132='Données projet'!$A$192,'Données projet'!$B$192,EJ131+EI132-ER131)))</f>
        <v>405.89743589743637</v>
      </c>
      <c r="EK132" s="18">
        <f>EJ132*VLOOKUP('Données projet'!$B$15,Paramètres!$A$1:$I$89,3,0)*VLOOKUP('Données projet'!$B$15,Paramètres!$A$1:$I$89,5,0)</f>
        <v>424.24400000000048</v>
      </c>
      <c r="EL132" s="14">
        <f t="shared" si="99"/>
        <v>96.674805111930851</v>
      </c>
      <c r="EM132" s="22">
        <f t="shared" ref="EM132:EM153" si="127">(EK132+EL132)*0.475*44/12</f>
        <v>907.26691890328038</v>
      </c>
      <c r="EN132" s="58">
        <f t="shared" ref="EN132:EN195" si="128">EM132+(EE132+EF132)*44/12</f>
        <v>1200.6002522366136</v>
      </c>
      <c r="EO132" s="58">
        <f ca="1">AVERAGE(OFFSET($EN$3,0,0,'Données projet'!$E$15+1,1))-AVERAGE(OFFSET($H$3,0,0,'Données projet'!$E$15+1,1))</f>
        <v>596.00698505207174</v>
      </c>
      <c r="EP132" s="58">
        <f t="shared" si="100"/>
        <v>378.16197659288338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2.2737367544323206E-13</v>
      </c>
      <c r="FF132" s="18">
        <f>FE132*VLOOKUP('Données projet'!$B$16,Paramètres!$A$1:$I$89,3,0)*VLOOKUP('Données projet'!$B$16,Paramètres!$A$1:$I$89,5,0)</f>
        <v>1.064108801074326E-13</v>
      </c>
      <c r="FG132" s="14">
        <f t="shared" si="101"/>
        <v>1.5870730813698654E-12</v>
      </c>
      <c r="FH132" s="22">
        <f t="shared" ref="FH132:FH153" si="130">(FF132+FG132)*0.475*44/12</f>
        <v>2.9494845662396269E-12</v>
      </c>
      <c r="FI132" s="58">
        <f t="shared" ref="FI132:FI195" si="131">FH132+(EZ132+FA132)*44/12</f>
        <v>293.33333333333627</v>
      </c>
      <c r="FJ132" s="58">
        <f ca="1">AVERAGE(OFFSET($FI$3,0,0,'Données projet'!$E$16+1,1))-AVERAGE(OFFSET($H$3,0,0,'Données projet'!$E$16+1,1))</f>
        <v>294.31042006404056</v>
      </c>
      <c r="FK132" s="58">
        <f t="shared" si="102"/>
        <v>260.93767498478502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2.8421709430404007E-13</v>
      </c>
      <c r="GA132" s="18">
        <f>FZ132*VLOOKUP('Données projet'!$B$17,Paramètres!$A$1:$I$89,3,0)*VLOOKUP('Données projet'!$B$17,Paramètres!$A$1:$I$89,5,0)</f>
        <v>1.9065282685915009E-13</v>
      </c>
      <c r="GB132" s="14">
        <f t="shared" si="103"/>
        <v>2.6568987209435707E-12</v>
      </c>
      <c r="GC132" s="22">
        <f t="shared" ref="GC132:GC153" si="133">(GA132+GB132)*0.475*44/12</f>
        <v>4.959485612423072E-12</v>
      </c>
      <c r="GD132" s="58">
        <f t="shared" ref="GD132:GD195" si="134">GC132+(FU132+FV132)*44/12</f>
        <v>293.33333333333826</v>
      </c>
      <c r="GE132" s="58">
        <f ca="1">AVERAGE(OFFSET($GD$3,0,0,'Données projet'!$E$17+1,1))-AVERAGE(OFFSET($H$3,0,0,'Données projet'!$E$17+1,1))</f>
        <v>362.1372269575329</v>
      </c>
      <c r="GF132" s="58">
        <f t="shared" si="104"/>
        <v>308.1559670593121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58" t="e">
        <f t="shared" ref="GY132:GY195" si="137">GX132+(GP132+GQ132)*44/12</f>
        <v>#N/A</v>
      </c>
      <c r="GZ132" s="58" t="e">
        <f ca="1">AVERAGE(OFFSET($GY$3,0,0,'Données projet'!$E$18+1,1))-AVERAGE(OFFSET($H$3,0,0,'Données projet'!$E$18+1,1))</f>
        <v>#N/A</v>
      </c>
      <c r="HA132" s="58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0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3">
        <f t="shared" si="110"/>
        <v>256.66666666666669</v>
      </c>
      <c r="I133" s="6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3.0666666666666669</v>
      </c>
      <c r="N133" s="14">
        <f>IF('Données projet'!$A$36&gt;35,N132+M133-V132,IF(A133&lt;'Données projet'!$A$36,$K$205^A133,IF(A133='Données projet'!$A$36,'Données projet'!$B$36,N132+M133-V132)))</f>
        <v>298.6666666666668</v>
      </c>
      <c r="O133" s="14">
        <f>N133*VLOOKUP('Données projet'!$B$9,Paramètres!$A$1:$I$89,3,0)*VLOOKUP('Données projet'!$B$9,Paramètres!$A$1:$I$89,5,0)</f>
        <v>302.84800000000018</v>
      </c>
      <c r="P133" s="14">
        <f t="shared" ref="P133:P196" si="141">EXP(-1.0587+0.8836*LN(O133)+0.284)</f>
        <v>71.773184950745872</v>
      </c>
      <c r="Q133" s="22">
        <f t="shared" si="108"/>
        <v>652.46523045588276</v>
      </c>
      <c r="R133" s="58">
        <f t="shared" si="109"/>
        <v>945.79856378921613</v>
      </c>
      <c r="S133" s="58">
        <f ca="1">AVERAGE(OFFSET($R$3,0,0,'Données projet'!$E$9+1,1))-AVERAGE(OFFSET($H$3,0,0,'Données projet'!$E$9+1,1))</f>
        <v>483.15009705023641</v>
      </c>
      <c r="T133" s="58">
        <f t="shared" ref="T133:T196" si="142">$T$3</f>
        <v>254.25036207346591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3.0666666666666669</v>
      </c>
      <c r="AI133" s="14">
        <f>IF('Données projet'!$A$62&gt;35,AI132+AH133-AQ132,IF(A133&lt;'Données projet'!$A$62,$AF$205^A133,IF(A133='Données projet'!$A$62,'Données projet'!$B$62,AI132+AH133-AQ132)))</f>
        <v>298.6666666666668</v>
      </c>
      <c r="AJ133" s="14">
        <f>AI133*VLOOKUP('Données projet'!$B$10,Paramètres!$A$1:$I$89,3,0)*VLOOKUP('Données projet'!$B$10,Paramètres!$A$1:$I$89,5,0)</f>
        <v>270.23360000000014</v>
      </c>
      <c r="AK133" s="14">
        <f t="shared" ref="AK133:AK153" si="143">EXP(-1.0587+0.8836*LN(AJ133)+0.284)</f>
        <v>64.898842607980839</v>
      </c>
      <c r="AL133" s="22">
        <f t="shared" si="112"/>
        <v>583.6890042089002</v>
      </c>
      <c r="AM133" s="58">
        <f t="shared" si="113"/>
        <v>877.02233754223357</v>
      </c>
      <c r="AN133" s="58">
        <f ca="1">AVERAGE(OFFSET($AM$3,0,0,'Données projet'!$E$10+1,1))-AVERAGE(OFFSET($H$3,0,0,'Données projet'!$E$10+1,1))</f>
        <v>435.7095890216213</v>
      </c>
      <c r="AO133" s="58">
        <f t="shared" ref="AO133:AO196" si="144">$AO$3</f>
        <v>231.36959598460686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-4.9658410716801891E-14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58" t="e">
        <f t="shared" si="116"/>
        <v>#NUM!</v>
      </c>
      <c r="BI133" s="58">
        <f ca="1">AVERAGE(OFFSET($BH$3,0,0,'Données projet'!$E$11+1,1))-AVERAGE(OFFSET($H$3,0,0,'Données projet'!$E$11+1,1))</f>
        <v>218.76424742311815</v>
      </c>
      <c r="BJ133" s="58">
        <f t="shared" ref="BJ133:BJ196" si="146">$BJ$3</f>
        <v>264.34598683038593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0.32329617264517763</v>
      </c>
      <c r="BQ133" s="23">
        <f>EXP(-LN(2)/25)*BQ132+(1-EXP(-LN(2)/25))/(LN(2)/25)*Calculateur!BL133*Calculateur!BN133*VLOOKUP('Données projet'!$B$11,Paramètres!$A$1:$I$89,3,0)*0.475*44/12</f>
        <v>0.27278618778302599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0.59608236042820362</v>
      </c>
      <c r="BT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2</v>
      </c>
      <c r="BY133" s="13">
        <f>IF('Données projet'!$A$114&gt;35,BY132+BX133-CG132,IF(A133&lt;'Données projet'!$A$114,$BV$205^A133,IF(A133='Données projet'!$A$114,'Données projet'!$B$114,BY132+BX133-CG132)))</f>
        <v>219.00000000000011</v>
      </c>
      <c r="BZ133" s="14">
        <f>BY133*VLOOKUP('Données projet'!$B$12,Paramètres!$A$1:$I$89,3,0)*VLOOKUP('Données projet'!$B$12,Paramètres!$A$1:$I$89,5,0)</f>
        <v>211.81680000000009</v>
      </c>
      <c r="CA133" s="14">
        <f t="shared" ref="CA133:CA153" si="147">EXP(-1.0587+0.8836*LN(BZ133)+0.284)</f>
        <v>52.332402945946832</v>
      </c>
      <c r="CB133" s="22">
        <f t="shared" si="118"/>
        <v>460.05986179752421</v>
      </c>
      <c r="CC133" s="58">
        <f t="shared" si="119"/>
        <v>753.39319513085752</v>
      </c>
      <c r="CD133" s="58">
        <f ca="1">AVERAGE(OFFSET($CC$3,0,0,'Données projet'!$E$12+1,1))-AVERAGE(OFFSET($H$3,0,0,'Données projet'!$E$12+1,1))</f>
        <v>343.86347628565426</v>
      </c>
      <c r="CE133" s="58">
        <f t="shared" ref="CE133:CE196" si="148">$CE$3</f>
        <v>129.28196646107097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58" t="e">
        <f t="shared" si="122"/>
        <v>#N/A</v>
      </c>
      <c r="CY133" s="58" t="e">
        <f ca="1">AVERAGE(OFFSET($CX$3,0,0,'Données projet'!$E$13+1,1))-AVERAGE(OFFSET($H$3,0,0,'Données projet'!$E$13+1,1))</f>
        <v>#N/A</v>
      </c>
      <c r="CZ133" s="58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5.4092197387944907E-14</v>
      </c>
      <c r="DQ133" s="14">
        <f t="shared" ref="DQ133:DQ153" si="151">EXP(-1.0587+0.8836*LN(DP133)+0.284)</f>
        <v>8.7287050538073676E-13</v>
      </c>
      <c r="DR133" s="22">
        <f t="shared" si="124"/>
        <v>1.6144600406554537E-12</v>
      </c>
      <c r="DS133" s="58">
        <f t="shared" si="125"/>
        <v>293.33333333333491</v>
      </c>
      <c r="DT133" s="58">
        <f ca="1">AVERAGE(OFFSET($DS$3,0,0,'Données projet'!$E$14+1,1))-AVERAGE(OFFSET($H$3,0,0,'Données projet'!$E$14+1,1))</f>
        <v>332.49889399440514</v>
      </c>
      <c r="DU133" s="58">
        <f t="shared" ref="DU133:DU196" si="152">$DU$3</f>
        <v>256.06044006790529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408.97435897435895</v>
      </c>
      <c r="EH133" s="13">
        <f>VLOOKUP(A133,'Données projet'!$A$191:$I$211,9,0)</f>
        <v>3.0769230769230718</v>
      </c>
      <c r="EI133" s="13">
        <f t="array" ref="EI133">INDEX(EH:EH,MIN(IF(ISNUMBER(EH133:EH329),ROW(EH133:EH329),"")))</f>
        <v>3.0769230769230718</v>
      </c>
      <c r="EJ133" s="13">
        <f>IF('Données projet'!$A$192&gt;35,EJ132+EI133-ER132,IF(A133&lt;'Données projet'!$A$192,$EG$205^A133,IF(A133='Données projet'!$A$192,'Données projet'!$B$192,EJ132+EI133-ER132)))</f>
        <v>408.97435897435946</v>
      </c>
      <c r="EK133" s="18">
        <f>EJ133*VLOOKUP('Données projet'!$B$15,Paramètres!$A$1:$I$89,3,0)*VLOOKUP('Données projet'!$B$15,Paramètres!$A$1:$I$89,5,0)</f>
        <v>427.46000000000055</v>
      </c>
      <c r="EL133" s="14">
        <f t="shared" ref="EL133:EL153" si="153">EXP(-1.0587+0.8836*LN(EK133)+0.284)</f>
        <v>97.322064315625155</v>
      </c>
      <c r="EM133" s="22">
        <f t="shared" si="127"/>
        <v>913.99542868304798</v>
      </c>
      <c r="EN133" s="58">
        <f t="shared" si="128"/>
        <v>1207.3287620163812</v>
      </c>
      <c r="EO133" s="58">
        <f ca="1">AVERAGE(OFFSET($EN$3,0,0,'Données projet'!$E$15+1,1))-AVERAGE(OFFSET($H$3,0,0,'Données projet'!$E$15+1,1))</f>
        <v>596.00698505207174</v>
      </c>
      <c r="EP133" s="58">
        <f t="shared" ref="EP133:EP196" si="154">$EP$3</f>
        <v>378.16197659288338</v>
      </c>
      <c r="EQ133" s="16">
        <f>IF(ISNA(VLOOKUP(A133,'Données projet'!$A$191:$I$211,3,0)),0,VLOOKUP(A133,'Données projet'!$A$191:$I$211,3,0))</f>
        <v>12</v>
      </c>
      <c r="ER133" s="16">
        <f>IF(ISNA(VLOOKUP(A133,'Données projet'!$A$191:$I$211,4,0)),0,VLOOKUP(A133,'Données projet'!$A$191:$I$211,4,0))</f>
        <v>408.97435897435895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2.2737367544323206E-13</v>
      </c>
      <c r="FF133" s="18">
        <f>FE133*VLOOKUP('Données projet'!$B$16,Paramètres!$A$1:$I$89,3,0)*VLOOKUP('Données projet'!$B$16,Paramètres!$A$1:$I$89,5,0)</f>
        <v>1.064108801074326E-13</v>
      </c>
      <c r="FG133" s="14">
        <f t="shared" ref="FG133:FG153" si="155">EXP(-1.0587+0.8836*LN(FF133)+0.284)</f>
        <v>1.5870730813698654E-12</v>
      </c>
      <c r="FH133" s="22">
        <f t="shared" si="130"/>
        <v>2.9494845662396269E-12</v>
      </c>
      <c r="FI133" s="58">
        <f t="shared" si="131"/>
        <v>293.33333333333627</v>
      </c>
      <c r="FJ133" s="58">
        <f ca="1">AVERAGE(OFFSET($FI$3,0,0,'Données projet'!$E$16+1,1))-AVERAGE(OFFSET($H$3,0,0,'Données projet'!$E$16+1,1))</f>
        <v>294.31042006404056</v>
      </c>
      <c r="FK133" s="58">
        <f t="shared" ref="FK133:FK196" si="156">$FK$3</f>
        <v>260.93767498478502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2.8421709430404007E-13</v>
      </c>
      <c r="GA133" s="18">
        <f>FZ133*VLOOKUP('Données projet'!$B$17,Paramètres!$A$1:$I$89,3,0)*VLOOKUP('Données projet'!$B$17,Paramètres!$A$1:$I$89,5,0)</f>
        <v>1.9065282685915009E-13</v>
      </c>
      <c r="GB133" s="14">
        <f t="shared" ref="GB133:GB153" si="157">EXP(-1.0587+0.8836*LN(GA133)+0.284)</f>
        <v>2.6568987209435707E-12</v>
      </c>
      <c r="GC133" s="22">
        <f t="shared" si="133"/>
        <v>4.959485612423072E-12</v>
      </c>
      <c r="GD133" s="58">
        <f t="shared" si="134"/>
        <v>293.33333333333826</v>
      </c>
      <c r="GE133" s="58">
        <f ca="1">AVERAGE(OFFSET($GD$3,0,0,'Données projet'!$E$17+1,1))-AVERAGE(OFFSET($H$3,0,0,'Données projet'!$E$17+1,1))</f>
        <v>362.1372269575329</v>
      </c>
      <c r="GF133" s="58">
        <f t="shared" ref="GF133:GF196" si="158">$GF$3</f>
        <v>308.1559670593121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58" t="e">
        <f t="shared" si="137"/>
        <v>#N/A</v>
      </c>
      <c r="GZ133" s="58" t="e">
        <f ca="1">AVERAGE(OFFSET($GY$3,0,0,'Données projet'!$E$18+1,1))-AVERAGE(OFFSET($H$3,0,0,'Données projet'!$E$18+1,1))</f>
        <v>#N/A</v>
      </c>
      <c r="HA133" s="58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0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3">
        <f t="shared" si="110"/>
        <v>256.66666666666669</v>
      </c>
      <c r="I134" s="6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3.0666666666666669</v>
      </c>
      <c r="N134" s="14">
        <f>IF('Données projet'!$A$36&gt;35,N133+M134-V133,IF(A134&lt;'Données projet'!$A$36,$K$205^A134,IF(A134='Données projet'!$A$36,'Données projet'!$B$36,N133+M134-V133)))</f>
        <v>301.73333333333346</v>
      </c>
      <c r="O134" s="14">
        <f>N134*VLOOKUP('Données projet'!$B$9,Paramètres!$A$1:$I$89,3,0)*VLOOKUP('Données projet'!$B$9,Paramètres!$A$1:$I$89,5,0)</f>
        <v>305.95760000000013</v>
      </c>
      <c r="P134" s="14">
        <f t="shared" si="141"/>
        <v>72.423972331490134</v>
      </c>
      <c r="Q134" s="22">
        <f t="shared" si="108"/>
        <v>659.01457181067883</v>
      </c>
      <c r="R134" s="58">
        <f t="shared" si="109"/>
        <v>952.3479051440122</v>
      </c>
      <c r="S134" s="58">
        <f ca="1">AVERAGE(OFFSET($R$3,0,0,'Données projet'!$E$9+1,1))-AVERAGE(OFFSET($H$3,0,0,'Données projet'!$E$9+1,1))</f>
        <v>483.15009705023641</v>
      </c>
      <c r="T134" s="58">
        <f t="shared" si="142"/>
        <v>254.25036207346591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3.0666666666666669</v>
      </c>
      <c r="AI134" s="14">
        <f>IF('Données projet'!$A$62&gt;35,AI133+AH134-AQ133,IF(A134&lt;'Données projet'!$A$62,$AF$205^A134,IF(A134='Données projet'!$A$62,'Données projet'!$B$62,AI133+AH134-AQ133)))</f>
        <v>301.73333333333346</v>
      </c>
      <c r="AJ134" s="14">
        <f>AI134*VLOOKUP('Données projet'!$B$10,Paramètres!$A$1:$I$89,3,0)*VLOOKUP('Données projet'!$B$10,Paramètres!$A$1:$I$89,5,0)</f>
        <v>273.00832000000008</v>
      </c>
      <c r="AK134" s="14">
        <f t="shared" si="143"/>
        <v>65.487298419481604</v>
      </c>
      <c r="AL134" s="22">
        <f t="shared" si="112"/>
        <v>589.54653541393054</v>
      </c>
      <c r="AM134" s="58">
        <f t="shared" si="113"/>
        <v>882.8798687472638</v>
      </c>
      <c r="AN134" s="58">
        <f ca="1">AVERAGE(OFFSET($AM$3,0,0,'Données projet'!$E$10+1,1))-AVERAGE(OFFSET($H$3,0,0,'Données projet'!$E$10+1,1))</f>
        <v>435.7095890216213</v>
      </c>
      <c r="AO134" s="58">
        <f t="shared" si="144"/>
        <v>231.36959598460686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-4.9658410716801891E-14</v>
      </c>
      <c r="BF134" s="14" t="e">
        <f t="shared" si="145"/>
        <v>#NUM!</v>
      </c>
      <c r="BG134" s="22" t="e">
        <f t="shared" si="115"/>
        <v>#NUM!</v>
      </c>
      <c r="BH134" s="58" t="e">
        <f t="shared" si="116"/>
        <v>#NUM!</v>
      </c>
      <c r="BI134" s="58">
        <f ca="1">AVERAGE(OFFSET($BH$3,0,0,'Données projet'!$E$11+1,1))-AVERAGE(OFFSET($H$3,0,0,'Données projet'!$E$11+1,1))</f>
        <v>218.76424742311815</v>
      </c>
      <c r="BJ134" s="58">
        <f t="shared" si="146"/>
        <v>264.34598683038593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0.31695653189079998</v>
      </c>
      <c r="BQ134" s="23">
        <f>EXP(-LN(2)/25)*BQ133+(1-EXP(-LN(2)/25))/(LN(2)/25)*Calculateur!BL134*Calculateur!BN134*VLOOKUP('Données projet'!$B$11,Paramètres!$A$1:$I$89,3,0)*0.475*44/12</f>
        <v>0.26532683513289701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0.58228336702369698</v>
      </c>
      <c r="BT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</v>
      </c>
      <c r="BY134" s="13">
        <f>IF('Données projet'!$A$114&gt;35,BY133+BX134-CG133,IF(A134&lt;'Données projet'!$A$114,$BV$205^A134,IF(A134='Données projet'!$A$114,'Données projet'!$B$114,BY133+BX134-CG133)))</f>
        <v>221.00000000000011</v>
      </c>
      <c r="BZ134" s="14">
        <f>BY134*VLOOKUP('Données projet'!$B$12,Paramètres!$A$1:$I$89,3,0)*VLOOKUP('Données projet'!$B$12,Paramètres!$A$1:$I$89,5,0)</f>
        <v>213.75120000000013</v>
      </c>
      <c r="CA134" s="14">
        <f t="shared" si="147"/>
        <v>52.75447068116425</v>
      </c>
      <c r="CB134" s="22">
        <f t="shared" si="118"/>
        <v>464.16404310302795</v>
      </c>
      <c r="CC134" s="58">
        <f t="shared" si="119"/>
        <v>757.49737643636126</v>
      </c>
      <c r="CD134" s="58">
        <f ca="1">AVERAGE(OFFSET($CC$3,0,0,'Données projet'!$E$12+1,1))-AVERAGE(OFFSET($H$3,0,0,'Données projet'!$E$12+1,1))</f>
        <v>343.86347628565426</v>
      </c>
      <c r="CE134" s="58">
        <f t="shared" si="148"/>
        <v>129.28196646107097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58" t="e">
        <f t="shared" si="122"/>
        <v>#N/A</v>
      </c>
      <c r="CY134" s="58" t="e">
        <f ca="1">AVERAGE(OFFSET($CX$3,0,0,'Données projet'!$E$13+1,1))-AVERAGE(OFFSET($H$3,0,0,'Données projet'!$E$13+1,1))</f>
        <v>#N/A</v>
      </c>
      <c r="CZ134" s="58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5.4092197387944907E-14</v>
      </c>
      <c r="DQ134" s="14">
        <f t="shared" si="151"/>
        <v>8.7287050538073676E-13</v>
      </c>
      <c r="DR134" s="22">
        <f t="shared" si="124"/>
        <v>1.6144600406554537E-12</v>
      </c>
      <c r="DS134" s="58">
        <f t="shared" si="125"/>
        <v>293.33333333333491</v>
      </c>
      <c r="DT134" s="58">
        <f ca="1">AVERAGE(OFFSET($DS$3,0,0,'Données projet'!$E$14+1,1))-AVERAGE(OFFSET($H$3,0,0,'Données projet'!$E$14+1,1))</f>
        <v>332.49889399440514</v>
      </c>
      <c r="DU134" s="58">
        <f t="shared" si="152"/>
        <v>256.06044006790529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5.1159076974727213E-13</v>
      </c>
      <c r="EK134" s="18">
        <f>EJ134*VLOOKUP('Données projet'!$B$15,Paramètres!$A$1:$I$89,3,0)*VLOOKUP('Données projet'!$B$15,Paramètres!$A$1:$I$89,5,0)</f>
        <v>5.3471467253984886E-13</v>
      </c>
      <c r="EL134" s="14">
        <f t="shared" si="153"/>
        <v>6.6087717628803869E-12</v>
      </c>
      <c r="EM134" s="22">
        <f t="shared" si="127"/>
        <v>1.244157220835691E-11</v>
      </c>
      <c r="EN134" s="58">
        <f t="shared" si="128"/>
        <v>293.33333333334576</v>
      </c>
      <c r="EO134" s="58">
        <f ca="1">AVERAGE(OFFSET($EN$3,0,0,'Données projet'!$E$15+1,1))-AVERAGE(OFFSET($H$3,0,0,'Données projet'!$E$15+1,1))</f>
        <v>596.00698505207174</v>
      </c>
      <c r="EP134" s="58">
        <f t="shared" si="154"/>
        <v>378.16197659288338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2.2737367544323206E-13</v>
      </c>
      <c r="FF134" s="18">
        <f>FE134*VLOOKUP('Données projet'!$B$16,Paramètres!$A$1:$I$89,3,0)*VLOOKUP('Données projet'!$B$16,Paramètres!$A$1:$I$89,5,0)</f>
        <v>1.064108801074326E-13</v>
      </c>
      <c r="FG134" s="14">
        <f t="shared" si="155"/>
        <v>1.5870730813698654E-12</v>
      </c>
      <c r="FH134" s="22">
        <f t="shared" si="130"/>
        <v>2.9494845662396269E-12</v>
      </c>
      <c r="FI134" s="58">
        <f t="shared" si="131"/>
        <v>293.33333333333627</v>
      </c>
      <c r="FJ134" s="58">
        <f ca="1">AVERAGE(OFFSET($FI$3,0,0,'Données projet'!$E$16+1,1))-AVERAGE(OFFSET($H$3,0,0,'Données projet'!$E$16+1,1))</f>
        <v>294.31042006404056</v>
      </c>
      <c r="FK134" s="58">
        <f t="shared" si="156"/>
        <v>260.93767498478502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2.8421709430404007E-13</v>
      </c>
      <c r="GA134" s="18">
        <f>FZ134*VLOOKUP('Données projet'!$B$17,Paramètres!$A$1:$I$89,3,0)*VLOOKUP('Données projet'!$B$17,Paramètres!$A$1:$I$89,5,0)</f>
        <v>1.9065282685915009E-13</v>
      </c>
      <c r="GB134" s="14">
        <f t="shared" si="157"/>
        <v>2.6568987209435707E-12</v>
      </c>
      <c r="GC134" s="22">
        <f t="shared" si="133"/>
        <v>4.959485612423072E-12</v>
      </c>
      <c r="GD134" s="58">
        <f t="shared" si="134"/>
        <v>293.33333333333826</v>
      </c>
      <c r="GE134" s="58">
        <f ca="1">AVERAGE(OFFSET($GD$3,0,0,'Données projet'!$E$17+1,1))-AVERAGE(OFFSET($H$3,0,0,'Données projet'!$E$17+1,1))</f>
        <v>362.1372269575329</v>
      </c>
      <c r="GF134" s="58">
        <f t="shared" si="158"/>
        <v>308.1559670593121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58" t="e">
        <f t="shared" si="137"/>
        <v>#N/A</v>
      </c>
      <c r="GZ134" s="58" t="e">
        <f ca="1">AVERAGE(OFFSET($GY$3,0,0,'Données projet'!$E$18+1,1))-AVERAGE(OFFSET($H$3,0,0,'Données projet'!$E$18+1,1))</f>
        <v>#N/A</v>
      </c>
      <c r="HA134" s="58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0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3">
        <f t="shared" si="110"/>
        <v>256.66666666666669</v>
      </c>
      <c r="I135" s="6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3.0666666666666669</v>
      </c>
      <c r="N135" s="14">
        <f>IF('Données projet'!$A$36&gt;35,N134+M135-V134,IF(A135&lt;'Données projet'!$A$36,$K$205^A135,IF(A135='Données projet'!$A$36,'Données projet'!$B$36,N134+M135-V134)))</f>
        <v>304.80000000000013</v>
      </c>
      <c r="O135" s="14">
        <f>N135*VLOOKUP('Données projet'!$B$9,Paramètres!$A$1:$I$89,3,0)*VLOOKUP('Données projet'!$B$9,Paramètres!$A$1:$I$89,5,0)</f>
        <v>309.06720000000013</v>
      </c>
      <c r="P135" s="14">
        <f t="shared" si="141"/>
        <v>73.073990251564425</v>
      </c>
      <c r="Q135" s="22">
        <f t="shared" si="108"/>
        <v>665.56257302147492</v>
      </c>
      <c r="R135" s="58">
        <f t="shared" si="109"/>
        <v>958.89590635480818</v>
      </c>
      <c r="S135" s="58">
        <f ca="1">AVERAGE(OFFSET($R$3,0,0,'Données projet'!$E$9+1,1))-AVERAGE(OFFSET($H$3,0,0,'Données projet'!$E$9+1,1))</f>
        <v>483.15009705023641</v>
      </c>
      <c r="T135" s="58">
        <f t="shared" si="142"/>
        <v>254.25036207346591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3.0666666666666669</v>
      </c>
      <c r="AI135" s="14">
        <f>IF('Données projet'!$A$62&gt;35,AI134+AH135-AQ134,IF(A135&lt;'Données projet'!$A$62,$AF$205^A135,IF(A135='Données projet'!$A$62,'Données projet'!$B$62,AI134+AH135-AQ134)))</f>
        <v>304.80000000000013</v>
      </c>
      <c r="AJ135" s="14">
        <f>AI135*VLOOKUP('Données projet'!$B$10,Paramètres!$A$1:$I$89,3,0)*VLOOKUP('Données projet'!$B$10,Paramètres!$A$1:$I$89,5,0)</f>
        <v>275.78304000000009</v>
      </c>
      <c r="AK135" s="14">
        <f t="shared" si="143"/>
        <v>66.075058468254895</v>
      </c>
      <c r="AL135" s="22">
        <f t="shared" si="112"/>
        <v>595.40285483221066</v>
      </c>
      <c r="AM135" s="58">
        <f t="shared" si="113"/>
        <v>888.73618816554404</v>
      </c>
      <c r="AN135" s="58">
        <f ca="1">AVERAGE(OFFSET($AM$3,0,0,'Données projet'!$E$10+1,1))-AVERAGE(OFFSET($H$3,0,0,'Données projet'!$E$10+1,1))</f>
        <v>435.7095890216213</v>
      </c>
      <c r="AO135" s="58">
        <f t="shared" si="144"/>
        <v>231.36959598460686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-4.9658410716801891E-14</v>
      </c>
      <c r="BF135" s="14" t="e">
        <f t="shared" si="145"/>
        <v>#NUM!</v>
      </c>
      <c r="BG135" s="22" t="e">
        <f t="shared" si="115"/>
        <v>#NUM!</v>
      </c>
      <c r="BH135" s="58" t="e">
        <f t="shared" si="116"/>
        <v>#NUM!</v>
      </c>
      <c r="BI135" s="58">
        <f ca="1">AVERAGE(OFFSET($BH$3,0,0,'Données projet'!$E$11+1,1))-AVERAGE(OFFSET($H$3,0,0,'Données projet'!$E$11+1,1))</f>
        <v>218.76424742311815</v>
      </c>
      <c r="BJ135" s="58">
        <f t="shared" si="146"/>
        <v>264.34598683038593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0.31074120762481666</v>
      </c>
      <c r="BQ135" s="23">
        <f>EXP(-LN(2)/25)*BQ134+(1-EXP(-LN(2)/25))/(LN(2)/25)*Calculateur!BL135*Calculateur!BN135*VLOOKUP('Données projet'!$B$11,Paramètres!$A$1:$I$89,3,0)*0.475*44/12</f>
        <v>0.25807145887325611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0.56881266649807283</v>
      </c>
      <c r="BT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</v>
      </c>
      <c r="BY135" s="13">
        <f>IF('Données projet'!$A$114&gt;35,BY134+BX135-CG134,IF(A135&lt;'Données projet'!$A$114,$BV$205^A135,IF(A135='Données projet'!$A$114,'Données projet'!$B$114,BY134+BX135-CG134)))</f>
        <v>223.00000000000011</v>
      </c>
      <c r="BZ135" s="14">
        <f>BY135*VLOOKUP('Données projet'!$B$12,Paramètres!$A$1:$I$89,3,0)*VLOOKUP('Données projet'!$B$12,Paramètres!$A$1:$I$89,5,0)</f>
        <v>215.68560000000014</v>
      </c>
      <c r="CA135" s="14">
        <f t="shared" si="147"/>
        <v>53.176094040576729</v>
      </c>
      <c r="CB135" s="22">
        <f t="shared" si="118"/>
        <v>468.26745045400463</v>
      </c>
      <c r="CC135" s="58">
        <f t="shared" si="119"/>
        <v>761.60078378733795</v>
      </c>
      <c r="CD135" s="58">
        <f ca="1">AVERAGE(OFFSET($CC$3,0,0,'Données projet'!$E$12+1,1))-AVERAGE(OFFSET($H$3,0,0,'Données projet'!$E$12+1,1))</f>
        <v>343.86347628565426</v>
      </c>
      <c r="CE135" s="58">
        <f t="shared" si="148"/>
        <v>129.28196646107097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58" t="e">
        <f t="shared" si="122"/>
        <v>#N/A</v>
      </c>
      <c r="CY135" s="58" t="e">
        <f ca="1">AVERAGE(OFFSET($CX$3,0,0,'Données projet'!$E$13+1,1))-AVERAGE(OFFSET($H$3,0,0,'Données projet'!$E$13+1,1))</f>
        <v>#N/A</v>
      </c>
      <c r="CZ135" s="58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5.4092197387944907E-14</v>
      </c>
      <c r="DQ135" s="14">
        <f t="shared" si="151"/>
        <v>8.7287050538073676E-13</v>
      </c>
      <c r="DR135" s="22">
        <f t="shared" si="124"/>
        <v>1.6144600406554537E-12</v>
      </c>
      <c r="DS135" s="58">
        <f t="shared" si="125"/>
        <v>293.33333333333491</v>
      </c>
      <c r="DT135" s="58">
        <f ca="1">AVERAGE(OFFSET($DS$3,0,0,'Données projet'!$E$14+1,1))-AVERAGE(OFFSET($H$3,0,0,'Données projet'!$E$14+1,1))</f>
        <v>332.49889399440514</v>
      </c>
      <c r="DU135" s="58">
        <f t="shared" si="152"/>
        <v>256.06044006790529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5.1159076974727213E-13</v>
      </c>
      <c r="EK135" s="18">
        <f>EJ135*VLOOKUP('Données projet'!$B$15,Paramètres!$A$1:$I$89,3,0)*VLOOKUP('Données projet'!$B$15,Paramètres!$A$1:$I$89,5,0)</f>
        <v>5.3471467253984886E-13</v>
      </c>
      <c r="EL135" s="14">
        <f t="shared" si="153"/>
        <v>6.6087717628803869E-12</v>
      </c>
      <c r="EM135" s="22">
        <f t="shared" si="127"/>
        <v>1.244157220835691E-11</v>
      </c>
      <c r="EN135" s="58">
        <f t="shared" si="128"/>
        <v>293.33333333334576</v>
      </c>
      <c r="EO135" s="58">
        <f ca="1">AVERAGE(OFFSET($EN$3,0,0,'Données projet'!$E$15+1,1))-AVERAGE(OFFSET($H$3,0,0,'Données projet'!$E$15+1,1))</f>
        <v>596.00698505207174</v>
      </c>
      <c r="EP135" s="58">
        <f t="shared" si="154"/>
        <v>378.16197659288338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2.2737367544323206E-13</v>
      </c>
      <c r="FF135" s="18">
        <f>FE135*VLOOKUP('Données projet'!$B$16,Paramètres!$A$1:$I$89,3,0)*VLOOKUP('Données projet'!$B$16,Paramètres!$A$1:$I$89,5,0)</f>
        <v>1.064108801074326E-13</v>
      </c>
      <c r="FG135" s="14">
        <f t="shared" si="155"/>
        <v>1.5870730813698654E-12</v>
      </c>
      <c r="FH135" s="22">
        <f t="shared" si="130"/>
        <v>2.9494845662396269E-12</v>
      </c>
      <c r="FI135" s="58">
        <f t="shared" si="131"/>
        <v>293.33333333333627</v>
      </c>
      <c r="FJ135" s="58">
        <f ca="1">AVERAGE(OFFSET($FI$3,0,0,'Données projet'!$E$16+1,1))-AVERAGE(OFFSET($H$3,0,0,'Données projet'!$E$16+1,1))</f>
        <v>294.31042006404056</v>
      </c>
      <c r="FK135" s="58">
        <f t="shared" si="156"/>
        <v>260.93767498478502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2.8421709430404007E-13</v>
      </c>
      <c r="GA135" s="18">
        <f>FZ135*VLOOKUP('Données projet'!$B$17,Paramètres!$A$1:$I$89,3,0)*VLOOKUP('Données projet'!$B$17,Paramètres!$A$1:$I$89,5,0)</f>
        <v>1.9065282685915009E-13</v>
      </c>
      <c r="GB135" s="14">
        <f t="shared" si="157"/>
        <v>2.6568987209435707E-12</v>
      </c>
      <c r="GC135" s="22">
        <f t="shared" si="133"/>
        <v>4.959485612423072E-12</v>
      </c>
      <c r="GD135" s="58">
        <f t="shared" si="134"/>
        <v>293.33333333333826</v>
      </c>
      <c r="GE135" s="58">
        <f ca="1">AVERAGE(OFFSET($GD$3,0,0,'Données projet'!$E$17+1,1))-AVERAGE(OFFSET($H$3,0,0,'Données projet'!$E$17+1,1))</f>
        <v>362.1372269575329</v>
      </c>
      <c r="GF135" s="58">
        <f t="shared" si="158"/>
        <v>308.1559670593121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58" t="e">
        <f t="shared" si="137"/>
        <v>#N/A</v>
      </c>
      <c r="GZ135" s="58" t="e">
        <f ca="1">AVERAGE(OFFSET($GY$3,0,0,'Données projet'!$E$18+1,1))-AVERAGE(OFFSET($H$3,0,0,'Données projet'!$E$18+1,1))</f>
        <v>#N/A</v>
      </c>
      <c r="HA135" s="58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0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3">
        <f t="shared" si="110"/>
        <v>256.66666666666669</v>
      </c>
      <c r="I136" s="6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3.0666666666666669</v>
      </c>
      <c r="N136" s="14">
        <f>IF('Données projet'!$A$36&gt;35,N135+M136-V135,IF(A136&lt;'Données projet'!$A$36,$K$205^A136,IF(A136='Données projet'!$A$36,'Données projet'!$B$36,N135+M136-V135)))</f>
        <v>307.86666666666679</v>
      </c>
      <c r="O136" s="14">
        <f>N136*VLOOKUP('Données projet'!$B$9,Paramètres!$A$1:$I$89,3,0)*VLOOKUP('Données projet'!$B$9,Paramètres!$A$1:$I$89,5,0)</f>
        <v>312.17680000000018</v>
      </c>
      <c r="P136" s="14">
        <f t="shared" si="141"/>
        <v>73.723247349070078</v>
      </c>
      <c r="Q136" s="22">
        <f t="shared" si="108"/>
        <v>672.10924913296401</v>
      </c>
      <c r="R136" s="58">
        <f t="shared" si="109"/>
        <v>965.44258246629738</v>
      </c>
      <c r="S136" s="58">
        <f ca="1">AVERAGE(OFFSET($R$3,0,0,'Données projet'!$E$9+1,1))-AVERAGE(OFFSET($H$3,0,0,'Données projet'!$E$9+1,1))</f>
        <v>483.15009705023641</v>
      </c>
      <c r="T136" s="58">
        <f t="shared" si="142"/>
        <v>254.25036207346591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3.0666666666666669</v>
      </c>
      <c r="AI136" s="14">
        <f>IF('Données projet'!$A$62&gt;35,AI135+AH136-AQ135,IF(A136&lt;'Données projet'!$A$62,$AF$205^A136,IF(A136='Données projet'!$A$62,'Données projet'!$B$62,AI135+AH136-AQ135)))</f>
        <v>307.86666666666679</v>
      </c>
      <c r="AJ136" s="14">
        <f>AI136*VLOOKUP('Données projet'!$B$10,Paramètres!$A$1:$I$89,3,0)*VLOOKUP('Données projet'!$B$10,Paramètres!$A$1:$I$89,5,0)</f>
        <v>278.55776000000009</v>
      </c>
      <c r="AK136" s="14">
        <f t="shared" si="143"/>
        <v>66.662130565056131</v>
      </c>
      <c r="AL136" s="22">
        <f t="shared" si="112"/>
        <v>601.2579760674729</v>
      </c>
      <c r="AM136" s="58">
        <f t="shared" si="113"/>
        <v>894.59130940080627</v>
      </c>
      <c r="AN136" s="58">
        <f ca="1">AVERAGE(OFFSET($AM$3,0,0,'Données projet'!$E$10+1,1))-AVERAGE(OFFSET($H$3,0,0,'Données projet'!$E$10+1,1))</f>
        <v>435.7095890216213</v>
      </c>
      <c r="AO136" s="58">
        <f t="shared" si="144"/>
        <v>231.36959598460686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-4.9658410716801891E-14</v>
      </c>
      <c r="BF136" s="14" t="e">
        <f t="shared" si="145"/>
        <v>#NUM!</v>
      </c>
      <c r="BG136" s="22" t="e">
        <f t="shared" si="115"/>
        <v>#NUM!</v>
      </c>
      <c r="BH136" s="58" t="e">
        <f t="shared" si="116"/>
        <v>#NUM!</v>
      </c>
      <c r="BI136" s="58">
        <f ca="1">AVERAGE(OFFSET($BH$3,0,0,'Données projet'!$E$11+1,1))-AVERAGE(OFFSET($H$3,0,0,'Données projet'!$E$11+1,1))</f>
        <v>218.76424742311815</v>
      </c>
      <c r="BJ136" s="58">
        <f t="shared" si="146"/>
        <v>264.34598683038593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0.30464776207671579</v>
      </c>
      <c r="BQ136" s="23">
        <f>EXP(-LN(2)/25)*BQ135+(1-EXP(-LN(2)/25))/(LN(2)/25)*Calculateur!BL136*Calculateur!BN136*VLOOKUP('Données projet'!$B$11,Paramètres!$A$1:$I$89,3,0)*0.475*44/12</f>
        <v>0.25101448125897874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0.55566224333569458</v>
      </c>
      <c r="BT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</v>
      </c>
      <c r="BY136" s="13">
        <f>IF('Données projet'!$A$114&gt;35,BY135+BX136-CG135,IF(A136&lt;'Données projet'!$A$114,$BV$205^A136,IF(A136='Données projet'!$A$114,'Données projet'!$B$114,BY135+BX136-CG135)))</f>
        <v>225.00000000000011</v>
      </c>
      <c r="BZ136" s="14">
        <f>BY136*VLOOKUP('Données projet'!$B$12,Paramètres!$A$1:$I$89,3,0)*VLOOKUP('Données projet'!$B$12,Paramètres!$A$1:$I$89,5,0)</f>
        <v>217.62000000000009</v>
      </c>
      <c r="CA136" s="14">
        <f t="shared" si="147"/>
        <v>53.597277471320098</v>
      </c>
      <c r="CB136" s="22">
        <f t="shared" si="118"/>
        <v>472.37009159588268</v>
      </c>
      <c r="CC136" s="58">
        <f t="shared" si="119"/>
        <v>765.703424929216</v>
      </c>
      <c r="CD136" s="58">
        <f ca="1">AVERAGE(OFFSET($CC$3,0,0,'Données projet'!$E$12+1,1))-AVERAGE(OFFSET($H$3,0,0,'Données projet'!$E$12+1,1))</f>
        <v>343.86347628565426</v>
      </c>
      <c r="CE136" s="58">
        <f t="shared" si="148"/>
        <v>129.28196646107097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58" t="e">
        <f t="shared" si="122"/>
        <v>#N/A</v>
      </c>
      <c r="CY136" s="58" t="e">
        <f ca="1">AVERAGE(OFFSET($CX$3,0,0,'Données projet'!$E$13+1,1))-AVERAGE(OFFSET($H$3,0,0,'Données projet'!$E$13+1,1))</f>
        <v>#N/A</v>
      </c>
      <c r="CZ136" s="58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5.4092197387944907E-14</v>
      </c>
      <c r="DQ136" s="14">
        <f t="shared" si="151"/>
        <v>8.7287050538073676E-13</v>
      </c>
      <c r="DR136" s="22">
        <f t="shared" si="124"/>
        <v>1.6144600406554537E-12</v>
      </c>
      <c r="DS136" s="58">
        <f t="shared" si="125"/>
        <v>293.33333333333491</v>
      </c>
      <c r="DT136" s="58">
        <f ca="1">AVERAGE(OFFSET($DS$3,0,0,'Données projet'!$E$14+1,1))-AVERAGE(OFFSET($H$3,0,0,'Données projet'!$E$14+1,1))</f>
        <v>332.49889399440514</v>
      </c>
      <c r="DU136" s="58">
        <f t="shared" si="152"/>
        <v>256.06044006790529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5.1159076974727213E-13</v>
      </c>
      <c r="EK136" s="18">
        <f>EJ136*VLOOKUP('Données projet'!$B$15,Paramètres!$A$1:$I$89,3,0)*VLOOKUP('Données projet'!$B$15,Paramètres!$A$1:$I$89,5,0)</f>
        <v>5.3471467253984886E-13</v>
      </c>
      <c r="EL136" s="14">
        <f t="shared" si="153"/>
        <v>6.6087717628803869E-12</v>
      </c>
      <c r="EM136" s="22">
        <f t="shared" si="127"/>
        <v>1.244157220835691E-11</v>
      </c>
      <c r="EN136" s="58">
        <f t="shared" si="128"/>
        <v>293.33333333334576</v>
      </c>
      <c r="EO136" s="58">
        <f ca="1">AVERAGE(OFFSET($EN$3,0,0,'Données projet'!$E$15+1,1))-AVERAGE(OFFSET($H$3,0,0,'Données projet'!$E$15+1,1))</f>
        <v>596.00698505207174</v>
      </c>
      <c r="EP136" s="58">
        <f t="shared" si="154"/>
        <v>378.16197659288338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2.2737367544323206E-13</v>
      </c>
      <c r="FF136" s="18">
        <f>FE136*VLOOKUP('Données projet'!$B$16,Paramètres!$A$1:$I$89,3,0)*VLOOKUP('Données projet'!$B$16,Paramètres!$A$1:$I$89,5,0)</f>
        <v>1.064108801074326E-13</v>
      </c>
      <c r="FG136" s="14">
        <f t="shared" si="155"/>
        <v>1.5870730813698654E-12</v>
      </c>
      <c r="FH136" s="22">
        <f t="shared" si="130"/>
        <v>2.9494845662396269E-12</v>
      </c>
      <c r="FI136" s="58">
        <f t="shared" si="131"/>
        <v>293.33333333333627</v>
      </c>
      <c r="FJ136" s="58">
        <f ca="1">AVERAGE(OFFSET($FI$3,0,0,'Données projet'!$E$16+1,1))-AVERAGE(OFFSET($H$3,0,0,'Données projet'!$E$16+1,1))</f>
        <v>294.31042006404056</v>
      </c>
      <c r="FK136" s="58">
        <f t="shared" si="156"/>
        <v>260.93767498478502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2.8421709430404007E-13</v>
      </c>
      <c r="GA136" s="18">
        <f>FZ136*VLOOKUP('Données projet'!$B$17,Paramètres!$A$1:$I$89,3,0)*VLOOKUP('Données projet'!$B$17,Paramètres!$A$1:$I$89,5,0)</f>
        <v>1.9065282685915009E-13</v>
      </c>
      <c r="GB136" s="14">
        <f t="shared" si="157"/>
        <v>2.6568987209435707E-12</v>
      </c>
      <c r="GC136" s="22">
        <f t="shared" si="133"/>
        <v>4.959485612423072E-12</v>
      </c>
      <c r="GD136" s="58">
        <f t="shared" si="134"/>
        <v>293.33333333333826</v>
      </c>
      <c r="GE136" s="58">
        <f ca="1">AVERAGE(OFFSET($GD$3,0,0,'Données projet'!$E$17+1,1))-AVERAGE(OFFSET($H$3,0,0,'Données projet'!$E$17+1,1))</f>
        <v>362.1372269575329</v>
      </c>
      <c r="GF136" s="58">
        <f t="shared" si="158"/>
        <v>308.1559670593121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58" t="e">
        <f t="shared" si="137"/>
        <v>#N/A</v>
      </c>
      <c r="GZ136" s="58" t="e">
        <f ca="1">AVERAGE(OFFSET($GY$3,0,0,'Données projet'!$E$18+1,1))-AVERAGE(OFFSET($H$3,0,0,'Données projet'!$E$18+1,1))</f>
        <v>#N/A</v>
      </c>
      <c r="HA136" s="58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0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3">
        <f t="shared" si="110"/>
        <v>256.66666666666669</v>
      </c>
      <c r="I137" s="6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3.0666666666666669</v>
      </c>
      <c r="N137" s="14">
        <f>IF('Données projet'!$A$36&gt;35,N136+M137-V136,IF(A137&lt;'Données projet'!$A$36,$K$205^A137,IF(A137='Données projet'!$A$36,'Données projet'!$B$36,N136+M137-V136)))</f>
        <v>310.93333333333345</v>
      </c>
      <c r="O137" s="14">
        <f>N137*VLOOKUP('Données projet'!$B$9,Paramètres!$A$1:$I$89,3,0)*VLOOKUP('Données projet'!$B$9,Paramètres!$A$1:$I$89,5,0)</f>
        <v>315.28640000000013</v>
      </c>
      <c r="P137" s="14">
        <f t="shared" si="141"/>
        <v>74.371752080101047</v>
      </c>
      <c r="Q137" s="22">
        <f t="shared" si="108"/>
        <v>678.6546148728429</v>
      </c>
      <c r="R137" s="58">
        <f t="shared" si="109"/>
        <v>971.98794820617627</v>
      </c>
      <c r="S137" s="58">
        <f ca="1">AVERAGE(OFFSET($R$3,0,0,'Données projet'!$E$9+1,1))-AVERAGE(OFFSET($H$3,0,0,'Données projet'!$E$9+1,1))</f>
        <v>483.15009705023641</v>
      </c>
      <c r="T137" s="58">
        <f t="shared" si="142"/>
        <v>254.25036207346591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3.0666666666666669</v>
      </c>
      <c r="AI137" s="14">
        <f>IF('Données projet'!$A$62&gt;35,AI136+AH137-AQ136,IF(A137&lt;'Données projet'!$A$62,$AF$205^A137,IF(A137='Données projet'!$A$62,'Données projet'!$B$62,AI136+AH137-AQ136)))</f>
        <v>310.93333333333345</v>
      </c>
      <c r="AJ137" s="14">
        <f>AI137*VLOOKUP('Données projet'!$B$10,Paramètres!$A$1:$I$89,3,0)*VLOOKUP('Données projet'!$B$10,Paramètres!$A$1:$I$89,5,0)</f>
        <v>281.33248000000009</v>
      </c>
      <c r="AK137" s="14">
        <f t="shared" si="143"/>
        <v>67.248522356065436</v>
      </c>
      <c r="AL137" s="22">
        <f t="shared" si="112"/>
        <v>607.11191243681412</v>
      </c>
      <c r="AM137" s="58">
        <f t="shared" si="113"/>
        <v>900.44524577014749</v>
      </c>
      <c r="AN137" s="58">
        <f ca="1">AVERAGE(OFFSET($AM$3,0,0,'Données projet'!$E$10+1,1))-AVERAGE(OFFSET($H$3,0,0,'Données projet'!$E$10+1,1))</f>
        <v>435.7095890216213</v>
      </c>
      <c r="AO137" s="58">
        <f t="shared" si="144"/>
        <v>231.36959598460686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-4.9658410716801891E-14</v>
      </c>
      <c r="BF137" s="14" t="e">
        <f t="shared" si="145"/>
        <v>#NUM!</v>
      </c>
      <c r="BG137" s="22" t="e">
        <f t="shared" si="115"/>
        <v>#NUM!</v>
      </c>
      <c r="BH137" s="58" t="e">
        <f t="shared" si="116"/>
        <v>#NUM!</v>
      </c>
      <c r="BI137" s="58">
        <f ca="1">AVERAGE(OFFSET($BH$3,0,0,'Données projet'!$E$11+1,1))-AVERAGE(OFFSET($H$3,0,0,'Données projet'!$E$11+1,1))</f>
        <v>218.76424742311815</v>
      </c>
      <c r="BJ137" s="58">
        <f t="shared" si="146"/>
        <v>264.34598683038593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0.29867380527917836</v>
      </c>
      <c r="BQ137" s="23">
        <f>EXP(-LN(2)/25)*BQ136+(1-EXP(-LN(2)/25))/(LN(2)/25)*Calculateur!BL137*Calculateur!BN137*VLOOKUP('Données projet'!$B$11,Paramètres!$A$1:$I$89,3,0)*0.475*44/12</f>
        <v>0.2441504770686741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0.5428242823478524</v>
      </c>
      <c r="BT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</v>
      </c>
      <c r="BY137" s="13">
        <f>IF('Données projet'!$A$114&gt;35,BY136+BX137-CG136,IF(A137&lt;'Données projet'!$A$114,$BV$205^A137,IF(A137='Données projet'!$A$114,'Données projet'!$B$114,BY136+BX137-CG136)))</f>
        <v>227.00000000000011</v>
      </c>
      <c r="BZ137" s="14">
        <f>BY137*VLOOKUP('Données projet'!$B$12,Paramètres!$A$1:$I$89,3,0)*VLOOKUP('Données projet'!$B$12,Paramètres!$A$1:$I$89,5,0)</f>
        <v>219.5544000000001</v>
      </c>
      <c r="CA137" s="14">
        <f t="shared" si="147"/>
        <v>54.018025336908551</v>
      </c>
      <c r="CB137" s="22">
        <f t="shared" si="118"/>
        <v>476.47197412844918</v>
      </c>
      <c r="CC137" s="58">
        <f t="shared" si="119"/>
        <v>769.80530746178249</v>
      </c>
      <c r="CD137" s="58">
        <f ca="1">AVERAGE(OFFSET($CC$3,0,0,'Données projet'!$E$12+1,1))-AVERAGE(OFFSET($H$3,0,0,'Données projet'!$E$12+1,1))</f>
        <v>343.86347628565426</v>
      </c>
      <c r="CE137" s="58">
        <f t="shared" si="148"/>
        <v>129.28196646107097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58" t="e">
        <f t="shared" si="122"/>
        <v>#N/A</v>
      </c>
      <c r="CY137" s="58" t="e">
        <f ca="1">AVERAGE(OFFSET($CX$3,0,0,'Données projet'!$E$13+1,1))-AVERAGE(OFFSET($H$3,0,0,'Données projet'!$E$13+1,1))</f>
        <v>#N/A</v>
      </c>
      <c r="CZ137" s="58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5.4092197387944907E-14</v>
      </c>
      <c r="DQ137" s="14">
        <f t="shared" si="151"/>
        <v>8.7287050538073676E-13</v>
      </c>
      <c r="DR137" s="22">
        <f t="shared" si="124"/>
        <v>1.6144600406554537E-12</v>
      </c>
      <c r="DS137" s="58">
        <f t="shared" si="125"/>
        <v>293.33333333333491</v>
      </c>
      <c r="DT137" s="58">
        <f ca="1">AVERAGE(OFFSET($DS$3,0,0,'Données projet'!$E$14+1,1))-AVERAGE(OFFSET($H$3,0,0,'Données projet'!$E$14+1,1))</f>
        <v>332.49889399440514</v>
      </c>
      <c r="DU137" s="58">
        <f t="shared" si="152"/>
        <v>256.06044006790529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5.1159076974727213E-13</v>
      </c>
      <c r="EK137" s="18">
        <f>EJ137*VLOOKUP('Données projet'!$B$15,Paramètres!$A$1:$I$89,3,0)*VLOOKUP('Données projet'!$B$15,Paramètres!$A$1:$I$89,5,0)</f>
        <v>5.3471467253984886E-13</v>
      </c>
      <c r="EL137" s="14">
        <f t="shared" si="153"/>
        <v>6.6087717628803869E-12</v>
      </c>
      <c r="EM137" s="22">
        <f t="shared" si="127"/>
        <v>1.244157220835691E-11</v>
      </c>
      <c r="EN137" s="58">
        <f t="shared" si="128"/>
        <v>293.33333333334576</v>
      </c>
      <c r="EO137" s="58">
        <f ca="1">AVERAGE(OFFSET($EN$3,0,0,'Données projet'!$E$15+1,1))-AVERAGE(OFFSET($H$3,0,0,'Données projet'!$E$15+1,1))</f>
        <v>596.00698505207174</v>
      </c>
      <c r="EP137" s="58">
        <f t="shared" si="154"/>
        <v>378.16197659288338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2.2737367544323206E-13</v>
      </c>
      <c r="FF137" s="18">
        <f>FE137*VLOOKUP('Données projet'!$B$16,Paramètres!$A$1:$I$89,3,0)*VLOOKUP('Données projet'!$B$16,Paramètres!$A$1:$I$89,5,0)</f>
        <v>1.064108801074326E-13</v>
      </c>
      <c r="FG137" s="14">
        <f t="shared" si="155"/>
        <v>1.5870730813698654E-12</v>
      </c>
      <c r="FH137" s="22">
        <f t="shared" si="130"/>
        <v>2.9494845662396269E-12</v>
      </c>
      <c r="FI137" s="58">
        <f t="shared" si="131"/>
        <v>293.33333333333627</v>
      </c>
      <c r="FJ137" s="58">
        <f ca="1">AVERAGE(OFFSET($FI$3,0,0,'Données projet'!$E$16+1,1))-AVERAGE(OFFSET($H$3,0,0,'Données projet'!$E$16+1,1))</f>
        <v>294.31042006404056</v>
      </c>
      <c r="FK137" s="58">
        <f t="shared" si="156"/>
        <v>260.93767498478502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2.8421709430404007E-13</v>
      </c>
      <c r="GA137" s="18">
        <f>FZ137*VLOOKUP('Données projet'!$B$17,Paramètres!$A$1:$I$89,3,0)*VLOOKUP('Données projet'!$B$17,Paramètres!$A$1:$I$89,5,0)</f>
        <v>1.9065282685915009E-13</v>
      </c>
      <c r="GB137" s="14">
        <f t="shared" si="157"/>
        <v>2.6568987209435707E-12</v>
      </c>
      <c r="GC137" s="22">
        <f t="shared" si="133"/>
        <v>4.959485612423072E-12</v>
      </c>
      <c r="GD137" s="58">
        <f t="shared" si="134"/>
        <v>293.33333333333826</v>
      </c>
      <c r="GE137" s="58">
        <f ca="1">AVERAGE(OFFSET($GD$3,0,0,'Données projet'!$E$17+1,1))-AVERAGE(OFFSET($H$3,0,0,'Données projet'!$E$17+1,1))</f>
        <v>362.1372269575329</v>
      </c>
      <c r="GF137" s="58">
        <f t="shared" si="158"/>
        <v>308.1559670593121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58" t="e">
        <f t="shared" si="137"/>
        <v>#N/A</v>
      </c>
      <c r="GZ137" s="58" t="e">
        <f ca="1">AVERAGE(OFFSET($GY$3,0,0,'Données projet'!$E$18+1,1))-AVERAGE(OFFSET($H$3,0,0,'Données projet'!$E$18+1,1))</f>
        <v>#N/A</v>
      </c>
      <c r="HA137" s="58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0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3">
        <f t="shared" si="110"/>
        <v>256.66666666666669</v>
      </c>
      <c r="I138" s="6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314</v>
      </c>
      <c r="L138" s="13">
        <f>VLOOKUP(A138,'Données projet'!$A$35:$I$55,9,0)</f>
        <v>3.0666666666666669</v>
      </c>
      <c r="M138" s="13">
        <f t="array" ref="M138">INDEX(L:L,MIN(IF(ISNUMBER(L138:L334),ROW(L138:L334),"")))</f>
        <v>3.0666666666666669</v>
      </c>
      <c r="N138" s="14">
        <f>IF('Données projet'!$A$36&gt;35,N137+M138-V137,IF(A138&lt;'Données projet'!$A$36,$K$205^A138,IF(A138='Données projet'!$A$36,'Données projet'!$B$36,N137+M138-V137)))</f>
        <v>314.00000000000011</v>
      </c>
      <c r="O138" s="14">
        <f>N138*VLOOKUP('Données projet'!$B$9,Paramètres!$A$1:$I$89,3,0)*VLOOKUP('Données projet'!$B$9,Paramètres!$A$1:$I$89,5,0)</f>
        <v>318.39600000000013</v>
      </c>
      <c r="P138" s="14">
        <f t="shared" si="141"/>
        <v>75.019512724335002</v>
      </c>
      <c r="Q138" s="22">
        <f t="shared" si="108"/>
        <v>685.19868466155037</v>
      </c>
      <c r="R138" s="58">
        <f t="shared" si="109"/>
        <v>978.53201799488374</v>
      </c>
      <c r="S138" s="58">
        <f ca="1">AVERAGE(OFFSET($R$3,0,0,'Données projet'!$E$9+1,1))-AVERAGE(OFFSET($H$3,0,0,'Données projet'!$E$9+1,1))</f>
        <v>483.15009705023641</v>
      </c>
      <c r="T138" s="58">
        <f t="shared" si="142"/>
        <v>254.25036207346591</v>
      </c>
      <c r="U138" s="16">
        <f>IF(ISNA(VLOOKUP(A138,'Données projet'!$A$35:$I$55,3,0)),0,VLOOKUP(A138,'Données projet'!$A$35:$I$55,3,0))</f>
        <v>10</v>
      </c>
      <c r="V138" s="16">
        <f>IF(ISNA(VLOOKUP(A138,'Données projet'!$A$35:$I$55,4,0)),0,VLOOKUP(A138,'Données projet'!$A$35:$I$55,4,0))</f>
        <v>45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314</v>
      </c>
      <c r="AG138" s="13">
        <f>VLOOKUP(A138,'Données projet'!$A$61:$I$81,9,0)</f>
        <v>3.0666666666666669</v>
      </c>
      <c r="AH138" s="13">
        <f t="array" ref="AH138">INDEX(AG:AG,MIN(IF(ISNUMBER(AG138:AG334),ROW(AG138:AG334),"")))</f>
        <v>3.0666666666666669</v>
      </c>
      <c r="AI138" s="14">
        <f>IF('Données projet'!$A$62&gt;35,AI137+AH138-AQ137,IF(A138&lt;'Données projet'!$A$62,$AF$205^A138,IF(A138='Données projet'!$A$62,'Données projet'!$B$62,AI137+AH138-AQ137)))</f>
        <v>314.00000000000011</v>
      </c>
      <c r="AJ138" s="14">
        <f>AI138*VLOOKUP('Données projet'!$B$10,Paramètres!$A$1:$I$89,3,0)*VLOOKUP('Données projet'!$B$10,Paramètres!$A$1:$I$89,5,0)</f>
        <v>284.10720000000009</v>
      </c>
      <c r="AK138" s="14">
        <f t="shared" si="143"/>
        <v>67.834241327943772</v>
      </c>
      <c r="AL138" s="22">
        <f t="shared" si="112"/>
        <v>612.96467697950209</v>
      </c>
      <c r="AM138" s="58">
        <f t="shared" si="113"/>
        <v>906.29801031283546</v>
      </c>
      <c r="AN138" s="58">
        <f ca="1">AVERAGE(OFFSET($AM$3,0,0,'Données projet'!$E$10+1,1))-AVERAGE(OFFSET($H$3,0,0,'Données projet'!$E$10+1,1))</f>
        <v>435.7095890216213</v>
      </c>
      <c r="AO138" s="58">
        <f t="shared" si="144"/>
        <v>231.36959598460686</v>
      </c>
      <c r="AP138" s="16">
        <f>IF(ISNA(VLOOKUP(A138,'Données projet'!$A$61:$I$81,3,0)),0,VLOOKUP(A138,'Données projet'!$A$61:$I$81,3,0))</f>
        <v>10</v>
      </c>
      <c r="AQ138" s="16">
        <f>IF(ISNA(VLOOKUP(A138,'Données projet'!$A$61:$I$81,4,0)),0,VLOOKUP(A138,'Données projet'!$A$61:$I$81,4,0))</f>
        <v>45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-4.9658410716801891E-14</v>
      </c>
      <c r="BF138" s="14" t="e">
        <f t="shared" si="145"/>
        <v>#NUM!</v>
      </c>
      <c r="BG138" s="22" t="e">
        <f t="shared" si="115"/>
        <v>#NUM!</v>
      </c>
      <c r="BH138" s="58" t="e">
        <f t="shared" si="116"/>
        <v>#NUM!</v>
      </c>
      <c r="BI138" s="58">
        <f ca="1">AVERAGE(OFFSET($BH$3,0,0,'Données projet'!$E$11+1,1))-AVERAGE(OFFSET($H$3,0,0,'Données projet'!$E$11+1,1))</f>
        <v>218.76424742311815</v>
      </c>
      <c r="BJ138" s="58">
        <f t="shared" si="146"/>
        <v>264.34598683038593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0.29281699413068679</v>
      </c>
      <c r="BQ138" s="23">
        <f>EXP(-LN(2)/25)*BQ137+(1-EXP(-LN(2)/25))/(LN(2)/25)*Calculateur!BL138*Calculateur!BN138*VLOOKUP('Données projet'!$B$11,Paramètres!$A$1:$I$89,3,0)*0.475*44/12</f>
        <v>0.23747416943391564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0.53029116356460237</v>
      </c>
      <c r="BT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>
        <f>VLOOKUP(A138,'Données projet'!$A$113:$I$133,2,0)</f>
        <v>229</v>
      </c>
      <c r="BW138" s="13">
        <f>VLOOKUP(A138,'Données projet'!$A$113:$I$133,9,0)</f>
        <v>2</v>
      </c>
      <c r="BX138" s="13">
        <f t="array" ref="BX138">INDEX(BW:BW,MIN(IF(ISNUMBER(BW138:BW334),ROW(BW138:BW334),"")))</f>
        <v>2</v>
      </c>
      <c r="BY138" s="13">
        <f>IF('Données projet'!$A$114&gt;35,BY137+BX138-CG137,IF(A138&lt;'Données projet'!$A$114,$BV$205^A138,IF(A138='Données projet'!$A$114,'Données projet'!$B$114,BY137+BX138-CG137)))</f>
        <v>229.00000000000011</v>
      </c>
      <c r="BZ138" s="14">
        <f>BY138*VLOOKUP('Données projet'!$B$12,Paramètres!$A$1:$I$89,3,0)*VLOOKUP('Données projet'!$B$12,Paramètres!$A$1:$I$89,5,0)</f>
        <v>221.48880000000011</v>
      </c>
      <c r="CA138" s="14">
        <f t="shared" si="147"/>
        <v>54.43834191952984</v>
      </c>
      <c r="CB138" s="22">
        <f t="shared" si="118"/>
        <v>480.57310550984795</v>
      </c>
      <c r="CC138" s="58">
        <f t="shared" si="119"/>
        <v>773.90643884318126</v>
      </c>
      <c r="CD138" s="58">
        <f ca="1">AVERAGE(OFFSET($CC$3,0,0,'Données projet'!$E$12+1,1))-AVERAGE(OFFSET($H$3,0,0,'Données projet'!$E$12+1,1))</f>
        <v>343.86347628565426</v>
      </c>
      <c r="CE138" s="58">
        <f t="shared" si="148"/>
        <v>129.28196646107097</v>
      </c>
      <c r="CF138" s="16">
        <f>IF(ISNA(VLOOKUP(A138,'Données projet'!$A$113:$I$133,3,0)),0,VLOOKUP(A138,'Données projet'!$A$113:$I$133,3,0))</f>
        <v>11</v>
      </c>
      <c r="CG138" s="16">
        <f>IF(ISNA(VLOOKUP(A138,'Données projet'!$A$113:$I$133,4,0)),0,VLOOKUP(A138,'Données projet'!$A$113:$I$133,4,0))</f>
        <v>19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58" t="e">
        <f t="shared" si="122"/>
        <v>#N/A</v>
      </c>
      <c r="CY138" s="58" t="e">
        <f ca="1">AVERAGE(OFFSET($CX$3,0,0,'Données projet'!$E$13+1,1))-AVERAGE(OFFSET($H$3,0,0,'Données projet'!$E$13+1,1))</f>
        <v>#N/A</v>
      </c>
      <c r="CZ138" s="58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5.4092197387944907E-14</v>
      </c>
      <c r="DQ138" s="14">
        <f t="shared" si="151"/>
        <v>8.7287050538073676E-13</v>
      </c>
      <c r="DR138" s="22">
        <f t="shared" si="124"/>
        <v>1.6144600406554537E-12</v>
      </c>
      <c r="DS138" s="58">
        <f t="shared" si="125"/>
        <v>293.33333333333491</v>
      </c>
      <c r="DT138" s="58">
        <f ca="1">AVERAGE(OFFSET($DS$3,0,0,'Données projet'!$E$14+1,1))-AVERAGE(OFFSET($H$3,0,0,'Données projet'!$E$14+1,1))</f>
        <v>332.49889399440514</v>
      </c>
      <c r="DU138" s="58">
        <f t="shared" si="152"/>
        <v>256.06044006790529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5.1159076974727213E-13</v>
      </c>
      <c r="EK138" s="18">
        <f>EJ138*VLOOKUP('Données projet'!$B$15,Paramètres!$A$1:$I$89,3,0)*VLOOKUP('Données projet'!$B$15,Paramètres!$A$1:$I$89,5,0)</f>
        <v>5.3471467253984886E-13</v>
      </c>
      <c r="EL138" s="14">
        <f t="shared" si="153"/>
        <v>6.6087717628803869E-12</v>
      </c>
      <c r="EM138" s="22">
        <f t="shared" si="127"/>
        <v>1.244157220835691E-11</v>
      </c>
      <c r="EN138" s="58">
        <f t="shared" si="128"/>
        <v>293.33333333334576</v>
      </c>
      <c r="EO138" s="58">
        <f ca="1">AVERAGE(OFFSET($EN$3,0,0,'Données projet'!$E$15+1,1))-AVERAGE(OFFSET($H$3,0,0,'Données projet'!$E$15+1,1))</f>
        <v>596.00698505207174</v>
      </c>
      <c r="EP138" s="58">
        <f t="shared" si="154"/>
        <v>378.16197659288338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2.2737367544323206E-13</v>
      </c>
      <c r="FF138" s="18">
        <f>FE138*VLOOKUP('Données projet'!$B$16,Paramètres!$A$1:$I$89,3,0)*VLOOKUP('Données projet'!$B$16,Paramètres!$A$1:$I$89,5,0)</f>
        <v>1.064108801074326E-13</v>
      </c>
      <c r="FG138" s="14">
        <f t="shared" si="155"/>
        <v>1.5870730813698654E-12</v>
      </c>
      <c r="FH138" s="22">
        <f t="shared" si="130"/>
        <v>2.9494845662396269E-12</v>
      </c>
      <c r="FI138" s="58">
        <f t="shared" si="131"/>
        <v>293.33333333333627</v>
      </c>
      <c r="FJ138" s="58">
        <f ca="1">AVERAGE(OFFSET($FI$3,0,0,'Données projet'!$E$16+1,1))-AVERAGE(OFFSET($H$3,0,0,'Données projet'!$E$16+1,1))</f>
        <v>294.31042006404056</v>
      </c>
      <c r="FK138" s="58">
        <f t="shared" si="156"/>
        <v>260.93767498478502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2.8421709430404007E-13</v>
      </c>
      <c r="GA138" s="18">
        <f>FZ138*VLOOKUP('Données projet'!$B$17,Paramètres!$A$1:$I$89,3,0)*VLOOKUP('Données projet'!$B$17,Paramètres!$A$1:$I$89,5,0)</f>
        <v>1.9065282685915009E-13</v>
      </c>
      <c r="GB138" s="14">
        <f t="shared" si="157"/>
        <v>2.6568987209435707E-12</v>
      </c>
      <c r="GC138" s="22">
        <f t="shared" si="133"/>
        <v>4.959485612423072E-12</v>
      </c>
      <c r="GD138" s="58">
        <f t="shared" si="134"/>
        <v>293.33333333333826</v>
      </c>
      <c r="GE138" s="58">
        <f ca="1">AVERAGE(OFFSET($GD$3,0,0,'Données projet'!$E$17+1,1))-AVERAGE(OFFSET($H$3,0,0,'Données projet'!$E$17+1,1))</f>
        <v>362.1372269575329</v>
      </c>
      <c r="GF138" s="58">
        <f t="shared" si="158"/>
        <v>308.1559670593121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58" t="e">
        <f t="shared" si="137"/>
        <v>#N/A</v>
      </c>
      <c r="GZ138" s="58" t="e">
        <f ca="1">AVERAGE(OFFSET($GY$3,0,0,'Données projet'!$E$18+1,1))-AVERAGE(OFFSET($H$3,0,0,'Données projet'!$E$18+1,1))</f>
        <v>#N/A</v>
      </c>
      <c r="HA138" s="58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0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3">
        <f t="shared" si="110"/>
        <v>256.66666666666669</v>
      </c>
      <c r="I139" s="6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2.4666666666666668</v>
      </c>
      <c r="N139" s="14">
        <f>IF('Données projet'!$A$36&gt;35,N138+M139-V138,IF(A139&lt;'Données projet'!$A$36,$K$205^A139,IF(A139='Données projet'!$A$36,'Données projet'!$B$36,N138+M139-V138)))</f>
        <v>271.46666666666675</v>
      </c>
      <c r="O139" s="14">
        <f>N139*VLOOKUP('Données projet'!$B$9,Paramètres!$A$1:$I$89,3,0)*VLOOKUP('Données projet'!$B$9,Paramètres!$A$1:$I$89,5,0)</f>
        <v>275.26720000000012</v>
      </c>
      <c r="P139" s="14">
        <f t="shared" si="141"/>
        <v>65.965842024192881</v>
      </c>
      <c r="Q139" s="22">
        <f t="shared" si="108"/>
        <v>594.31421485880264</v>
      </c>
      <c r="R139" s="58">
        <f t="shared" si="109"/>
        <v>887.6475481921359</v>
      </c>
      <c r="S139" s="58">
        <f ca="1">AVERAGE(OFFSET($R$3,0,0,'Données projet'!$E$9+1,1))-AVERAGE(OFFSET($H$3,0,0,'Données projet'!$E$9+1,1))</f>
        <v>483.15009705023641</v>
      </c>
      <c r="T139" s="58">
        <f t="shared" si="142"/>
        <v>254.25036207346591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2.4666666666666668</v>
      </c>
      <c r="AI139" s="14">
        <f>IF('Données projet'!$A$62&gt;35,AI138+AH139-AQ138,IF(A139&lt;'Données projet'!$A$62,$AF$205^A139,IF(A139='Données projet'!$A$62,'Données projet'!$B$62,AI138+AH139-AQ138)))</f>
        <v>271.46666666666675</v>
      </c>
      <c r="AJ139" s="14">
        <f>AI139*VLOOKUP('Données projet'!$B$10,Paramètres!$A$1:$I$89,3,0)*VLOOKUP('Données projet'!$B$10,Paramètres!$A$1:$I$89,5,0)</f>
        <v>245.62304000000006</v>
      </c>
      <c r="AK139" s="14">
        <f t="shared" si="143"/>
        <v>59.64771943684709</v>
      </c>
      <c r="AL139" s="22">
        <f t="shared" si="112"/>
        <v>531.67990601917541</v>
      </c>
      <c r="AM139" s="58">
        <f t="shared" si="113"/>
        <v>825.01323935250866</v>
      </c>
      <c r="AN139" s="58">
        <f ca="1">AVERAGE(OFFSET($AM$3,0,0,'Données projet'!$E$10+1,1))-AVERAGE(OFFSET($H$3,0,0,'Données projet'!$E$10+1,1))</f>
        <v>435.7095890216213</v>
      </c>
      <c r="AO139" s="58">
        <f t="shared" si="144"/>
        <v>231.36959598460686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-4.9658410716801891E-14</v>
      </c>
      <c r="BF139" s="14" t="e">
        <f t="shared" si="145"/>
        <v>#NUM!</v>
      </c>
      <c r="BG139" s="22" t="e">
        <f t="shared" si="115"/>
        <v>#NUM!</v>
      </c>
      <c r="BH139" s="58" t="e">
        <f t="shared" si="116"/>
        <v>#NUM!</v>
      </c>
      <c r="BI139" s="58">
        <f ca="1">AVERAGE(OFFSET($BH$3,0,0,'Données projet'!$E$11+1,1))-AVERAGE(OFFSET($H$3,0,0,'Données projet'!$E$11+1,1))</f>
        <v>218.76424742311815</v>
      </c>
      <c r="BJ139" s="58">
        <f t="shared" si="146"/>
        <v>264.34598683038593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0.28707503147651509</v>
      </c>
      <c r="BQ139" s="23">
        <f>EXP(-LN(2)/25)*BQ138+(1-EXP(-LN(2)/25))/(LN(2)/25)*Calculateur!BL139*Calculateur!BN139*VLOOKUP('Données projet'!$B$11,Paramètres!$A$1:$I$89,3,0)*0.475*44/12</f>
        <v>0.2309804257825214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0.51805545725903646</v>
      </c>
      <c r="BT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1.6</v>
      </c>
      <c r="BY139" s="13">
        <f>IF('Données projet'!$A$114&gt;35,BY138+BX139-CG138,IF(A139&lt;'Données projet'!$A$114,$BV$205^A139,IF(A139='Données projet'!$A$114,'Données projet'!$B$114,BY138+BX139-CG138)))</f>
        <v>211.60000000000011</v>
      </c>
      <c r="BZ139" s="14">
        <f>BY139*VLOOKUP('Données projet'!$B$12,Paramètres!$A$1:$I$89,3,0)*VLOOKUP('Données projet'!$B$12,Paramètres!$A$1:$I$89,5,0)</f>
        <v>204.6595200000001</v>
      </c>
      <c r="CA139" s="14">
        <f t="shared" si="147"/>
        <v>50.766812591921394</v>
      </c>
      <c r="CB139" s="22">
        <f t="shared" si="118"/>
        <v>444.86752926426328</v>
      </c>
      <c r="CC139" s="58">
        <f t="shared" si="119"/>
        <v>738.2008625975966</v>
      </c>
      <c r="CD139" s="58">
        <f ca="1">AVERAGE(OFFSET($CC$3,0,0,'Données projet'!$E$12+1,1))-AVERAGE(OFFSET($H$3,0,0,'Données projet'!$E$12+1,1))</f>
        <v>343.86347628565426</v>
      </c>
      <c r="CE139" s="58">
        <f t="shared" si="148"/>
        <v>129.28196646107097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58" t="e">
        <f t="shared" si="122"/>
        <v>#N/A</v>
      </c>
      <c r="CY139" s="58" t="e">
        <f ca="1">AVERAGE(OFFSET($CX$3,0,0,'Données projet'!$E$13+1,1))-AVERAGE(OFFSET($H$3,0,0,'Données projet'!$E$13+1,1))</f>
        <v>#N/A</v>
      </c>
      <c r="CZ139" s="58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5.4092197387944907E-14</v>
      </c>
      <c r="DQ139" s="14">
        <f t="shared" si="151"/>
        <v>8.7287050538073676E-13</v>
      </c>
      <c r="DR139" s="22">
        <f t="shared" si="124"/>
        <v>1.6144600406554537E-12</v>
      </c>
      <c r="DS139" s="58">
        <f t="shared" si="125"/>
        <v>293.33333333333491</v>
      </c>
      <c r="DT139" s="58">
        <f ca="1">AVERAGE(OFFSET($DS$3,0,0,'Données projet'!$E$14+1,1))-AVERAGE(OFFSET($H$3,0,0,'Données projet'!$E$14+1,1))</f>
        <v>332.49889399440514</v>
      </c>
      <c r="DU139" s="58">
        <f t="shared" si="152"/>
        <v>256.06044006790529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5.1159076974727213E-13</v>
      </c>
      <c r="EK139" s="18">
        <f>EJ139*VLOOKUP('Données projet'!$B$15,Paramètres!$A$1:$I$89,3,0)*VLOOKUP('Données projet'!$B$15,Paramètres!$A$1:$I$89,5,0)</f>
        <v>5.3471467253984886E-13</v>
      </c>
      <c r="EL139" s="14">
        <f t="shared" si="153"/>
        <v>6.6087717628803869E-12</v>
      </c>
      <c r="EM139" s="22">
        <f t="shared" si="127"/>
        <v>1.244157220835691E-11</v>
      </c>
      <c r="EN139" s="58">
        <f t="shared" si="128"/>
        <v>293.33333333334576</v>
      </c>
      <c r="EO139" s="58">
        <f ca="1">AVERAGE(OFFSET($EN$3,0,0,'Données projet'!$E$15+1,1))-AVERAGE(OFFSET($H$3,0,0,'Données projet'!$E$15+1,1))</f>
        <v>596.00698505207174</v>
      </c>
      <c r="EP139" s="58">
        <f t="shared" si="154"/>
        <v>378.16197659288338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2.2737367544323206E-13</v>
      </c>
      <c r="FF139" s="18">
        <f>FE139*VLOOKUP('Données projet'!$B$16,Paramètres!$A$1:$I$89,3,0)*VLOOKUP('Données projet'!$B$16,Paramètres!$A$1:$I$89,5,0)</f>
        <v>1.064108801074326E-13</v>
      </c>
      <c r="FG139" s="14">
        <f t="shared" si="155"/>
        <v>1.5870730813698654E-12</v>
      </c>
      <c r="FH139" s="22">
        <f t="shared" si="130"/>
        <v>2.9494845662396269E-12</v>
      </c>
      <c r="FI139" s="58">
        <f t="shared" si="131"/>
        <v>293.33333333333627</v>
      </c>
      <c r="FJ139" s="58">
        <f ca="1">AVERAGE(OFFSET($FI$3,0,0,'Données projet'!$E$16+1,1))-AVERAGE(OFFSET($H$3,0,0,'Données projet'!$E$16+1,1))</f>
        <v>294.31042006404056</v>
      </c>
      <c r="FK139" s="58">
        <f t="shared" si="156"/>
        <v>260.93767498478502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2.8421709430404007E-13</v>
      </c>
      <c r="GA139" s="18">
        <f>FZ139*VLOOKUP('Données projet'!$B$17,Paramètres!$A$1:$I$89,3,0)*VLOOKUP('Données projet'!$B$17,Paramètres!$A$1:$I$89,5,0)</f>
        <v>1.9065282685915009E-13</v>
      </c>
      <c r="GB139" s="14">
        <f t="shared" si="157"/>
        <v>2.6568987209435707E-12</v>
      </c>
      <c r="GC139" s="22">
        <f t="shared" si="133"/>
        <v>4.959485612423072E-12</v>
      </c>
      <c r="GD139" s="58">
        <f t="shared" si="134"/>
        <v>293.33333333333826</v>
      </c>
      <c r="GE139" s="58">
        <f ca="1">AVERAGE(OFFSET($GD$3,0,0,'Données projet'!$E$17+1,1))-AVERAGE(OFFSET($H$3,0,0,'Données projet'!$E$17+1,1))</f>
        <v>362.1372269575329</v>
      </c>
      <c r="GF139" s="58">
        <f t="shared" si="158"/>
        <v>308.1559670593121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58" t="e">
        <f t="shared" si="137"/>
        <v>#N/A</v>
      </c>
      <c r="GZ139" s="58" t="e">
        <f ca="1">AVERAGE(OFFSET($GY$3,0,0,'Données projet'!$E$18+1,1))-AVERAGE(OFFSET($H$3,0,0,'Données projet'!$E$18+1,1))</f>
        <v>#N/A</v>
      </c>
      <c r="HA139" s="58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0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3">
        <f t="shared" si="110"/>
        <v>256.66666666666669</v>
      </c>
      <c r="I140" s="6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2.4666666666666668</v>
      </c>
      <c r="N140" s="14">
        <f>IF('Données projet'!$A$36&gt;35,N139+M140-V139,IF(A140&lt;'Données projet'!$A$36,$K$205^A140,IF(A140='Données projet'!$A$36,'Données projet'!$B$36,N139+M140-V139)))</f>
        <v>273.93333333333339</v>
      </c>
      <c r="O140" s="14">
        <f>N140*VLOOKUP('Données projet'!$B$9,Paramètres!$A$1:$I$89,3,0)*VLOOKUP('Données projet'!$B$9,Paramètres!$A$1:$I$89,5,0)</f>
        <v>277.76840000000004</v>
      </c>
      <c r="P140" s="14">
        <f t="shared" si="141"/>
        <v>66.495188244530212</v>
      </c>
      <c r="Q140" s="22">
        <f t="shared" si="108"/>
        <v>599.59241619255681</v>
      </c>
      <c r="R140" s="58">
        <f t="shared" si="109"/>
        <v>892.92574952589007</v>
      </c>
      <c r="S140" s="58">
        <f ca="1">AVERAGE(OFFSET($R$3,0,0,'Données projet'!$E$9+1,1))-AVERAGE(OFFSET($H$3,0,0,'Données projet'!$E$9+1,1))</f>
        <v>483.15009705023641</v>
      </c>
      <c r="T140" s="58">
        <f t="shared" si="142"/>
        <v>254.25036207346591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2.4666666666666668</v>
      </c>
      <c r="AI140" s="14">
        <f>IF('Données projet'!$A$62&gt;35,AI139+AH140-AQ139,IF(A140&lt;'Données projet'!$A$62,$AF$205^A140,IF(A140='Données projet'!$A$62,'Données projet'!$B$62,AI139+AH140-AQ139)))</f>
        <v>273.93333333333339</v>
      </c>
      <c r="AJ140" s="14">
        <f>AI140*VLOOKUP('Données projet'!$B$10,Paramètres!$A$1:$I$89,3,0)*VLOOKUP('Données projet'!$B$10,Paramètres!$A$1:$I$89,5,0)</f>
        <v>247.85488000000004</v>
      </c>
      <c r="AK140" s="14">
        <f t="shared" si="143"/>
        <v>60.126365564399855</v>
      </c>
      <c r="AL140" s="22">
        <f t="shared" si="112"/>
        <v>536.40066935799643</v>
      </c>
      <c r="AM140" s="58">
        <f t="shared" si="113"/>
        <v>829.73400269132981</v>
      </c>
      <c r="AN140" s="58">
        <f ca="1">AVERAGE(OFFSET($AM$3,0,0,'Données projet'!$E$10+1,1))-AVERAGE(OFFSET($H$3,0,0,'Données projet'!$E$10+1,1))</f>
        <v>435.7095890216213</v>
      </c>
      <c r="AO140" s="58">
        <f t="shared" si="144"/>
        <v>231.36959598460686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-4.9658410716801891E-14</v>
      </c>
      <c r="BF140" s="14" t="e">
        <f t="shared" si="145"/>
        <v>#NUM!</v>
      </c>
      <c r="BG140" s="22" t="e">
        <f t="shared" si="115"/>
        <v>#NUM!</v>
      </c>
      <c r="BH140" s="58" t="e">
        <f t="shared" si="116"/>
        <v>#NUM!</v>
      </c>
      <c r="BI140" s="58">
        <f ca="1">AVERAGE(OFFSET($BH$3,0,0,'Données projet'!$E$11+1,1))-AVERAGE(OFFSET($H$3,0,0,'Données projet'!$E$11+1,1))</f>
        <v>218.76424742311815</v>
      </c>
      <c r="BJ140" s="58">
        <f t="shared" si="146"/>
        <v>264.34598683038593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0.28144566520774028</v>
      </c>
      <c r="BQ140" s="23">
        <f>EXP(-LN(2)/25)*BQ139+(1-EXP(-LN(2)/25))/(LN(2)/25)*Calculateur!BL140*Calculateur!BN140*VLOOKUP('Données projet'!$B$11,Paramètres!$A$1:$I$89,3,0)*0.475*44/12</f>
        <v>0.22466425389276568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0.50610991910050596</v>
      </c>
      <c r="BT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1.6</v>
      </c>
      <c r="BY140" s="13">
        <f>IF('Données projet'!$A$114&gt;35,BY139+BX140-CG139,IF(A140&lt;'Données projet'!$A$114,$BV$205^A140,IF(A140='Données projet'!$A$114,'Données projet'!$B$114,BY139+BX140-CG139)))</f>
        <v>213.2000000000001</v>
      </c>
      <c r="BZ140" s="14">
        <f>BY140*VLOOKUP('Données projet'!$B$12,Paramètres!$A$1:$I$89,3,0)*VLOOKUP('Données projet'!$B$12,Paramètres!$A$1:$I$89,5,0)</f>
        <v>206.20704000000009</v>
      </c>
      <c r="CA140" s="14">
        <f t="shared" si="147"/>
        <v>51.105851308113131</v>
      </c>
      <c r="CB140" s="22">
        <f t="shared" si="118"/>
        <v>448.15328569496381</v>
      </c>
      <c r="CC140" s="58">
        <f t="shared" si="119"/>
        <v>741.48661902829713</v>
      </c>
      <c r="CD140" s="58">
        <f ca="1">AVERAGE(OFFSET($CC$3,0,0,'Données projet'!$E$12+1,1))-AVERAGE(OFFSET($H$3,0,0,'Données projet'!$E$12+1,1))</f>
        <v>343.86347628565426</v>
      </c>
      <c r="CE140" s="58">
        <f t="shared" si="148"/>
        <v>129.28196646107097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58" t="e">
        <f t="shared" si="122"/>
        <v>#N/A</v>
      </c>
      <c r="CY140" s="58" t="e">
        <f ca="1">AVERAGE(OFFSET($CX$3,0,0,'Données projet'!$E$13+1,1))-AVERAGE(OFFSET($H$3,0,0,'Données projet'!$E$13+1,1))</f>
        <v>#N/A</v>
      </c>
      <c r="CZ140" s="58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5.4092197387944907E-14</v>
      </c>
      <c r="DQ140" s="14">
        <f t="shared" si="151"/>
        <v>8.7287050538073676E-13</v>
      </c>
      <c r="DR140" s="22">
        <f t="shared" si="124"/>
        <v>1.6144600406554537E-12</v>
      </c>
      <c r="DS140" s="58">
        <f t="shared" si="125"/>
        <v>293.33333333333491</v>
      </c>
      <c r="DT140" s="58">
        <f ca="1">AVERAGE(OFFSET($DS$3,0,0,'Données projet'!$E$14+1,1))-AVERAGE(OFFSET($H$3,0,0,'Données projet'!$E$14+1,1))</f>
        <v>332.49889399440514</v>
      </c>
      <c r="DU140" s="58">
        <f t="shared" si="152"/>
        <v>256.06044006790529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5.1159076974727213E-13</v>
      </c>
      <c r="EK140" s="18">
        <f>EJ140*VLOOKUP('Données projet'!$B$15,Paramètres!$A$1:$I$89,3,0)*VLOOKUP('Données projet'!$B$15,Paramètres!$A$1:$I$89,5,0)</f>
        <v>5.3471467253984886E-13</v>
      </c>
      <c r="EL140" s="14">
        <f t="shared" si="153"/>
        <v>6.6087717628803869E-12</v>
      </c>
      <c r="EM140" s="22">
        <f t="shared" si="127"/>
        <v>1.244157220835691E-11</v>
      </c>
      <c r="EN140" s="58">
        <f t="shared" si="128"/>
        <v>293.33333333334576</v>
      </c>
      <c r="EO140" s="58">
        <f ca="1">AVERAGE(OFFSET($EN$3,0,0,'Données projet'!$E$15+1,1))-AVERAGE(OFFSET($H$3,0,0,'Données projet'!$E$15+1,1))</f>
        <v>596.00698505207174</v>
      </c>
      <c r="EP140" s="58">
        <f t="shared" si="154"/>
        <v>378.16197659288338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2.2737367544323206E-13</v>
      </c>
      <c r="FF140" s="18">
        <f>FE140*VLOOKUP('Données projet'!$B$16,Paramètres!$A$1:$I$89,3,0)*VLOOKUP('Données projet'!$B$16,Paramètres!$A$1:$I$89,5,0)</f>
        <v>1.064108801074326E-13</v>
      </c>
      <c r="FG140" s="14">
        <f t="shared" si="155"/>
        <v>1.5870730813698654E-12</v>
      </c>
      <c r="FH140" s="22">
        <f t="shared" si="130"/>
        <v>2.9494845662396269E-12</v>
      </c>
      <c r="FI140" s="58">
        <f t="shared" si="131"/>
        <v>293.33333333333627</v>
      </c>
      <c r="FJ140" s="58">
        <f ca="1">AVERAGE(OFFSET($FI$3,0,0,'Données projet'!$E$16+1,1))-AVERAGE(OFFSET($H$3,0,0,'Données projet'!$E$16+1,1))</f>
        <v>294.31042006404056</v>
      </c>
      <c r="FK140" s="58">
        <f t="shared" si="156"/>
        <v>260.93767498478502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2.8421709430404007E-13</v>
      </c>
      <c r="GA140" s="18">
        <f>FZ140*VLOOKUP('Données projet'!$B$17,Paramètres!$A$1:$I$89,3,0)*VLOOKUP('Données projet'!$B$17,Paramètres!$A$1:$I$89,5,0)</f>
        <v>1.9065282685915009E-13</v>
      </c>
      <c r="GB140" s="14">
        <f t="shared" si="157"/>
        <v>2.6568987209435707E-12</v>
      </c>
      <c r="GC140" s="22">
        <f t="shared" si="133"/>
        <v>4.959485612423072E-12</v>
      </c>
      <c r="GD140" s="58">
        <f t="shared" si="134"/>
        <v>293.33333333333826</v>
      </c>
      <c r="GE140" s="58">
        <f ca="1">AVERAGE(OFFSET($GD$3,0,0,'Données projet'!$E$17+1,1))-AVERAGE(OFFSET($H$3,0,0,'Données projet'!$E$17+1,1))</f>
        <v>362.1372269575329</v>
      </c>
      <c r="GF140" s="58">
        <f t="shared" si="158"/>
        <v>308.1559670593121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58" t="e">
        <f t="shared" si="137"/>
        <v>#N/A</v>
      </c>
      <c r="GZ140" s="58" t="e">
        <f ca="1">AVERAGE(OFFSET($GY$3,0,0,'Données projet'!$E$18+1,1))-AVERAGE(OFFSET($H$3,0,0,'Données projet'!$E$18+1,1))</f>
        <v>#N/A</v>
      </c>
      <c r="HA140" s="58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0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3">
        <f t="shared" si="110"/>
        <v>256.66666666666669</v>
      </c>
      <c r="I141" s="6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2.4666666666666668</v>
      </c>
      <c r="N141" s="14">
        <f>IF('Données projet'!$A$36&gt;35,N140+M141-V140,IF(A141&lt;'Données projet'!$A$36,$K$205^A141,IF(A141='Données projet'!$A$36,'Données projet'!$B$36,N140+M141-V140)))</f>
        <v>276.40000000000003</v>
      </c>
      <c r="O141" s="14">
        <f>N141*VLOOKUP('Données projet'!$B$9,Paramètres!$A$1:$I$89,3,0)*VLOOKUP('Données projet'!$B$9,Paramètres!$A$1:$I$89,5,0)</f>
        <v>280.26960000000003</v>
      </c>
      <c r="P141" s="14">
        <f t="shared" si="141"/>
        <v>67.023979919595945</v>
      </c>
      <c r="Q141" s="22">
        <f t="shared" si="108"/>
        <v>604.8696516932963</v>
      </c>
      <c r="R141" s="58">
        <f t="shared" si="109"/>
        <v>898.20298502662968</v>
      </c>
      <c r="S141" s="58">
        <f ca="1">AVERAGE(OFFSET($R$3,0,0,'Données projet'!$E$9+1,1))-AVERAGE(OFFSET($H$3,0,0,'Données projet'!$E$9+1,1))</f>
        <v>483.15009705023641</v>
      </c>
      <c r="T141" s="58">
        <f t="shared" si="142"/>
        <v>254.25036207346591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2.4666666666666668</v>
      </c>
      <c r="AI141" s="14">
        <f>IF('Données projet'!$A$62&gt;35,AI140+AH141-AQ140,IF(A141&lt;'Données projet'!$A$62,$AF$205^A141,IF(A141='Données projet'!$A$62,'Données projet'!$B$62,AI140+AH141-AQ140)))</f>
        <v>276.40000000000003</v>
      </c>
      <c r="AJ141" s="14">
        <f>AI141*VLOOKUP('Données projet'!$B$10,Paramètres!$A$1:$I$89,3,0)*VLOOKUP('Données projet'!$B$10,Paramètres!$A$1:$I$89,5,0)</f>
        <v>250.08672000000001</v>
      </c>
      <c r="AK141" s="14">
        <f t="shared" si="143"/>
        <v>60.604510260306157</v>
      </c>
      <c r="AL141" s="22">
        <f t="shared" si="112"/>
        <v>541.12055937003322</v>
      </c>
      <c r="AM141" s="58">
        <f t="shared" si="113"/>
        <v>834.45389270336659</v>
      </c>
      <c r="AN141" s="58">
        <f ca="1">AVERAGE(OFFSET($AM$3,0,0,'Données projet'!$E$10+1,1))-AVERAGE(OFFSET($H$3,0,0,'Données projet'!$E$10+1,1))</f>
        <v>435.7095890216213</v>
      </c>
      <c r="AO141" s="58">
        <f t="shared" si="144"/>
        <v>231.36959598460686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-4.9658410716801891E-14</v>
      </c>
      <c r="BF141" s="14" t="e">
        <f t="shared" si="145"/>
        <v>#NUM!</v>
      </c>
      <c r="BG141" s="22" t="e">
        <f t="shared" si="115"/>
        <v>#NUM!</v>
      </c>
      <c r="BH141" s="58" t="e">
        <f t="shared" si="116"/>
        <v>#NUM!</v>
      </c>
      <c r="BI141" s="58">
        <f ca="1">AVERAGE(OFFSET($BH$3,0,0,'Données projet'!$E$11+1,1))-AVERAGE(OFFSET($H$3,0,0,'Données projet'!$E$11+1,1))</f>
        <v>218.76424742311815</v>
      </c>
      <c r="BJ141" s="58">
        <f t="shared" si="146"/>
        <v>264.34598683038593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0.27592668737792175</v>
      </c>
      <c r="BQ141" s="23">
        <f>EXP(-LN(2)/25)*BQ140+(1-EXP(-LN(2)/25))/(LN(2)/25)*Calculateur!BL141*Calculateur!BN141*VLOOKUP('Données projet'!$B$11,Paramètres!$A$1:$I$89,3,0)*0.475*44/12</f>
        <v>0.21852079805548835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0.49444748543341011</v>
      </c>
      <c r="BT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1.6</v>
      </c>
      <c r="BY141" s="13">
        <f>IF('Données projet'!$A$114&gt;35,BY140+BX141-CG140,IF(A141&lt;'Données projet'!$A$114,$BV$205^A141,IF(A141='Données projet'!$A$114,'Données projet'!$B$114,BY140+BX141-CG140)))</f>
        <v>214.8000000000001</v>
      </c>
      <c r="BZ141" s="14">
        <f>BY141*VLOOKUP('Données projet'!$B$12,Paramètres!$A$1:$I$89,3,0)*VLOOKUP('Données projet'!$B$12,Paramètres!$A$1:$I$89,5,0)</f>
        <v>207.75456000000011</v>
      </c>
      <c r="CA141" s="14">
        <f t="shared" si="147"/>
        <v>51.44459398478218</v>
      </c>
      <c r="CB141" s="22">
        <f t="shared" si="118"/>
        <v>451.4385265234958</v>
      </c>
      <c r="CC141" s="58">
        <f t="shared" si="119"/>
        <v>744.77185985682911</v>
      </c>
      <c r="CD141" s="58">
        <f ca="1">AVERAGE(OFFSET($CC$3,0,0,'Données projet'!$E$12+1,1))-AVERAGE(OFFSET($H$3,0,0,'Données projet'!$E$12+1,1))</f>
        <v>343.86347628565426</v>
      </c>
      <c r="CE141" s="58">
        <f t="shared" si="148"/>
        <v>129.28196646107097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58" t="e">
        <f t="shared" si="122"/>
        <v>#N/A</v>
      </c>
      <c r="CY141" s="58" t="e">
        <f ca="1">AVERAGE(OFFSET($CX$3,0,0,'Données projet'!$E$13+1,1))-AVERAGE(OFFSET($H$3,0,0,'Données projet'!$E$13+1,1))</f>
        <v>#N/A</v>
      </c>
      <c r="CZ141" s="58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5.4092197387944907E-14</v>
      </c>
      <c r="DQ141" s="14">
        <f t="shared" si="151"/>
        <v>8.7287050538073676E-13</v>
      </c>
      <c r="DR141" s="22">
        <f t="shared" si="124"/>
        <v>1.6144600406554537E-12</v>
      </c>
      <c r="DS141" s="58">
        <f t="shared" si="125"/>
        <v>293.33333333333491</v>
      </c>
      <c r="DT141" s="58">
        <f ca="1">AVERAGE(OFFSET($DS$3,0,0,'Données projet'!$E$14+1,1))-AVERAGE(OFFSET($H$3,0,0,'Données projet'!$E$14+1,1))</f>
        <v>332.49889399440514</v>
      </c>
      <c r="DU141" s="58">
        <f t="shared" si="152"/>
        <v>256.06044006790529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5.1159076974727213E-13</v>
      </c>
      <c r="EK141" s="18">
        <f>EJ141*VLOOKUP('Données projet'!$B$15,Paramètres!$A$1:$I$89,3,0)*VLOOKUP('Données projet'!$B$15,Paramètres!$A$1:$I$89,5,0)</f>
        <v>5.3471467253984886E-13</v>
      </c>
      <c r="EL141" s="14">
        <f t="shared" si="153"/>
        <v>6.6087717628803869E-12</v>
      </c>
      <c r="EM141" s="22">
        <f t="shared" si="127"/>
        <v>1.244157220835691E-11</v>
      </c>
      <c r="EN141" s="58">
        <f t="shared" si="128"/>
        <v>293.33333333334576</v>
      </c>
      <c r="EO141" s="58">
        <f ca="1">AVERAGE(OFFSET($EN$3,0,0,'Données projet'!$E$15+1,1))-AVERAGE(OFFSET($H$3,0,0,'Données projet'!$E$15+1,1))</f>
        <v>596.00698505207174</v>
      </c>
      <c r="EP141" s="58">
        <f t="shared" si="154"/>
        <v>378.16197659288338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2.2737367544323206E-13</v>
      </c>
      <c r="FF141" s="18">
        <f>FE141*VLOOKUP('Données projet'!$B$16,Paramètres!$A$1:$I$89,3,0)*VLOOKUP('Données projet'!$B$16,Paramètres!$A$1:$I$89,5,0)</f>
        <v>1.064108801074326E-13</v>
      </c>
      <c r="FG141" s="14">
        <f t="shared" si="155"/>
        <v>1.5870730813698654E-12</v>
      </c>
      <c r="FH141" s="22">
        <f t="shared" si="130"/>
        <v>2.9494845662396269E-12</v>
      </c>
      <c r="FI141" s="58">
        <f t="shared" si="131"/>
        <v>293.33333333333627</v>
      </c>
      <c r="FJ141" s="58">
        <f ca="1">AVERAGE(OFFSET($FI$3,0,0,'Données projet'!$E$16+1,1))-AVERAGE(OFFSET($H$3,0,0,'Données projet'!$E$16+1,1))</f>
        <v>294.31042006404056</v>
      </c>
      <c r="FK141" s="58">
        <f t="shared" si="156"/>
        <v>260.93767498478502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2.8421709430404007E-13</v>
      </c>
      <c r="GA141" s="18">
        <f>FZ141*VLOOKUP('Données projet'!$B$17,Paramètres!$A$1:$I$89,3,0)*VLOOKUP('Données projet'!$B$17,Paramètres!$A$1:$I$89,5,0)</f>
        <v>1.9065282685915009E-13</v>
      </c>
      <c r="GB141" s="14">
        <f t="shared" si="157"/>
        <v>2.6568987209435707E-12</v>
      </c>
      <c r="GC141" s="22">
        <f t="shared" si="133"/>
        <v>4.959485612423072E-12</v>
      </c>
      <c r="GD141" s="58">
        <f t="shared" si="134"/>
        <v>293.33333333333826</v>
      </c>
      <c r="GE141" s="58">
        <f ca="1">AVERAGE(OFFSET($GD$3,0,0,'Données projet'!$E$17+1,1))-AVERAGE(OFFSET($H$3,0,0,'Données projet'!$E$17+1,1))</f>
        <v>362.1372269575329</v>
      </c>
      <c r="GF141" s="58">
        <f t="shared" si="158"/>
        <v>308.1559670593121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58" t="e">
        <f t="shared" si="137"/>
        <v>#N/A</v>
      </c>
      <c r="GZ141" s="58" t="e">
        <f ca="1">AVERAGE(OFFSET($GY$3,0,0,'Données projet'!$E$18+1,1))-AVERAGE(OFFSET($H$3,0,0,'Données projet'!$E$18+1,1))</f>
        <v>#N/A</v>
      </c>
      <c r="HA141" s="58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0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3">
        <f t="shared" si="110"/>
        <v>256.66666666666669</v>
      </c>
      <c r="I142" s="6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2.4666666666666668</v>
      </c>
      <c r="N142" s="14">
        <f>IF('Données projet'!$A$36&gt;35,N141+M142-V141,IF(A142&lt;'Données projet'!$A$36,$K$205^A142,IF(A142='Données projet'!$A$36,'Données projet'!$B$36,N141+M142-V141)))</f>
        <v>278.86666666666667</v>
      </c>
      <c r="O142" s="14">
        <f>N142*VLOOKUP('Données projet'!$B$9,Paramètres!$A$1:$I$89,3,0)*VLOOKUP('Données projet'!$B$9,Paramètres!$A$1:$I$89,5,0)</f>
        <v>282.77080000000001</v>
      </c>
      <c r="P142" s="14">
        <f t="shared" si="141"/>
        <v>67.552222571630153</v>
      </c>
      <c r="Q142" s="22">
        <f t="shared" si="108"/>
        <v>610.14593097892259</v>
      </c>
      <c r="R142" s="58">
        <f t="shared" si="109"/>
        <v>903.47926431225596</v>
      </c>
      <c r="S142" s="58">
        <f ca="1">AVERAGE(OFFSET($R$3,0,0,'Données projet'!$E$9+1,1))-AVERAGE(OFFSET($H$3,0,0,'Données projet'!$E$9+1,1))</f>
        <v>483.15009705023641</v>
      </c>
      <c r="T142" s="58">
        <f t="shared" si="142"/>
        <v>254.25036207346591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2.4666666666666668</v>
      </c>
      <c r="AI142" s="14">
        <f>IF('Données projet'!$A$62&gt;35,AI141+AH142-AQ141,IF(A142&lt;'Données projet'!$A$62,$AF$205^A142,IF(A142='Données projet'!$A$62,'Données projet'!$B$62,AI141+AH142-AQ141)))</f>
        <v>278.86666666666667</v>
      </c>
      <c r="AJ142" s="14">
        <f>AI142*VLOOKUP('Données projet'!$B$10,Paramètres!$A$1:$I$89,3,0)*VLOOKUP('Données projet'!$B$10,Paramètres!$A$1:$I$89,5,0)</f>
        <v>252.31855999999999</v>
      </c>
      <c r="AK142" s="14">
        <f t="shared" si="143"/>
        <v>61.082158517893113</v>
      </c>
      <c r="AL142" s="22">
        <f t="shared" si="112"/>
        <v>545.83958475199699</v>
      </c>
      <c r="AM142" s="58">
        <f t="shared" si="113"/>
        <v>839.17291808533037</v>
      </c>
      <c r="AN142" s="58">
        <f ca="1">AVERAGE(OFFSET($AM$3,0,0,'Données projet'!$E$10+1,1))-AVERAGE(OFFSET($H$3,0,0,'Données projet'!$E$10+1,1))</f>
        <v>435.7095890216213</v>
      </c>
      <c r="AO142" s="58">
        <f t="shared" si="144"/>
        <v>231.36959598460686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-4.9658410716801891E-14</v>
      </c>
      <c r="BF142" s="14" t="e">
        <f t="shared" si="145"/>
        <v>#NUM!</v>
      </c>
      <c r="BG142" s="22" t="e">
        <f t="shared" si="115"/>
        <v>#NUM!</v>
      </c>
      <c r="BH142" s="58" t="e">
        <f t="shared" si="116"/>
        <v>#NUM!</v>
      </c>
      <c r="BI142" s="58">
        <f ca="1">AVERAGE(OFFSET($BH$3,0,0,'Données projet'!$E$11+1,1))-AVERAGE(OFFSET($H$3,0,0,'Données projet'!$E$11+1,1))</f>
        <v>218.76424742311815</v>
      </c>
      <c r="BJ142" s="58">
        <f t="shared" si="146"/>
        <v>264.34598683038593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0.27051593333710189</v>
      </c>
      <c r="BQ142" s="23">
        <f>EXP(-LN(2)/25)*BQ141+(1-EXP(-LN(2)/25))/(LN(2)/25)*Calculateur!BL142*Calculateur!BN142*VLOOKUP('Données projet'!$B$11,Paramètres!$A$1:$I$89,3,0)*0.475*44/12</f>
        <v>0.21254533534115169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0.48306126867825361</v>
      </c>
      <c r="BT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1.6</v>
      </c>
      <c r="BY142" s="13">
        <f>IF('Données projet'!$A$114&gt;35,BY141+BX142-CG141,IF(A142&lt;'Données projet'!$A$114,$BV$205^A142,IF(A142='Données projet'!$A$114,'Données projet'!$B$114,BY141+BX142-CG141)))</f>
        <v>216.40000000000009</v>
      </c>
      <c r="BZ142" s="14">
        <f>BY142*VLOOKUP('Données projet'!$B$12,Paramètres!$A$1:$I$89,3,0)*VLOOKUP('Données projet'!$B$12,Paramètres!$A$1:$I$89,5,0)</f>
        <v>209.3020800000001</v>
      </c>
      <c r="CA142" s="14">
        <f t="shared" si="147"/>
        <v>51.78304308272125</v>
      </c>
      <c r="CB142" s="22">
        <f t="shared" si="118"/>
        <v>454.72325603573967</v>
      </c>
      <c r="CC142" s="58">
        <f t="shared" si="119"/>
        <v>748.05658936907298</v>
      </c>
      <c r="CD142" s="58">
        <f ca="1">AVERAGE(OFFSET($CC$3,0,0,'Données projet'!$E$12+1,1))-AVERAGE(OFFSET($H$3,0,0,'Données projet'!$E$12+1,1))</f>
        <v>343.86347628565426</v>
      </c>
      <c r="CE142" s="58">
        <f t="shared" si="148"/>
        <v>129.28196646107097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58" t="e">
        <f t="shared" si="122"/>
        <v>#N/A</v>
      </c>
      <c r="CY142" s="58" t="e">
        <f ca="1">AVERAGE(OFFSET($CX$3,0,0,'Données projet'!$E$13+1,1))-AVERAGE(OFFSET($H$3,0,0,'Données projet'!$E$13+1,1))</f>
        <v>#N/A</v>
      </c>
      <c r="CZ142" s="58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5.4092197387944907E-14</v>
      </c>
      <c r="DQ142" s="14">
        <f t="shared" si="151"/>
        <v>8.7287050538073676E-13</v>
      </c>
      <c r="DR142" s="22">
        <f t="shared" si="124"/>
        <v>1.6144600406554537E-12</v>
      </c>
      <c r="DS142" s="58">
        <f t="shared" si="125"/>
        <v>293.33333333333491</v>
      </c>
      <c r="DT142" s="58">
        <f ca="1">AVERAGE(OFFSET($DS$3,0,0,'Données projet'!$E$14+1,1))-AVERAGE(OFFSET($H$3,0,0,'Données projet'!$E$14+1,1))</f>
        <v>332.49889399440514</v>
      </c>
      <c r="DU142" s="58">
        <f t="shared" si="152"/>
        <v>256.06044006790529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5.1159076974727213E-13</v>
      </c>
      <c r="EK142" s="18">
        <f>EJ142*VLOOKUP('Données projet'!$B$15,Paramètres!$A$1:$I$89,3,0)*VLOOKUP('Données projet'!$B$15,Paramètres!$A$1:$I$89,5,0)</f>
        <v>5.3471467253984886E-13</v>
      </c>
      <c r="EL142" s="14">
        <f t="shared" si="153"/>
        <v>6.6087717628803869E-12</v>
      </c>
      <c r="EM142" s="22">
        <f t="shared" si="127"/>
        <v>1.244157220835691E-11</v>
      </c>
      <c r="EN142" s="58">
        <f t="shared" si="128"/>
        <v>293.33333333334576</v>
      </c>
      <c r="EO142" s="58">
        <f ca="1">AVERAGE(OFFSET($EN$3,0,0,'Données projet'!$E$15+1,1))-AVERAGE(OFFSET($H$3,0,0,'Données projet'!$E$15+1,1))</f>
        <v>596.00698505207174</v>
      </c>
      <c r="EP142" s="58">
        <f t="shared" si="154"/>
        <v>378.16197659288338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2.2737367544323206E-13</v>
      </c>
      <c r="FF142" s="18">
        <f>FE142*VLOOKUP('Données projet'!$B$16,Paramètres!$A$1:$I$89,3,0)*VLOOKUP('Données projet'!$B$16,Paramètres!$A$1:$I$89,5,0)</f>
        <v>1.064108801074326E-13</v>
      </c>
      <c r="FG142" s="14">
        <f t="shared" si="155"/>
        <v>1.5870730813698654E-12</v>
      </c>
      <c r="FH142" s="22">
        <f t="shared" si="130"/>
        <v>2.9494845662396269E-12</v>
      </c>
      <c r="FI142" s="58">
        <f t="shared" si="131"/>
        <v>293.33333333333627</v>
      </c>
      <c r="FJ142" s="58">
        <f ca="1">AVERAGE(OFFSET($FI$3,0,0,'Données projet'!$E$16+1,1))-AVERAGE(OFFSET($H$3,0,0,'Données projet'!$E$16+1,1))</f>
        <v>294.31042006404056</v>
      </c>
      <c r="FK142" s="58">
        <f t="shared" si="156"/>
        <v>260.93767498478502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2.8421709430404007E-13</v>
      </c>
      <c r="GA142" s="18">
        <f>FZ142*VLOOKUP('Données projet'!$B$17,Paramètres!$A$1:$I$89,3,0)*VLOOKUP('Données projet'!$B$17,Paramètres!$A$1:$I$89,5,0)</f>
        <v>1.9065282685915009E-13</v>
      </c>
      <c r="GB142" s="14">
        <f t="shared" si="157"/>
        <v>2.6568987209435707E-12</v>
      </c>
      <c r="GC142" s="22">
        <f t="shared" si="133"/>
        <v>4.959485612423072E-12</v>
      </c>
      <c r="GD142" s="58">
        <f t="shared" si="134"/>
        <v>293.33333333333826</v>
      </c>
      <c r="GE142" s="58">
        <f ca="1">AVERAGE(OFFSET($GD$3,0,0,'Données projet'!$E$17+1,1))-AVERAGE(OFFSET($H$3,0,0,'Données projet'!$E$17+1,1))</f>
        <v>362.1372269575329</v>
      </c>
      <c r="GF142" s="58">
        <f t="shared" si="158"/>
        <v>308.1559670593121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58" t="e">
        <f t="shared" si="137"/>
        <v>#N/A</v>
      </c>
      <c r="GZ142" s="58" t="e">
        <f ca="1">AVERAGE(OFFSET($GY$3,0,0,'Données projet'!$E$18+1,1))-AVERAGE(OFFSET($H$3,0,0,'Données projet'!$E$18+1,1))</f>
        <v>#N/A</v>
      </c>
      <c r="HA142" s="58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0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3">
        <f t="shared" si="110"/>
        <v>256.66666666666669</v>
      </c>
      <c r="I143" s="6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2.4666666666666668</v>
      </c>
      <c r="N143" s="14">
        <f>IF('Données projet'!$A$36&gt;35,N142+M143-V142,IF(A143&lt;'Données projet'!$A$36,$K$205^A143,IF(A143='Données projet'!$A$36,'Données projet'!$B$36,N142+M143-V142)))</f>
        <v>281.33333333333331</v>
      </c>
      <c r="O143" s="14">
        <f>N143*VLOOKUP('Données projet'!$B$9,Paramètres!$A$1:$I$89,3,0)*VLOOKUP('Données projet'!$B$9,Paramètres!$A$1:$I$89,5,0)</f>
        <v>285.27200000000005</v>
      </c>
      <c r="P143" s="14">
        <f t="shared" si="141"/>
        <v>68.079921619544379</v>
      </c>
      <c r="Q143" s="22">
        <f t="shared" si="108"/>
        <v>615.42126348737315</v>
      </c>
      <c r="R143" s="58">
        <f t="shared" si="109"/>
        <v>908.75459682070641</v>
      </c>
      <c r="S143" s="58">
        <f ca="1">AVERAGE(OFFSET($R$3,0,0,'Données projet'!$E$9+1,1))-AVERAGE(OFFSET($H$3,0,0,'Données projet'!$E$9+1,1))</f>
        <v>483.15009705023641</v>
      </c>
      <c r="T143" s="58">
        <f t="shared" si="142"/>
        <v>254.25036207346591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2.4666666666666668</v>
      </c>
      <c r="AI143" s="14">
        <f>IF('Données projet'!$A$62&gt;35,AI142+AH143-AQ142,IF(A143&lt;'Données projet'!$A$62,$AF$205^A143,IF(A143='Données projet'!$A$62,'Données projet'!$B$62,AI142+AH143-AQ142)))</f>
        <v>281.33333333333331</v>
      </c>
      <c r="AJ143" s="14">
        <f>AI143*VLOOKUP('Données projet'!$B$10,Paramètres!$A$1:$I$89,3,0)*VLOOKUP('Données projet'!$B$10,Paramètres!$A$1:$I$89,5,0)</f>
        <v>254.5504</v>
      </c>
      <c r="AK143" s="14">
        <f t="shared" si="143"/>
        <v>61.559315237055976</v>
      </c>
      <c r="AL143" s="22">
        <f t="shared" si="112"/>
        <v>550.55775403787243</v>
      </c>
      <c r="AM143" s="58">
        <f t="shared" si="113"/>
        <v>843.89108737120569</v>
      </c>
      <c r="AN143" s="58">
        <f ca="1">AVERAGE(OFFSET($AM$3,0,0,'Données projet'!$E$10+1,1))-AVERAGE(OFFSET($H$3,0,0,'Données projet'!$E$10+1,1))</f>
        <v>435.7095890216213</v>
      </c>
      <c r="AO143" s="58">
        <f t="shared" si="144"/>
        <v>231.36959598460686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-4.9658410716801891E-14</v>
      </c>
      <c r="BF143" s="14" t="e">
        <f t="shared" si="145"/>
        <v>#NUM!</v>
      </c>
      <c r="BG143" s="22" t="e">
        <f t="shared" si="115"/>
        <v>#NUM!</v>
      </c>
      <c r="BH143" s="58" t="e">
        <f t="shared" si="116"/>
        <v>#NUM!</v>
      </c>
      <c r="BI143" s="58">
        <f ca="1">AVERAGE(OFFSET($BH$3,0,0,'Données projet'!$E$11+1,1))-AVERAGE(OFFSET($H$3,0,0,'Données projet'!$E$11+1,1))</f>
        <v>218.76424742311815</v>
      </c>
      <c r="BJ143" s="58">
        <f t="shared" si="146"/>
        <v>264.34598683038593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0.26521128088278839</v>
      </c>
      <c r="BQ143" s="23">
        <f>EXP(-LN(2)/25)*BQ142+(1-EXP(-LN(2)/25))/(LN(2)/25)*Calculateur!BL143*Calculateur!BN143*VLOOKUP('Données projet'!$B$11,Paramètres!$A$1:$I$89,3,0)*0.475*44/12</f>
        <v>0.20673327196897448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0.47194455285176284</v>
      </c>
      <c r="BT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1.6</v>
      </c>
      <c r="BY143" s="13">
        <f>IF('Données projet'!$A$114&gt;35,BY142+BX143-CG142,IF(A143&lt;'Données projet'!$A$114,$BV$205^A143,IF(A143='Données projet'!$A$114,'Données projet'!$B$114,BY142+BX143-CG142)))</f>
        <v>218.00000000000009</v>
      </c>
      <c r="BZ143" s="14">
        <f>BY143*VLOOKUP('Données projet'!$B$12,Paramètres!$A$1:$I$89,3,0)*VLOOKUP('Données projet'!$B$12,Paramètres!$A$1:$I$89,5,0)</f>
        <v>210.84960000000009</v>
      </c>
      <c r="CA143" s="14">
        <f t="shared" si="147"/>
        <v>52.121201024231922</v>
      </c>
      <c r="CB143" s="22">
        <f t="shared" si="118"/>
        <v>458.00747845053735</v>
      </c>
      <c r="CC143" s="58">
        <f t="shared" si="119"/>
        <v>751.34081178387066</v>
      </c>
      <c r="CD143" s="58">
        <f ca="1">AVERAGE(OFFSET($CC$3,0,0,'Données projet'!$E$12+1,1))-AVERAGE(OFFSET($H$3,0,0,'Données projet'!$E$12+1,1))</f>
        <v>343.86347628565426</v>
      </c>
      <c r="CE143" s="58">
        <f t="shared" si="148"/>
        <v>129.28196646107097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58" t="e">
        <f t="shared" si="122"/>
        <v>#N/A</v>
      </c>
      <c r="CY143" s="58" t="e">
        <f ca="1">AVERAGE(OFFSET($CX$3,0,0,'Données projet'!$E$13+1,1))-AVERAGE(OFFSET($H$3,0,0,'Données projet'!$E$13+1,1))</f>
        <v>#N/A</v>
      </c>
      <c r="CZ143" s="58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5.4092197387944907E-14</v>
      </c>
      <c r="DQ143" s="14">
        <f t="shared" si="151"/>
        <v>8.7287050538073676E-13</v>
      </c>
      <c r="DR143" s="22">
        <f t="shared" si="124"/>
        <v>1.6144600406554537E-12</v>
      </c>
      <c r="DS143" s="58">
        <f t="shared" si="125"/>
        <v>293.33333333333491</v>
      </c>
      <c r="DT143" s="58">
        <f ca="1">AVERAGE(OFFSET($DS$3,0,0,'Données projet'!$E$14+1,1))-AVERAGE(OFFSET($H$3,0,0,'Données projet'!$E$14+1,1))</f>
        <v>332.49889399440514</v>
      </c>
      <c r="DU143" s="58">
        <f t="shared" si="152"/>
        <v>256.06044006790529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5.1159076974727213E-13</v>
      </c>
      <c r="EK143" s="18">
        <f>EJ143*VLOOKUP('Données projet'!$B$15,Paramètres!$A$1:$I$89,3,0)*VLOOKUP('Données projet'!$B$15,Paramètres!$A$1:$I$89,5,0)</f>
        <v>5.3471467253984886E-13</v>
      </c>
      <c r="EL143" s="14">
        <f t="shared" si="153"/>
        <v>6.6087717628803869E-12</v>
      </c>
      <c r="EM143" s="22">
        <f t="shared" si="127"/>
        <v>1.244157220835691E-11</v>
      </c>
      <c r="EN143" s="58">
        <f t="shared" si="128"/>
        <v>293.33333333334576</v>
      </c>
      <c r="EO143" s="58">
        <f ca="1">AVERAGE(OFFSET($EN$3,0,0,'Données projet'!$E$15+1,1))-AVERAGE(OFFSET($H$3,0,0,'Données projet'!$E$15+1,1))</f>
        <v>596.00698505207174</v>
      </c>
      <c r="EP143" s="58">
        <f t="shared" si="154"/>
        <v>378.16197659288338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2.2737367544323206E-13</v>
      </c>
      <c r="FF143" s="18">
        <f>FE143*VLOOKUP('Données projet'!$B$16,Paramètres!$A$1:$I$89,3,0)*VLOOKUP('Données projet'!$B$16,Paramètres!$A$1:$I$89,5,0)</f>
        <v>1.064108801074326E-13</v>
      </c>
      <c r="FG143" s="14">
        <f t="shared" si="155"/>
        <v>1.5870730813698654E-12</v>
      </c>
      <c r="FH143" s="22">
        <f t="shared" si="130"/>
        <v>2.9494845662396269E-12</v>
      </c>
      <c r="FI143" s="58">
        <f t="shared" si="131"/>
        <v>293.33333333333627</v>
      </c>
      <c r="FJ143" s="58">
        <f ca="1">AVERAGE(OFFSET($FI$3,0,0,'Données projet'!$E$16+1,1))-AVERAGE(OFFSET($H$3,0,0,'Données projet'!$E$16+1,1))</f>
        <v>294.31042006404056</v>
      </c>
      <c r="FK143" s="58">
        <f t="shared" si="156"/>
        <v>260.93767498478502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2.8421709430404007E-13</v>
      </c>
      <c r="GA143" s="18">
        <f>FZ143*VLOOKUP('Données projet'!$B$17,Paramètres!$A$1:$I$89,3,0)*VLOOKUP('Données projet'!$B$17,Paramètres!$A$1:$I$89,5,0)</f>
        <v>1.9065282685915009E-13</v>
      </c>
      <c r="GB143" s="14">
        <f t="shared" si="157"/>
        <v>2.6568987209435707E-12</v>
      </c>
      <c r="GC143" s="22">
        <f t="shared" si="133"/>
        <v>4.959485612423072E-12</v>
      </c>
      <c r="GD143" s="58">
        <f t="shared" si="134"/>
        <v>293.33333333333826</v>
      </c>
      <c r="GE143" s="58">
        <f ca="1">AVERAGE(OFFSET($GD$3,0,0,'Données projet'!$E$17+1,1))-AVERAGE(OFFSET($H$3,0,0,'Données projet'!$E$17+1,1))</f>
        <v>362.1372269575329</v>
      </c>
      <c r="GF143" s="58">
        <f t="shared" si="158"/>
        <v>308.1559670593121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58" t="e">
        <f t="shared" si="137"/>
        <v>#N/A</v>
      </c>
      <c r="GZ143" s="58" t="e">
        <f ca="1">AVERAGE(OFFSET($GY$3,0,0,'Données projet'!$E$18+1,1))-AVERAGE(OFFSET($H$3,0,0,'Données projet'!$E$18+1,1))</f>
        <v>#N/A</v>
      </c>
      <c r="HA143" s="58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0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3">
        <f t="shared" si="110"/>
        <v>256.66666666666669</v>
      </c>
      <c r="I144" s="6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2.4666666666666668</v>
      </c>
      <c r="N144" s="14">
        <f>IF('Données projet'!$A$36&gt;35,N143+M144-V143,IF(A144&lt;'Données projet'!$A$36,$K$205^A144,IF(A144='Données projet'!$A$36,'Données projet'!$B$36,N143+M144-V143)))</f>
        <v>283.79999999999995</v>
      </c>
      <c r="O144" s="14">
        <f>N144*VLOOKUP('Données projet'!$B$9,Paramètres!$A$1:$I$89,3,0)*VLOOKUP('Données projet'!$B$9,Paramètres!$A$1:$I$89,5,0)</f>
        <v>287.77319999999997</v>
      </c>
      <c r="P144" s="14">
        <f t="shared" si="141"/>
        <v>68.607082381743851</v>
      </c>
      <c r="Q144" s="22">
        <f t="shared" si="108"/>
        <v>620.69565848153707</v>
      </c>
      <c r="R144" s="58">
        <f t="shared" si="109"/>
        <v>914.02899181487032</v>
      </c>
      <c r="S144" s="58">
        <f ca="1">AVERAGE(OFFSET($R$3,0,0,'Données projet'!$E$9+1,1))-AVERAGE(OFFSET($H$3,0,0,'Données projet'!$E$9+1,1))</f>
        <v>483.15009705023641</v>
      </c>
      <c r="T144" s="58">
        <f t="shared" si="142"/>
        <v>254.25036207346591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2.4666666666666668</v>
      </c>
      <c r="AI144" s="14">
        <f>IF('Données projet'!$A$62&gt;35,AI143+AH144-AQ143,IF(A144&lt;'Données projet'!$A$62,$AF$205^A144,IF(A144='Données projet'!$A$62,'Données projet'!$B$62,AI143+AH144-AQ143)))</f>
        <v>283.79999999999995</v>
      </c>
      <c r="AJ144" s="14">
        <f>AI144*VLOOKUP('Données projet'!$B$10,Paramètres!$A$1:$I$89,3,0)*VLOOKUP('Données projet'!$B$10,Paramètres!$A$1:$I$89,5,0)</f>
        <v>256.78223999999994</v>
      </c>
      <c r="AK144" s="14">
        <f t="shared" si="143"/>
        <v>62.03598522681002</v>
      </c>
      <c r="AL144" s="22">
        <f t="shared" si="112"/>
        <v>555.27507560336073</v>
      </c>
      <c r="AM144" s="58">
        <f t="shared" si="113"/>
        <v>848.6084089366941</v>
      </c>
      <c r="AN144" s="58">
        <f ca="1">AVERAGE(OFFSET($AM$3,0,0,'Données projet'!$E$10+1,1))-AVERAGE(OFFSET($H$3,0,0,'Données projet'!$E$10+1,1))</f>
        <v>435.7095890216213</v>
      </c>
      <c r="AO144" s="58">
        <f t="shared" si="144"/>
        <v>231.36959598460686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-4.9658410716801891E-14</v>
      </c>
      <c r="BF144" s="14" t="e">
        <f t="shared" si="145"/>
        <v>#NUM!</v>
      </c>
      <c r="BG144" s="22" t="e">
        <f t="shared" si="115"/>
        <v>#NUM!</v>
      </c>
      <c r="BH144" s="58" t="e">
        <f t="shared" si="116"/>
        <v>#NUM!</v>
      </c>
      <c r="BI144" s="58">
        <f ca="1">AVERAGE(OFFSET($BH$3,0,0,'Données projet'!$E$11+1,1))-AVERAGE(OFFSET($H$3,0,0,'Données projet'!$E$11+1,1))</f>
        <v>218.76424742311815</v>
      </c>
      <c r="BJ144" s="58">
        <f t="shared" si="146"/>
        <v>264.34598683038593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0.26001064942758551</v>
      </c>
      <c r="BQ144" s="23">
        <f>EXP(-LN(2)/25)*BQ143+(1-EXP(-LN(2)/25))/(LN(2)/25)*Calculateur!BL144*Calculateur!BN144*VLOOKUP('Données projet'!$B$11,Paramètres!$A$1:$I$89,3,0)*0.475*44/12</f>
        <v>0.20108013977535261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0.46109078920293811</v>
      </c>
      <c r="BT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1.6</v>
      </c>
      <c r="BY144" s="13">
        <f>IF('Données projet'!$A$114&gt;35,BY143+BX144-CG143,IF(A144&lt;'Données projet'!$A$114,$BV$205^A144,IF(A144='Données projet'!$A$114,'Données projet'!$B$114,BY143+BX144-CG143)))</f>
        <v>219.60000000000008</v>
      </c>
      <c r="BZ144" s="14">
        <f>BY144*VLOOKUP('Données projet'!$B$12,Paramètres!$A$1:$I$89,3,0)*VLOOKUP('Données projet'!$B$12,Paramètres!$A$1:$I$89,5,0)</f>
        <v>212.39712000000009</v>
      </c>
      <c r="CA144" s="14">
        <f t="shared" si="147"/>
        <v>52.459070194004759</v>
      </c>
      <c r="CB144" s="22">
        <f t="shared" si="118"/>
        <v>461.29119792122509</v>
      </c>
      <c r="CC144" s="58">
        <f t="shared" si="119"/>
        <v>754.62453125455841</v>
      </c>
      <c r="CD144" s="58">
        <f ca="1">AVERAGE(OFFSET($CC$3,0,0,'Données projet'!$E$12+1,1))-AVERAGE(OFFSET($H$3,0,0,'Données projet'!$E$12+1,1))</f>
        <v>343.86347628565426</v>
      </c>
      <c r="CE144" s="58">
        <f t="shared" si="148"/>
        <v>129.28196646107097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58" t="e">
        <f t="shared" si="122"/>
        <v>#N/A</v>
      </c>
      <c r="CY144" s="58" t="e">
        <f ca="1">AVERAGE(OFFSET($CX$3,0,0,'Données projet'!$E$13+1,1))-AVERAGE(OFFSET($H$3,0,0,'Données projet'!$E$13+1,1))</f>
        <v>#N/A</v>
      </c>
      <c r="CZ144" s="58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5.4092197387944907E-14</v>
      </c>
      <c r="DQ144" s="14">
        <f t="shared" si="151"/>
        <v>8.7287050538073676E-13</v>
      </c>
      <c r="DR144" s="22">
        <f t="shared" si="124"/>
        <v>1.6144600406554537E-12</v>
      </c>
      <c r="DS144" s="58">
        <f t="shared" si="125"/>
        <v>293.33333333333491</v>
      </c>
      <c r="DT144" s="58">
        <f ca="1">AVERAGE(OFFSET($DS$3,0,0,'Données projet'!$E$14+1,1))-AVERAGE(OFFSET($H$3,0,0,'Données projet'!$E$14+1,1))</f>
        <v>332.49889399440514</v>
      </c>
      <c r="DU144" s="58">
        <f t="shared" si="152"/>
        <v>256.06044006790529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5.1159076974727213E-13</v>
      </c>
      <c r="EK144" s="18">
        <f>EJ144*VLOOKUP('Données projet'!$B$15,Paramètres!$A$1:$I$89,3,0)*VLOOKUP('Données projet'!$B$15,Paramètres!$A$1:$I$89,5,0)</f>
        <v>5.3471467253984886E-13</v>
      </c>
      <c r="EL144" s="14">
        <f t="shared" si="153"/>
        <v>6.6087717628803869E-12</v>
      </c>
      <c r="EM144" s="22">
        <f t="shared" si="127"/>
        <v>1.244157220835691E-11</v>
      </c>
      <c r="EN144" s="58">
        <f t="shared" si="128"/>
        <v>293.33333333334576</v>
      </c>
      <c r="EO144" s="58">
        <f ca="1">AVERAGE(OFFSET($EN$3,0,0,'Données projet'!$E$15+1,1))-AVERAGE(OFFSET($H$3,0,0,'Données projet'!$E$15+1,1))</f>
        <v>596.00698505207174</v>
      </c>
      <c r="EP144" s="58">
        <f t="shared" si="154"/>
        <v>378.16197659288338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2.2737367544323206E-13</v>
      </c>
      <c r="FF144" s="18">
        <f>FE144*VLOOKUP('Données projet'!$B$16,Paramètres!$A$1:$I$89,3,0)*VLOOKUP('Données projet'!$B$16,Paramètres!$A$1:$I$89,5,0)</f>
        <v>1.064108801074326E-13</v>
      </c>
      <c r="FG144" s="14">
        <f t="shared" si="155"/>
        <v>1.5870730813698654E-12</v>
      </c>
      <c r="FH144" s="22">
        <f t="shared" si="130"/>
        <v>2.9494845662396269E-12</v>
      </c>
      <c r="FI144" s="58">
        <f t="shared" si="131"/>
        <v>293.33333333333627</v>
      </c>
      <c r="FJ144" s="58">
        <f ca="1">AVERAGE(OFFSET($FI$3,0,0,'Données projet'!$E$16+1,1))-AVERAGE(OFFSET($H$3,0,0,'Données projet'!$E$16+1,1))</f>
        <v>294.31042006404056</v>
      </c>
      <c r="FK144" s="58">
        <f t="shared" si="156"/>
        <v>260.93767498478502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2.8421709430404007E-13</v>
      </c>
      <c r="GA144" s="18">
        <f>FZ144*VLOOKUP('Données projet'!$B$17,Paramètres!$A$1:$I$89,3,0)*VLOOKUP('Données projet'!$B$17,Paramètres!$A$1:$I$89,5,0)</f>
        <v>1.9065282685915009E-13</v>
      </c>
      <c r="GB144" s="14">
        <f t="shared" si="157"/>
        <v>2.6568987209435707E-12</v>
      </c>
      <c r="GC144" s="22">
        <f t="shared" si="133"/>
        <v>4.959485612423072E-12</v>
      </c>
      <c r="GD144" s="58">
        <f t="shared" si="134"/>
        <v>293.33333333333826</v>
      </c>
      <c r="GE144" s="58">
        <f ca="1">AVERAGE(OFFSET($GD$3,0,0,'Données projet'!$E$17+1,1))-AVERAGE(OFFSET($H$3,0,0,'Données projet'!$E$17+1,1))</f>
        <v>362.1372269575329</v>
      </c>
      <c r="GF144" s="58">
        <f t="shared" si="158"/>
        <v>308.1559670593121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58" t="e">
        <f t="shared" si="137"/>
        <v>#N/A</v>
      </c>
      <c r="GZ144" s="58" t="e">
        <f ca="1">AVERAGE(OFFSET($GY$3,0,0,'Données projet'!$E$18+1,1))-AVERAGE(OFFSET($H$3,0,0,'Données projet'!$E$18+1,1))</f>
        <v>#N/A</v>
      </c>
      <c r="HA144" s="58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0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3">
        <f t="shared" si="110"/>
        <v>256.66666666666669</v>
      </c>
      <c r="I145" s="6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2.4666666666666668</v>
      </c>
      <c r="N145" s="14">
        <f>IF('Données projet'!$A$36&gt;35,N144+M145-V144,IF(A145&lt;'Données projet'!$A$36,$K$205^A145,IF(A145='Données projet'!$A$36,'Données projet'!$B$36,N144+M145-V144)))</f>
        <v>286.26666666666659</v>
      </c>
      <c r="O145" s="14">
        <f>N145*VLOOKUP('Données projet'!$B$9,Paramètres!$A$1:$I$89,3,0)*VLOOKUP('Données projet'!$B$9,Paramètres!$A$1:$I$89,5,0)</f>
        <v>290.27439999999996</v>
      </c>
      <c r="P145" s="14">
        <f t="shared" si="141"/>
        <v>69.133710078848338</v>
      </c>
      <c r="Q145" s="22">
        <f t="shared" si="108"/>
        <v>625.96912505399405</v>
      </c>
      <c r="R145" s="58">
        <f t="shared" si="109"/>
        <v>919.30245838732731</v>
      </c>
      <c r="S145" s="58">
        <f ca="1">AVERAGE(OFFSET($R$3,0,0,'Données projet'!$E$9+1,1))-AVERAGE(OFFSET($H$3,0,0,'Données projet'!$E$9+1,1))</f>
        <v>483.15009705023641</v>
      </c>
      <c r="T145" s="58">
        <f t="shared" si="142"/>
        <v>254.25036207346591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2.4666666666666668</v>
      </c>
      <c r="AI145" s="14">
        <f>IF('Données projet'!$A$62&gt;35,AI144+AH145-AQ144,IF(A145&lt;'Données projet'!$A$62,$AF$205^A145,IF(A145='Données projet'!$A$62,'Données projet'!$B$62,AI144+AH145-AQ144)))</f>
        <v>286.26666666666659</v>
      </c>
      <c r="AJ145" s="14">
        <f>AI145*VLOOKUP('Données projet'!$B$10,Paramètres!$A$1:$I$89,3,0)*VLOOKUP('Données projet'!$B$10,Paramètres!$A$1:$I$89,5,0)</f>
        <v>259.01407999999992</v>
      </c>
      <c r="AK145" s="14">
        <f t="shared" si="143"/>
        <v>62.512173207750834</v>
      </c>
      <c r="AL145" s="22">
        <f t="shared" si="112"/>
        <v>559.99155767016589</v>
      </c>
      <c r="AM145" s="58">
        <f t="shared" si="113"/>
        <v>853.32489100349926</v>
      </c>
      <c r="AN145" s="58">
        <f ca="1">AVERAGE(OFFSET($AM$3,0,0,'Données projet'!$E$10+1,1))-AVERAGE(OFFSET($H$3,0,0,'Données projet'!$E$10+1,1))</f>
        <v>435.7095890216213</v>
      </c>
      <c r="AO145" s="58">
        <f t="shared" si="144"/>
        <v>231.36959598460686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-4.9658410716801891E-14</v>
      </c>
      <c r="BF145" s="14" t="e">
        <f t="shared" si="145"/>
        <v>#NUM!</v>
      </c>
      <c r="BG145" s="22" t="e">
        <f t="shared" si="115"/>
        <v>#NUM!</v>
      </c>
      <c r="BH145" s="58" t="e">
        <f t="shared" si="116"/>
        <v>#NUM!</v>
      </c>
      <c r="BI145" s="58">
        <f ca="1">AVERAGE(OFFSET($BH$3,0,0,'Données projet'!$E$11+1,1))-AVERAGE(OFFSET($H$3,0,0,'Données projet'!$E$11+1,1))</f>
        <v>218.76424742311815</v>
      </c>
      <c r="BJ145" s="58">
        <f t="shared" si="146"/>
        <v>264.34598683038593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0.25491199918314716</v>
      </c>
      <c r="BQ145" s="23">
        <f>EXP(-LN(2)/25)*BQ144+(1-EXP(-LN(2)/25))/(LN(2)/25)*Calculateur!BL145*Calculateur!BN145*VLOOKUP('Données projet'!$B$11,Paramètres!$A$1:$I$89,3,0)*0.475*44/12</f>
        <v>0.19558159277885062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0.45049359196199779</v>
      </c>
      <c r="BT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1.6</v>
      </c>
      <c r="BY145" s="13">
        <f>IF('Données projet'!$A$114&gt;35,BY144+BX145-CG144,IF(A145&lt;'Données projet'!$A$114,$BV$205^A145,IF(A145='Données projet'!$A$114,'Données projet'!$B$114,BY144+BX145-CG144)))</f>
        <v>221.20000000000007</v>
      </c>
      <c r="BZ145" s="14">
        <f>BY145*VLOOKUP('Données projet'!$B$12,Paramètres!$A$1:$I$89,3,0)*VLOOKUP('Données projet'!$B$12,Paramètres!$A$1:$I$89,5,0)</f>
        <v>213.94464000000005</v>
      </c>
      <c r="CA145" s="14">
        <f t="shared" si="147"/>
        <v>52.796652939972887</v>
      </c>
      <c r="CB145" s="22">
        <f t="shared" si="118"/>
        <v>464.57441853711953</v>
      </c>
      <c r="CC145" s="58">
        <f t="shared" si="119"/>
        <v>757.90775187045278</v>
      </c>
      <c r="CD145" s="58">
        <f ca="1">AVERAGE(OFFSET($CC$3,0,0,'Données projet'!$E$12+1,1))-AVERAGE(OFFSET($H$3,0,0,'Données projet'!$E$12+1,1))</f>
        <v>343.86347628565426</v>
      </c>
      <c r="CE145" s="58">
        <f t="shared" si="148"/>
        <v>129.28196646107097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58" t="e">
        <f t="shared" si="122"/>
        <v>#N/A</v>
      </c>
      <c r="CY145" s="58" t="e">
        <f ca="1">AVERAGE(OFFSET($CX$3,0,0,'Données projet'!$E$13+1,1))-AVERAGE(OFFSET($H$3,0,0,'Données projet'!$E$13+1,1))</f>
        <v>#N/A</v>
      </c>
      <c r="CZ145" s="58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5.4092197387944907E-14</v>
      </c>
      <c r="DQ145" s="14">
        <f t="shared" si="151"/>
        <v>8.7287050538073676E-13</v>
      </c>
      <c r="DR145" s="22">
        <f t="shared" si="124"/>
        <v>1.6144600406554537E-12</v>
      </c>
      <c r="DS145" s="58">
        <f t="shared" si="125"/>
        <v>293.33333333333491</v>
      </c>
      <c r="DT145" s="58">
        <f ca="1">AVERAGE(OFFSET($DS$3,0,0,'Données projet'!$E$14+1,1))-AVERAGE(OFFSET($H$3,0,0,'Données projet'!$E$14+1,1))</f>
        <v>332.49889399440514</v>
      </c>
      <c r="DU145" s="58">
        <f t="shared" si="152"/>
        <v>256.06044006790529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5.1159076974727213E-13</v>
      </c>
      <c r="EK145" s="18">
        <f>EJ145*VLOOKUP('Données projet'!$B$15,Paramètres!$A$1:$I$89,3,0)*VLOOKUP('Données projet'!$B$15,Paramètres!$A$1:$I$89,5,0)</f>
        <v>5.3471467253984886E-13</v>
      </c>
      <c r="EL145" s="14">
        <f t="shared" si="153"/>
        <v>6.6087717628803869E-12</v>
      </c>
      <c r="EM145" s="22">
        <f t="shared" si="127"/>
        <v>1.244157220835691E-11</v>
      </c>
      <c r="EN145" s="58">
        <f t="shared" si="128"/>
        <v>293.33333333334576</v>
      </c>
      <c r="EO145" s="58">
        <f ca="1">AVERAGE(OFFSET($EN$3,0,0,'Données projet'!$E$15+1,1))-AVERAGE(OFFSET($H$3,0,0,'Données projet'!$E$15+1,1))</f>
        <v>596.00698505207174</v>
      </c>
      <c r="EP145" s="58">
        <f t="shared" si="154"/>
        <v>378.16197659288338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2.2737367544323206E-13</v>
      </c>
      <c r="FF145" s="18">
        <f>FE145*VLOOKUP('Données projet'!$B$16,Paramètres!$A$1:$I$89,3,0)*VLOOKUP('Données projet'!$B$16,Paramètres!$A$1:$I$89,5,0)</f>
        <v>1.064108801074326E-13</v>
      </c>
      <c r="FG145" s="14">
        <f t="shared" si="155"/>
        <v>1.5870730813698654E-12</v>
      </c>
      <c r="FH145" s="22">
        <f t="shared" si="130"/>
        <v>2.9494845662396269E-12</v>
      </c>
      <c r="FI145" s="58">
        <f t="shared" si="131"/>
        <v>293.33333333333627</v>
      </c>
      <c r="FJ145" s="58">
        <f ca="1">AVERAGE(OFFSET($FI$3,0,0,'Données projet'!$E$16+1,1))-AVERAGE(OFFSET($H$3,0,0,'Données projet'!$E$16+1,1))</f>
        <v>294.31042006404056</v>
      </c>
      <c r="FK145" s="58">
        <f t="shared" si="156"/>
        <v>260.93767498478502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2.8421709430404007E-13</v>
      </c>
      <c r="GA145" s="18">
        <f>FZ145*VLOOKUP('Données projet'!$B$17,Paramètres!$A$1:$I$89,3,0)*VLOOKUP('Données projet'!$B$17,Paramètres!$A$1:$I$89,5,0)</f>
        <v>1.9065282685915009E-13</v>
      </c>
      <c r="GB145" s="14">
        <f t="shared" si="157"/>
        <v>2.6568987209435707E-12</v>
      </c>
      <c r="GC145" s="22">
        <f t="shared" si="133"/>
        <v>4.959485612423072E-12</v>
      </c>
      <c r="GD145" s="58">
        <f t="shared" si="134"/>
        <v>293.33333333333826</v>
      </c>
      <c r="GE145" s="58">
        <f ca="1">AVERAGE(OFFSET($GD$3,0,0,'Données projet'!$E$17+1,1))-AVERAGE(OFFSET($H$3,0,0,'Données projet'!$E$17+1,1))</f>
        <v>362.1372269575329</v>
      </c>
      <c r="GF145" s="58">
        <f t="shared" si="158"/>
        <v>308.1559670593121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58" t="e">
        <f t="shared" si="137"/>
        <v>#N/A</v>
      </c>
      <c r="GZ145" s="58" t="e">
        <f ca="1">AVERAGE(OFFSET($GY$3,0,0,'Données projet'!$E$18+1,1))-AVERAGE(OFFSET($H$3,0,0,'Données projet'!$E$18+1,1))</f>
        <v>#N/A</v>
      </c>
      <c r="HA145" s="58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0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3">
        <f t="shared" si="110"/>
        <v>256.66666666666669</v>
      </c>
      <c r="I146" s="6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2.4666666666666668</v>
      </c>
      <c r="N146" s="14">
        <f>IF('Données projet'!$A$36&gt;35,N145+M146-V145,IF(A146&lt;'Données projet'!$A$36,$K$205^A146,IF(A146='Données projet'!$A$36,'Données projet'!$B$36,N145+M146-V145)))</f>
        <v>288.73333333333323</v>
      </c>
      <c r="O146" s="14">
        <f>N146*VLOOKUP('Données projet'!$B$9,Paramètres!$A$1:$I$89,3,0)*VLOOKUP('Données projet'!$B$9,Paramètres!$A$1:$I$89,5,0)</f>
        <v>292.77559999999994</v>
      </c>
      <c r="P146" s="14">
        <f t="shared" si="141"/>
        <v>69.65980983631701</v>
      </c>
      <c r="Q146" s="22">
        <f t="shared" si="108"/>
        <v>631.24167213158523</v>
      </c>
      <c r="R146" s="58">
        <f t="shared" si="109"/>
        <v>924.5750054649186</v>
      </c>
      <c r="S146" s="58">
        <f ca="1">AVERAGE(OFFSET($R$3,0,0,'Données projet'!$E$9+1,1))-AVERAGE(OFFSET($H$3,0,0,'Données projet'!$E$9+1,1))</f>
        <v>483.15009705023641</v>
      </c>
      <c r="T146" s="58">
        <f t="shared" si="142"/>
        <v>254.25036207346591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2.4666666666666668</v>
      </c>
      <c r="AI146" s="14">
        <f>IF('Données projet'!$A$62&gt;35,AI145+AH146-AQ145,IF(A146&lt;'Données projet'!$A$62,$AF$205^A146,IF(A146='Données projet'!$A$62,'Données projet'!$B$62,AI145+AH146-AQ145)))</f>
        <v>288.73333333333323</v>
      </c>
      <c r="AJ146" s="14">
        <f>AI146*VLOOKUP('Données projet'!$B$10,Paramètres!$A$1:$I$89,3,0)*VLOOKUP('Données projet'!$B$10,Paramètres!$A$1:$I$89,5,0)</f>
        <v>261.2459199999999</v>
      </c>
      <c r="AK146" s="14">
        <f t="shared" si="143"/>
        <v>62.987883814427718</v>
      </c>
      <c r="AL146" s="22">
        <f t="shared" si="112"/>
        <v>564.70720831012807</v>
      </c>
      <c r="AM146" s="58">
        <f t="shared" si="113"/>
        <v>858.04054164346144</v>
      </c>
      <c r="AN146" s="58">
        <f ca="1">AVERAGE(OFFSET($AM$3,0,0,'Données projet'!$E$10+1,1))-AVERAGE(OFFSET($H$3,0,0,'Données projet'!$E$10+1,1))</f>
        <v>435.7095890216213</v>
      </c>
      <c r="AO146" s="58">
        <f t="shared" si="144"/>
        <v>231.36959598460686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-4.9658410716801891E-14</v>
      </c>
      <c r="BF146" s="14" t="e">
        <f t="shared" si="145"/>
        <v>#NUM!</v>
      </c>
      <c r="BG146" s="22" t="e">
        <f t="shared" si="115"/>
        <v>#NUM!</v>
      </c>
      <c r="BH146" s="58" t="e">
        <f t="shared" si="116"/>
        <v>#NUM!</v>
      </c>
      <c r="BI146" s="58">
        <f ca="1">AVERAGE(OFFSET($BH$3,0,0,'Données projet'!$E$11+1,1))-AVERAGE(OFFSET($H$3,0,0,'Données projet'!$E$11+1,1))</f>
        <v>218.76424742311815</v>
      </c>
      <c r="BJ146" s="58">
        <f t="shared" si="146"/>
        <v>264.34598683038593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0.24991333036013269</v>
      </c>
      <c r="BQ146" s="23">
        <f>EXP(-LN(2)/25)*BQ145+(1-EXP(-LN(2)/25))/(LN(2)/25)*Calculateur!BL146*Calculateur!BN146*VLOOKUP('Données projet'!$B$11,Paramètres!$A$1:$I$89,3,0)*0.475*44/12</f>
        <v>0.19023340383912399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0.44014673419925665</v>
      </c>
      <c r="BT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1.6</v>
      </c>
      <c r="BY146" s="13">
        <f>IF('Données projet'!$A$114&gt;35,BY145+BX146-CG145,IF(A146&lt;'Données projet'!$A$114,$BV$205^A146,IF(A146='Données projet'!$A$114,'Données projet'!$B$114,BY145+BX146-CG145)))</f>
        <v>222.80000000000007</v>
      </c>
      <c r="BZ146" s="14">
        <f>BY146*VLOOKUP('Données projet'!$B$12,Paramètres!$A$1:$I$89,3,0)*VLOOKUP('Données projet'!$B$12,Paramètres!$A$1:$I$89,5,0)</f>
        <v>215.4921600000001</v>
      </c>
      <c r="CA146" s="14">
        <f t="shared" si="147"/>
        <v>53.133951574140234</v>
      </c>
      <c r="CB146" s="22">
        <f t="shared" si="118"/>
        <v>467.8571443249611</v>
      </c>
      <c r="CC146" s="58">
        <f t="shared" si="119"/>
        <v>761.19047765829441</v>
      </c>
      <c r="CD146" s="58">
        <f ca="1">AVERAGE(OFFSET($CC$3,0,0,'Données projet'!$E$12+1,1))-AVERAGE(OFFSET($H$3,0,0,'Données projet'!$E$12+1,1))</f>
        <v>343.86347628565426</v>
      </c>
      <c r="CE146" s="58">
        <f t="shared" si="148"/>
        <v>129.28196646107097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58" t="e">
        <f t="shared" si="122"/>
        <v>#N/A</v>
      </c>
      <c r="CY146" s="58" t="e">
        <f ca="1">AVERAGE(OFFSET($CX$3,0,0,'Données projet'!$E$13+1,1))-AVERAGE(OFFSET($H$3,0,0,'Données projet'!$E$13+1,1))</f>
        <v>#N/A</v>
      </c>
      <c r="CZ146" s="58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5.4092197387944907E-14</v>
      </c>
      <c r="DQ146" s="14">
        <f t="shared" si="151"/>
        <v>8.7287050538073676E-13</v>
      </c>
      <c r="DR146" s="22">
        <f t="shared" si="124"/>
        <v>1.6144600406554537E-12</v>
      </c>
      <c r="DS146" s="58">
        <f t="shared" si="125"/>
        <v>293.33333333333491</v>
      </c>
      <c r="DT146" s="58">
        <f ca="1">AVERAGE(OFFSET($DS$3,0,0,'Données projet'!$E$14+1,1))-AVERAGE(OFFSET($H$3,0,0,'Données projet'!$E$14+1,1))</f>
        <v>332.49889399440514</v>
      </c>
      <c r="DU146" s="58">
        <f t="shared" si="152"/>
        <v>256.06044006790529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5.1159076974727213E-13</v>
      </c>
      <c r="EK146" s="18">
        <f>EJ146*VLOOKUP('Données projet'!$B$15,Paramètres!$A$1:$I$89,3,0)*VLOOKUP('Données projet'!$B$15,Paramètres!$A$1:$I$89,5,0)</f>
        <v>5.3471467253984886E-13</v>
      </c>
      <c r="EL146" s="14">
        <f t="shared" si="153"/>
        <v>6.6087717628803869E-12</v>
      </c>
      <c r="EM146" s="22">
        <f t="shared" si="127"/>
        <v>1.244157220835691E-11</v>
      </c>
      <c r="EN146" s="58">
        <f t="shared" si="128"/>
        <v>293.33333333334576</v>
      </c>
      <c r="EO146" s="58">
        <f ca="1">AVERAGE(OFFSET($EN$3,0,0,'Données projet'!$E$15+1,1))-AVERAGE(OFFSET($H$3,0,0,'Données projet'!$E$15+1,1))</f>
        <v>596.00698505207174</v>
      </c>
      <c r="EP146" s="58">
        <f t="shared" si="154"/>
        <v>378.16197659288338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2.2737367544323206E-13</v>
      </c>
      <c r="FF146" s="18">
        <f>FE146*VLOOKUP('Données projet'!$B$16,Paramètres!$A$1:$I$89,3,0)*VLOOKUP('Données projet'!$B$16,Paramètres!$A$1:$I$89,5,0)</f>
        <v>1.064108801074326E-13</v>
      </c>
      <c r="FG146" s="14">
        <f t="shared" si="155"/>
        <v>1.5870730813698654E-12</v>
      </c>
      <c r="FH146" s="22">
        <f t="shared" si="130"/>
        <v>2.9494845662396269E-12</v>
      </c>
      <c r="FI146" s="58">
        <f t="shared" si="131"/>
        <v>293.33333333333627</v>
      </c>
      <c r="FJ146" s="58">
        <f ca="1">AVERAGE(OFFSET($FI$3,0,0,'Données projet'!$E$16+1,1))-AVERAGE(OFFSET($H$3,0,0,'Données projet'!$E$16+1,1))</f>
        <v>294.31042006404056</v>
      </c>
      <c r="FK146" s="58">
        <f t="shared" si="156"/>
        <v>260.93767498478502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2.8421709430404007E-13</v>
      </c>
      <c r="GA146" s="18">
        <f>FZ146*VLOOKUP('Données projet'!$B$17,Paramètres!$A$1:$I$89,3,0)*VLOOKUP('Données projet'!$B$17,Paramètres!$A$1:$I$89,5,0)</f>
        <v>1.9065282685915009E-13</v>
      </c>
      <c r="GB146" s="14">
        <f t="shared" si="157"/>
        <v>2.6568987209435707E-12</v>
      </c>
      <c r="GC146" s="22">
        <f t="shared" si="133"/>
        <v>4.959485612423072E-12</v>
      </c>
      <c r="GD146" s="58">
        <f t="shared" si="134"/>
        <v>293.33333333333826</v>
      </c>
      <c r="GE146" s="58">
        <f ca="1">AVERAGE(OFFSET($GD$3,0,0,'Données projet'!$E$17+1,1))-AVERAGE(OFFSET($H$3,0,0,'Données projet'!$E$17+1,1))</f>
        <v>362.1372269575329</v>
      </c>
      <c r="GF146" s="58">
        <f t="shared" si="158"/>
        <v>308.1559670593121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58" t="e">
        <f t="shared" si="137"/>
        <v>#N/A</v>
      </c>
      <c r="GZ146" s="58" t="e">
        <f ca="1">AVERAGE(OFFSET($GY$3,0,0,'Données projet'!$E$18+1,1))-AVERAGE(OFFSET($H$3,0,0,'Données projet'!$E$18+1,1))</f>
        <v>#N/A</v>
      </c>
      <c r="HA146" s="58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0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3">
        <f t="shared" si="110"/>
        <v>256.66666666666669</v>
      </c>
      <c r="I147" s="6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2.4666666666666668</v>
      </c>
      <c r="N147" s="14">
        <f>IF('Données projet'!$A$36&gt;35,N146+M147-V146,IF(A147&lt;'Données projet'!$A$36,$K$205^A147,IF(A147='Données projet'!$A$36,'Données projet'!$B$36,N146+M147-V146)))</f>
        <v>291.19999999999987</v>
      </c>
      <c r="O147" s="14">
        <f>N147*VLOOKUP('Données projet'!$B$9,Paramètres!$A$1:$I$89,3,0)*VLOOKUP('Données projet'!$B$9,Paramètres!$A$1:$I$89,5,0)</f>
        <v>295.27679999999987</v>
      </c>
      <c r="P147" s="14">
        <f t="shared" si="141"/>
        <v>70.185386686980493</v>
      </c>
      <c r="Q147" s="22">
        <f t="shared" si="108"/>
        <v>636.5133084798241</v>
      </c>
      <c r="R147" s="58">
        <f t="shared" si="109"/>
        <v>929.84664181315748</v>
      </c>
      <c r="S147" s="58">
        <f ca="1">AVERAGE(OFFSET($R$3,0,0,'Données projet'!$E$9+1,1))-AVERAGE(OFFSET($H$3,0,0,'Données projet'!$E$9+1,1))</f>
        <v>483.15009705023641</v>
      </c>
      <c r="T147" s="58">
        <f t="shared" si="142"/>
        <v>254.25036207346591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2.4666666666666668</v>
      </c>
      <c r="AI147" s="14">
        <f>IF('Données projet'!$A$62&gt;35,AI146+AH147-AQ146,IF(A147&lt;'Données projet'!$A$62,$AF$205^A147,IF(A147='Données projet'!$A$62,'Données projet'!$B$62,AI146+AH147-AQ146)))</f>
        <v>291.19999999999987</v>
      </c>
      <c r="AJ147" s="14">
        <f>AI147*VLOOKUP('Données projet'!$B$10,Paramètres!$A$1:$I$89,3,0)*VLOOKUP('Données projet'!$B$10,Paramètres!$A$1:$I$89,5,0)</f>
        <v>263.47775999999988</v>
      </c>
      <c r="AK147" s="14">
        <f t="shared" si="143"/>
        <v>63.46312159763346</v>
      </c>
      <c r="AL147" s="22">
        <f t="shared" si="112"/>
        <v>569.42203544921131</v>
      </c>
      <c r="AM147" s="58">
        <f t="shared" si="113"/>
        <v>862.75536878254456</v>
      </c>
      <c r="AN147" s="58">
        <f ca="1">AVERAGE(OFFSET($AM$3,0,0,'Données projet'!$E$10+1,1))-AVERAGE(OFFSET($H$3,0,0,'Données projet'!$E$10+1,1))</f>
        <v>435.7095890216213</v>
      </c>
      <c r="AO147" s="58">
        <f t="shared" si="144"/>
        <v>231.36959598460686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-4.9658410716801891E-14</v>
      </c>
      <c r="BF147" s="14" t="e">
        <f t="shared" si="145"/>
        <v>#NUM!</v>
      </c>
      <c r="BG147" s="22" t="e">
        <f t="shared" si="115"/>
        <v>#NUM!</v>
      </c>
      <c r="BH147" s="58" t="e">
        <f t="shared" si="116"/>
        <v>#NUM!</v>
      </c>
      <c r="BI147" s="58">
        <f ca="1">AVERAGE(OFFSET($BH$3,0,0,'Données projet'!$E$11+1,1))-AVERAGE(OFFSET($H$3,0,0,'Données projet'!$E$11+1,1))</f>
        <v>218.76424742311815</v>
      </c>
      <c r="BJ147" s="58">
        <f t="shared" si="146"/>
        <v>264.34598683038593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0.2450126823838506</v>
      </c>
      <c r="BQ147" s="23">
        <f>EXP(-LN(2)/25)*BQ146+(1-EXP(-LN(2)/25))/(LN(2)/25)*Calculateur!BL147*Calculateur!BN147*VLOOKUP('Données projet'!$B$11,Paramètres!$A$1:$I$89,3,0)*0.475*44/12</f>
        <v>0.18503146140720322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0.43004414379105382</v>
      </c>
      <c r="BT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1.6</v>
      </c>
      <c r="BY147" s="13">
        <f>IF('Données projet'!$A$114&gt;35,BY146+BX147-CG146,IF(A147&lt;'Données projet'!$A$114,$BV$205^A147,IF(A147='Données projet'!$A$114,'Données projet'!$B$114,BY146+BX147-CG146)))</f>
        <v>224.40000000000006</v>
      </c>
      <c r="BZ147" s="14">
        <f>BY147*VLOOKUP('Données projet'!$B$12,Paramètres!$A$1:$I$89,3,0)*VLOOKUP('Données projet'!$B$12,Paramètres!$A$1:$I$89,5,0)</f>
        <v>217.03968000000006</v>
      </c>
      <c r="CA147" s="14">
        <f t="shared" si="147"/>
        <v>53.470968373385539</v>
      </c>
      <c r="CB147" s="22">
        <f t="shared" si="118"/>
        <v>471.13937925031331</v>
      </c>
      <c r="CC147" s="58">
        <f t="shared" si="119"/>
        <v>764.47271258364663</v>
      </c>
      <c r="CD147" s="58">
        <f ca="1">AVERAGE(OFFSET($CC$3,0,0,'Données projet'!$E$12+1,1))-AVERAGE(OFFSET($H$3,0,0,'Données projet'!$E$12+1,1))</f>
        <v>343.86347628565426</v>
      </c>
      <c r="CE147" s="58">
        <f t="shared" si="148"/>
        <v>129.28196646107097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58" t="e">
        <f t="shared" si="122"/>
        <v>#N/A</v>
      </c>
      <c r="CY147" s="58" t="e">
        <f ca="1">AVERAGE(OFFSET($CX$3,0,0,'Données projet'!$E$13+1,1))-AVERAGE(OFFSET($H$3,0,0,'Données projet'!$E$13+1,1))</f>
        <v>#N/A</v>
      </c>
      <c r="CZ147" s="58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5.4092197387944907E-14</v>
      </c>
      <c r="DQ147" s="14">
        <f t="shared" si="151"/>
        <v>8.7287050538073676E-13</v>
      </c>
      <c r="DR147" s="22">
        <f t="shared" si="124"/>
        <v>1.6144600406554537E-12</v>
      </c>
      <c r="DS147" s="58">
        <f t="shared" si="125"/>
        <v>293.33333333333491</v>
      </c>
      <c r="DT147" s="58">
        <f ca="1">AVERAGE(OFFSET($DS$3,0,0,'Données projet'!$E$14+1,1))-AVERAGE(OFFSET($H$3,0,0,'Données projet'!$E$14+1,1))</f>
        <v>332.49889399440514</v>
      </c>
      <c r="DU147" s="58">
        <f t="shared" si="152"/>
        <v>256.06044006790529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5.1159076974727213E-13</v>
      </c>
      <c r="EK147" s="18">
        <f>EJ147*VLOOKUP('Données projet'!$B$15,Paramètres!$A$1:$I$89,3,0)*VLOOKUP('Données projet'!$B$15,Paramètres!$A$1:$I$89,5,0)</f>
        <v>5.3471467253984886E-13</v>
      </c>
      <c r="EL147" s="14">
        <f t="shared" si="153"/>
        <v>6.6087717628803869E-12</v>
      </c>
      <c r="EM147" s="22">
        <f t="shared" si="127"/>
        <v>1.244157220835691E-11</v>
      </c>
      <c r="EN147" s="58">
        <f t="shared" si="128"/>
        <v>293.33333333334576</v>
      </c>
      <c r="EO147" s="58">
        <f ca="1">AVERAGE(OFFSET($EN$3,0,0,'Données projet'!$E$15+1,1))-AVERAGE(OFFSET($H$3,0,0,'Données projet'!$E$15+1,1))</f>
        <v>596.00698505207174</v>
      </c>
      <c r="EP147" s="58">
        <f t="shared" si="154"/>
        <v>378.16197659288338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2.2737367544323206E-13</v>
      </c>
      <c r="FF147" s="18">
        <f>FE147*VLOOKUP('Données projet'!$B$16,Paramètres!$A$1:$I$89,3,0)*VLOOKUP('Données projet'!$B$16,Paramètres!$A$1:$I$89,5,0)</f>
        <v>1.064108801074326E-13</v>
      </c>
      <c r="FG147" s="14">
        <f t="shared" si="155"/>
        <v>1.5870730813698654E-12</v>
      </c>
      <c r="FH147" s="22">
        <f t="shared" si="130"/>
        <v>2.9494845662396269E-12</v>
      </c>
      <c r="FI147" s="58">
        <f t="shared" si="131"/>
        <v>293.33333333333627</v>
      </c>
      <c r="FJ147" s="58">
        <f ca="1">AVERAGE(OFFSET($FI$3,0,0,'Données projet'!$E$16+1,1))-AVERAGE(OFFSET($H$3,0,0,'Données projet'!$E$16+1,1))</f>
        <v>294.31042006404056</v>
      </c>
      <c r="FK147" s="58">
        <f t="shared" si="156"/>
        <v>260.93767498478502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2.8421709430404007E-13</v>
      </c>
      <c r="GA147" s="18">
        <f>FZ147*VLOOKUP('Données projet'!$B$17,Paramètres!$A$1:$I$89,3,0)*VLOOKUP('Données projet'!$B$17,Paramètres!$A$1:$I$89,5,0)</f>
        <v>1.9065282685915009E-13</v>
      </c>
      <c r="GB147" s="14">
        <f t="shared" si="157"/>
        <v>2.6568987209435707E-12</v>
      </c>
      <c r="GC147" s="22">
        <f t="shared" si="133"/>
        <v>4.959485612423072E-12</v>
      </c>
      <c r="GD147" s="58">
        <f t="shared" si="134"/>
        <v>293.33333333333826</v>
      </c>
      <c r="GE147" s="58">
        <f ca="1">AVERAGE(OFFSET($GD$3,0,0,'Données projet'!$E$17+1,1))-AVERAGE(OFFSET($H$3,0,0,'Données projet'!$E$17+1,1))</f>
        <v>362.1372269575329</v>
      </c>
      <c r="GF147" s="58">
        <f t="shared" si="158"/>
        <v>308.1559670593121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58" t="e">
        <f t="shared" si="137"/>
        <v>#N/A</v>
      </c>
      <c r="GZ147" s="58" t="e">
        <f ca="1">AVERAGE(OFFSET($GY$3,0,0,'Données projet'!$E$18+1,1))-AVERAGE(OFFSET($H$3,0,0,'Données projet'!$E$18+1,1))</f>
        <v>#N/A</v>
      </c>
      <c r="HA147" s="58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0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3">
        <f t="shared" si="110"/>
        <v>256.66666666666669</v>
      </c>
      <c r="I148" s="6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2.4666666666666668</v>
      </c>
      <c r="N148" s="14">
        <f>IF('Données projet'!$A$36&gt;35,N147+M148-V147,IF(A148&lt;'Données projet'!$A$36,$K$205^A148,IF(A148='Données projet'!$A$36,'Données projet'!$B$36,N147+M148-V147)))</f>
        <v>293.66666666666652</v>
      </c>
      <c r="O148" s="14">
        <f>N148*VLOOKUP('Données projet'!$B$9,Paramètres!$A$1:$I$89,3,0)*VLOOKUP('Données projet'!$B$9,Paramètres!$A$1:$I$89,5,0)</f>
        <v>297.77799999999985</v>
      </c>
      <c r="P148" s="14">
        <f t="shared" si="141"/>
        <v>70.710445573485373</v>
      </c>
      <c r="Q148" s="22">
        <f t="shared" si="108"/>
        <v>641.78404270715339</v>
      </c>
      <c r="R148" s="58">
        <f t="shared" si="109"/>
        <v>935.11737604048676</v>
      </c>
      <c r="S148" s="58">
        <f ca="1">AVERAGE(OFFSET($R$3,0,0,'Données projet'!$E$9+1,1))-AVERAGE(OFFSET($H$3,0,0,'Données projet'!$E$9+1,1))</f>
        <v>483.15009705023641</v>
      </c>
      <c r="T148" s="58">
        <f t="shared" si="142"/>
        <v>254.25036207346591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2.4666666666666668</v>
      </c>
      <c r="AI148" s="14">
        <f>IF('Données projet'!$A$62&gt;35,AI147+AH148-AQ147,IF(A148&lt;'Données projet'!$A$62,$AF$205^A148,IF(A148='Données projet'!$A$62,'Données projet'!$B$62,AI147+AH148-AQ147)))</f>
        <v>293.66666666666652</v>
      </c>
      <c r="AJ148" s="14">
        <f>AI148*VLOOKUP('Données projet'!$B$10,Paramètres!$A$1:$I$89,3,0)*VLOOKUP('Données projet'!$B$10,Paramètres!$A$1:$I$89,5,0)</f>
        <v>265.70959999999985</v>
      </c>
      <c r="AK148" s="14">
        <f t="shared" si="143"/>
        <v>63.937891026614295</v>
      </c>
      <c r="AL148" s="22">
        <f t="shared" si="112"/>
        <v>574.13604687135296</v>
      </c>
      <c r="AM148" s="58">
        <f t="shared" si="113"/>
        <v>867.46938020468633</v>
      </c>
      <c r="AN148" s="58">
        <f ca="1">AVERAGE(OFFSET($AM$3,0,0,'Données projet'!$E$10+1,1))-AVERAGE(OFFSET($H$3,0,0,'Données projet'!$E$10+1,1))</f>
        <v>435.7095890216213</v>
      </c>
      <c r="AO148" s="58">
        <f t="shared" si="144"/>
        <v>231.36959598460686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-4.9658410716801891E-14</v>
      </c>
      <c r="BF148" s="14" t="e">
        <f t="shared" si="145"/>
        <v>#NUM!</v>
      </c>
      <c r="BG148" s="22" t="e">
        <f t="shared" si="115"/>
        <v>#NUM!</v>
      </c>
      <c r="BH148" s="58" t="e">
        <f t="shared" si="116"/>
        <v>#NUM!</v>
      </c>
      <c r="BI148" s="58">
        <f ca="1">AVERAGE(OFFSET($BH$3,0,0,'Données projet'!$E$11+1,1))-AVERAGE(OFFSET($H$3,0,0,'Données projet'!$E$11+1,1))</f>
        <v>218.76424742311815</v>
      </c>
      <c r="BJ148" s="58">
        <f t="shared" si="146"/>
        <v>264.34598683038593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0.24020813312528327</v>
      </c>
      <c r="BQ148" s="23">
        <f>EXP(-LN(2)/25)*BQ147+(1-EXP(-LN(2)/25))/(LN(2)/25)*Calculateur!BL148*Calculateur!BN148*VLOOKUP('Données projet'!$B$11,Paramètres!$A$1:$I$89,3,0)*0.475*44/12</f>
        <v>0.1799717663646416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0.42017989948992485</v>
      </c>
      <c r="BT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>
        <f>VLOOKUP(A148,'Données projet'!$A$113:$I$133,2,0)</f>
        <v>226</v>
      </c>
      <c r="BW148" s="13">
        <f>VLOOKUP(A148,'Données projet'!$A$113:$I$133,9,0)</f>
        <v>1.6</v>
      </c>
      <c r="BX148" s="13">
        <f t="array" ref="BX148">INDEX(BW:BW,MIN(IF(ISNUMBER(BW148:BW344),ROW(BW148:BW344),"")))</f>
        <v>1.6</v>
      </c>
      <c r="BY148" s="13">
        <f>IF('Données projet'!$A$114&gt;35,BY147+BX148-CG147,IF(A148&lt;'Données projet'!$A$114,$BV$205^A148,IF(A148='Données projet'!$A$114,'Données projet'!$B$114,BY147+BX148-CG147)))</f>
        <v>226.00000000000006</v>
      </c>
      <c r="BZ148" s="14">
        <f>BY148*VLOOKUP('Données projet'!$B$12,Paramètres!$A$1:$I$89,3,0)*VLOOKUP('Données projet'!$B$12,Paramètres!$A$1:$I$89,5,0)</f>
        <v>218.58720000000005</v>
      </c>
      <c r="CA148" s="14">
        <f t="shared" si="147"/>
        <v>53.807705580242171</v>
      </c>
      <c r="CB148" s="22">
        <f t="shared" si="118"/>
        <v>474.42112721892181</v>
      </c>
      <c r="CC148" s="58">
        <f t="shared" si="119"/>
        <v>767.75446055225507</v>
      </c>
      <c r="CD148" s="58">
        <f ca="1">AVERAGE(OFFSET($CC$3,0,0,'Données projet'!$E$12+1,1))-AVERAGE(OFFSET($H$3,0,0,'Données projet'!$E$12+1,1))</f>
        <v>343.86347628565426</v>
      </c>
      <c r="CE148" s="58">
        <f t="shared" si="148"/>
        <v>129.28196646107097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58" t="e">
        <f t="shared" si="122"/>
        <v>#N/A</v>
      </c>
      <c r="CY148" s="58" t="e">
        <f ca="1">AVERAGE(OFFSET($CX$3,0,0,'Données projet'!$E$13+1,1))-AVERAGE(OFFSET($H$3,0,0,'Données projet'!$E$13+1,1))</f>
        <v>#N/A</v>
      </c>
      <c r="CZ148" s="58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5.4092197387944907E-14</v>
      </c>
      <c r="DQ148" s="14">
        <f t="shared" si="151"/>
        <v>8.7287050538073676E-13</v>
      </c>
      <c r="DR148" s="22">
        <f t="shared" si="124"/>
        <v>1.6144600406554537E-12</v>
      </c>
      <c r="DS148" s="58">
        <f t="shared" si="125"/>
        <v>293.33333333333491</v>
      </c>
      <c r="DT148" s="58">
        <f ca="1">AVERAGE(OFFSET($DS$3,0,0,'Données projet'!$E$14+1,1))-AVERAGE(OFFSET($H$3,0,0,'Données projet'!$E$14+1,1))</f>
        <v>332.49889399440514</v>
      </c>
      <c r="DU148" s="58">
        <f t="shared" si="152"/>
        <v>256.06044006790529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5.1159076974727213E-13</v>
      </c>
      <c r="EK148" s="18">
        <f>EJ148*VLOOKUP('Données projet'!$B$15,Paramètres!$A$1:$I$89,3,0)*VLOOKUP('Données projet'!$B$15,Paramètres!$A$1:$I$89,5,0)</f>
        <v>5.3471467253984886E-13</v>
      </c>
      <c r="EL148" s="14">
        <f t="shared" si="153"/>
        <v>6.6087717628803869E-12</v>
      </c>
      <c r="EM148" s="22">
        <f t="shared" si="127"/>
        <v>1.244157220835691E-11</v>
      </c>
      <c r="EN148" s="58">
        <f t="shared" si="128"/>
        <v>293.33333333334576</v>
      </c>
      <c r="EO148" s="58">
        <f ca="1">AVERAGE(OFFSET($EN$3,0,0,'Données projet'!$E$15+1,1))-AVERAGE(OFFSET($H$3,0,0,'Données projet'!$E$15+1,1))</f>
        <v>596.00698505207174</v>
      </c>
      <c r="EP148" s="58">
        <f t="shared" si="154"/>
        <v>378.16197659288338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2.2737367544323206E-13</v>
      </c>
      <c r="FF148" s="18">
        <f>FE148*VLOOKUP('Données projet'!$B$16,Paramètres!$A$1:$I$89,3,0)*VLOOKUP('Données projet'!$B$16,Paramètres!$A$1:$I$89,5,0)</f>
        <v>1.064108801074326E-13</v>
      </c>
      <c r="FG148" s="14">
        <f t="shared" si="155"/>
        <v>1.5870730813698654E-12</v>
      </c>
      <c r="FH148" s="22">
        <f t="shared" si="130"/>
        <v>2.9494845662396269E-12</v>
      </c>
      <c r="FI148" s="58">
        <f t="shared" si="131"/>
        <v>293.33333333333627</v>
      </c>
      <c r="FJ148" s="58">
        <f ca="1">AVERAGE(OFFSET($FI$3,0,0,'Données projet'!$E$16+1,1))-AVERAGE(OFFSET($H$3,0,0,'Données projet'!$E$16+1,1))</f>
        <v>294.31042006404056</v>
      </c>
      <c r="FK148" s="58">
        <f t="shared" si="156"/>
        <v>260.93767498478502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2.8421709430404007E-13</v>
      </c>
      <c r="GA148" s="18">
        <f>FZ148*VLOOKUP('Données projet'!$B$17,Paramètres!$A$1:$I$89,3,0)*VLOOKUP('Données projet'!$B$17,Paramètres!$A$1:$I$89,5,0)</f>
        <v>1.9065282685915009E-13</v>
      </c>
      <c r="GB148" s="14">
        <f t="shared" si="157"/>
        <v>2.6568987209435707E-12</v>
      </c>
      <c r="GC148" s="22">
        <f t="shared" si="133"/>
        <v>4.959485612423072E-12</v>
      </c>
      <c r="GD148" s="58">
        <f t="shared" si="134"/>
        <v>293.33333333333826</v>
      </c>
      <c r="GE148" s="58">
        <f ca="1">AVERAGE(OFFSET($GD$3,0,0,'Données projet'!$E$17+1,1))-AVERAGE(OFFSET($H$3,0,0,'Données projet'!$E$17+1,1))</f>
        <v>362.1372269575329</v>
      </c>
      <c r="GF148" s="58">
        <f t="shared" si="158"/>
        <v>308.1559670593121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58" t="e">
        <f t="shared" si="137"/>
        <v>#N/A</v>
      </c>
      <c r="GZ148" s="58" t="e">
        <f ca="1">AVERAGE(OFFSET($GY$3,0,0,'Données projet'!$E$18+1,1))-AVERAGE(OFFSET($H$3,0,0,'Données projet'!$E$18+1,1))</f>
        <v>#N/A</v>
      </c>
      <c r="HA148" s="58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0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3">
        <f t="shared" si="110"/>
        <v>256.66666666666669</v>
      </c>
      <c r="I149" s="6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2.4666666666666668</v>
      </c>
      <c r="N149" s="14">
        <f>IF('Données projet'!$A$36&gt;35,N148+M149-V148,IF(A149&lt;'Données projet'!$A$36,$K$205^A149,IF(A149='Données projet'!$A$36,'Données projet'!$B$36,N148+M149-V148)))</f>
        <v>296.13333333333316</v>
      </c>
      <c r="O149" s="14">
        <f>N149*VLOOKUP('Données projet'!$B$9,Paramètres!$A$1:$I$89,3,0)*VLOOKUP('Données projet'!$B$9,Paramètres!$A$1:$I$89,5,0)</f>
        <v>300.27919999999983</v>
      </c>
      <c r="P149" s="14">
        <f t="shared" si="141"/>
        <v>71.234991350653715</v>
      </c>
      <c r="Q149" s="22">
        <f t="shared" si="108"/>
        <v>647.05388326905495</v>
      </c>
      <c r="R149" s="58">
        <f t="shared" si="109"/>
        <v>940.38721660238821</v>
      </c>
      <c r="S149" s="58">
        <f ca="1">AVERAGE(OFFSET($R$3,0,0,'Données projet'!$E$9+1,1))-AVERAGE(OFFSET($H$3,0,0,'Données projet'!$E$9+1,1))</f>
        <v>483.15009705023641</v>
      </c>
      <c r="T149" s="58">
        <f t="shared" si="142"/>
        <v>254.25036207346591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2.4666666666666668</v>
      </c>
      <c r="AI149" s="14">
        <f>IF('Données projet'!$A$62&gt;35,AI148+AH149-AQ148,IF(A149&lt;'Données projet'!$A$62,$AF$205^A149,IF(A149='Données projet'!$A$62,'Données projet'!$B$62,AI148+AH149-AQ148)))</f>
        <v>296.13333333333316</v>
      </c>
      <c r="AJ149" s="14">
        <f>AI149*VLOOKUP('Données projet'!$B$10,Paramètres!$A$1:$I$89,3,0)*VLOOKUP('Données projet'!$B$10,Paramètres!$A$1:$I$89,5,0)</f>
        <v>267.94143999999983</v>
      </c>
      <c r="AK149" s="14">
        <f t="shared" si="143"/>
        <v>64.412196491203815</v>
      </c>
      <c r="AL149" s="22">
        <f t="shared" si="112"/>
        <v>578.84925022217965</v>
      </c>
      <c r="AM149" s="58">
        <f t="shared" si="113"/>
        <v>872.18258355551302</v>
      </c>
      <c r="AN149" s="58">
        <f ca="1">AVERAGE(OFFSET($AM$3,0,0,'Données projet'!$E$10+1,1))-AVERAGE(OFFSET($H$3,0,0,'Données projet'!$E$10+1,1))</f>
        <v>435.7095890216213</v>
      </c>
      <c r="AO149" s="58">
        <f t="shared" si="144"/>
        <v>231.36959598460686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-4.9658410716801891E-14</v>
      </c>
      <c r="BF149" s="14" t="e">
        <f t="shared" si="145"/>
        <v>#NUM!</v>
      </c>
      <c r="BG149" s="22" t="e">
        <f t="shared" si="115"/>
        <v>#NUM!</v>
      </c>
      <c r="BH149" s="58" t="e">
        <f t="shared" si="116"/>
        <v>#NUM!</v>
      </c>
      <c r="BI149" s="58">
        <f ca="1">AVERAGE(OFFSET($BH$3,0,0,'Données projet'!$E$11+1,1))-AVERAGE(OFFSET($H$3,0,0,'Données projet'!$E$11+1,1))</f>
        <v>218.76424742311815</v>
      </c>
      <c r="BJ149" s="58">
        <f t="shared" si="146"/>
        <v>264.34598683038593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0.23549779814719077</v>
      </c>
      <c r="BQ149" s="23">
        <f>EXP(-LN(2)/25)*BQ148+(1-EXP(-LN(2)/25))/(LN(2)/25)*Calculateur!BL149*Calculateur!BN149*VLOOKUP('Données projet'!$B$11,Paramètres!$A$1:$I$89,3,0)*0.475*44/12</f>
        <v>0.17505042894909661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0.41054822709628735</v>
      </c>
      <c r="BT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1.2</v>
      </c>
      <c r="BY149" s="13">
        <f>IF('Données projet'!$A$114&gt;35,BY148+BX149-CG148,IF(A149&lt;'Données projet'!$A$114,$BV$205^A149,IF(A149='Données projet'!$A$114,'Données projet'!$B$114,BY148+BX149-CG148)))</f>
        <v>227.20000000000005</v>
      </c>
      <c r="BZ149" s="14">
        <f>BY149*VLOOKUP('Données projet'!$B$12,Paramètres!$A$1:$I$89,3,0)*VLOOKUP('Données projet'!$B$12,Paramètres!$A$1:$I$89,5,0)</f>
        <v>219.74784000000005</v>
      </c>
      <c r="CA149" s="14">
        <f t="shared" si="147"/>
        <v>54.060076332940611</v>
      </c>
      <c r="CB149" s="22">
        <f t="shared" si="118"/>
        <v>476.88212094653824</v>
      </c>
      <c r="CC149" s="58">
        <f t="shared" si="119"/>
        <v>770.21545427987155</v>
      </c>
      <c r="CD149" s="58">
        <f ca="1">AVERAGE(OFFSET($CC$3,0,0,'Données projet'!$E$12+1,1))-AVERAGE(OFFSET($H$3,0,0,'Données projet'!$E$12+1,1))</f>
        <v>343.86347628565426</v>
      </c>
      <c r="CE149" s="58">
        <f t="shared" si="148"/>
        <v>129.28196646107097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58" t="e">
        <f t="shared" si="122"/>
        <v>#N/A</v>
      </c>
      <c r="CY149" s="58" t="e">
        <f ca="1">AVERAGE(OFFSET($CX$3,0,0,'Données projet'!$E$13+1,1))-AVERAGE(OFFSET($H$3,0,0,'Données projet'!$E$13+1,1))</f>
        <v>#N/A</v>
      </c>
      <c r="CZ149" s="58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5.4092197387944907E-14</v>
      </c>
      <c r="DQ149" s="14">
        <f t="shared" si="151"/>
        <v>8.7287050538073676E-13</v>
      </c>
      <c r="DR149" s="22">
        <f t="shared" si="124"/>
        <v>1.6144600406554537E-12</v>
      </c>
      <c r="DS149" s="58">
        <f t="shared" si="125"/>
        <v>293.33333333333491</v>
      </c>
      <c r="DT149" s="58">
        <f ca="1">AVERAGE(OFFSET($DS$3,0,0,'Données projet'!$E$14+1,1))-AVERAGE(OFFSET($H$3,0,0,'Données projet'!$E$14+1,1))</f>
        <v>332.49889399440514</v>
      </c>
      <c r="DU149" s="58">
        <f t="shared" si="152"/>
        <v>256.06044006790529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5.1159076974727213E-13</v>
      </c>
      <c r="EK149" s="18">
        <f>EJ149*VLOOKUP('Données projet'!$B$15,Paramètres!$A$1:$I$89,3,0)*VLOOKUP('Données projet'!$B$15,Paramètres!$A$1:$I$89,5,0)</f>
        <v>5.3471467253984886E-13</v>
      </c>
      <c r="EL149" s="14">
        <f t="shared" si="153"/>
        <v>6.6087717628803869E-12</v>
      </c>
      <c r="EM149" s="22">
        <f t="shared" si="127"/>
        <v>1.244157220835691E-11</v>
      </c>
      <c r="EN149" s="58">
        <f t="shared" si="128"/>
        <v>293.33333333334576</v>
      </c>
      <c r="EO149" s="58">
        <f ca="1">AVERAGE(OFFSET($EN$3,0,0,'Données projet'!$E$15+1,1))-AVERAGE(OFFSET($H$3,0,0,'Données projet'!$E$15+1,1))</f>
        <v>596.00698505207174</v>
      </c>
      <c r="EP149" s="58">
        <f t="shared" si="154"/>
        <v>378.16197659288338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2.2737367544323206E-13</v>
      </c>
      <c r="FF149" s="18">
        <f>FE149*VLOOKUP('Données projet'!$B$16,Paramètres!$A$1:$I$89,3,0)*VLOOKUP('Données projet'!$B$16,Paramètres!$A$1:$I$89,5,0)</f>
        <v>1.064108801074326E-13</v>
      </c>
      <c r="FG149" s="14">
        <f t="shared" si="155"/>
        <v>1.5870730813698654E-12</v>
      </c>
      <c r="FH149" s="22">
        <f t="shared" si="130"/>
        <v>2.9494845662396269E-12</v>
      </c>
      <c r="FI149" s="58">
        <f t="shared" si="131"/>
        <v>293.33333333333627</v>
      </c>
      <c r="FJ149" s="58">
        <f ca="1">AVERAGE(OFFSET($FI$3,0,0,'Données projet'!$E$16+1,1))-AVERAGE(OFFSET($H$3,0,0,'Données projet'!$E$16+1,1))</f>
        <v>294.31042006404056</v>
      </c>
      <c r="FK149" s="58">
        <f t="shared" si="156"/>
        <v>260.93767498478502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2.8421709430404007E-13</v>
      </c>
      <c r="GA149" s="18">
        <f>FZ149*VLOOKUP('Données projet'!$B$17,Paramètres!$A$1:$I$89,3,0)*VLOOKUP('Données projet'!$B$17,Paramètres!$A$1:$I$89,5,0)</f>
        <v>1.9065282685915009E-13</v>
      </c>
      <c r="GB149" s="14">
        <f t="shared" si="157"/>
        <v>2.6568987209435707E-12</v>
      </c>
      <c r="GC149" s="22">
        <f t="shared" si="133"/>
        <v>4.959485612423072E-12</v>
      </c>
      <c r="GD149" s="58">
        <f t="shared" si="134"/>
        <v>293.33333333333826</v>
      </c>
      <c r="GE149" s="58">
        <f ca="1">AVERAGE(OFFSET($GD$3,0,0,'Données projet'!$E$17+1,1))-AVERAGE(OFFSET($H$3,0,0,'Données projet'!$E$17+1,1))</f>
        <v>362.1372269575329</v>
      </c>
      <c r="GF149" s="58">
        <f t="shared" si="158"/>
        <v>308.1559670593121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58" t="e">
        <f t="shared" si="137"/>
        <v>#N/A</v>
      </c>
      <c r="GZ149" s="58" t="e">
        <f ca="1">AVERAGE(OFFSET($GY$3,0,0,'Données projet'!$E$18+1,1))-AVERAGE(OFFSET($H$3,0,0,'Données projet'!$E$18+1,1))</f>
        <v>#N/A</v>
      </c>
      <c r="HA149" s="58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0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3">
        <f t="shared" si="110"/>
        <v>256.66666666666669</v>
      </c>
      <c r="I150" s="6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2.4666666666666668</v>
      </c>
      <c r="N150" s="14">
        <f>IF('Données projet'!$A$36&gt;35,N149+M150-V149,IF(A150&lt;'Données projet'!$A$36,$K$205^A150,IF(A150='Données projet'!$A$36,'Données projet'!$B$36,N149+M150-V149)))</f>
        <v>298.5999999999998</v>
      </c>
      <c r="O150" s="14">
        <f>N150*VLOOKUP('Données projet'!$B$9,Paramètres!$A$1:$I$89,3,0)*VLOOKUP('Données projet'!$B$9,Paramètres!$A$1:$I$89,5,0)</f>
        <v>302.78039999999982</v>
      </c>
      <c r="P150" s="14">
        <f t="shared" si="141"/>
        <v>71.75902878776165</v>
      </c>
      <c r="Q150" s="22">
        <f t="shared" si="108"/>
        <v>652.32283847201791</v>
      </c>
      <c r="R150" s="58">
        <f t="shared" si="109"/>
        <v>945.65617180535128</v>
      </c>
      <c r="S150" s="58">
        <f ca="1">AVERAGE(OFFSET($R$3,0,0,'Données projet'!$E$9+1,1))-AVERAGE(OFFSET($H$3,0,0,'Données projet'!$E$9+1,1))</f>
        <v>483.15009705023641</v>
      </c>
      <c r="T150" s="58">
        <f t="shared" si="142"/>
        <v>254.25036207346591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2.4666666666666668</v>
      </c>
      <c r="AI150" s="14">
        <f>IF('Données projet'!$A$62&gt;35,AI149+AH150-AQ149,IF(A150&lt;'Données projet'!$A$62,$AF$205^A150,IF(A150='Données projet'!$A$62,'Données projet'!$B$62,AI149+AH150-AQ149)))</f>
        <v>298.5999999999998</v>
      </c>
      <c r="AJ150" s="14">
        <f>AI150*VLOOKUP('Données projet'!$B$10,Paramètres!$A$1:$I$89,3,0)*VLOOKUP('Données projet'!$B$10,Paramètres!$A$1:$I$89,5,0)</f>
        <v>270.17327999999981</v>
      </c>
      <c r="AK150" s="14">
        <f t="shared" si="143"/>
        <v>64.886042303882988</v>
      </c>
      <c r="AL150" s="22">
        <f t="shared" si="112"/>
        <v>583.56165301259591</v>
      </c>
      <c r="AM150" s="58">
        <f t="shared" si="113"/>
        <v>876.89498634592928</v>
      </c>
      <c r="AN150" s="58">
        <f ca="1">AVERAGE(OFFSET($AM$3,0,0,'Données projet'!$E$10+1,1))-AVERAGE(OFFSET($H$3,0,0,'Données projet'!$E$10+1,1))</f>
        <v>435.7095890216213</v>
      </c>
      <c r="AO150" s="58">
        <f t="shared" si="144"/>
        <v>231.36959598460686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-4.9658410716801891E-14</v>
      </c>
      <c r="BF150" s="14" t="e">
        <f t="shared" si="145"/>
        <v>#NUM!</v>
      </c>
      <c r="BG150" s="22" t="e">
        <f t="shared" si="115"/>
        <v>#NUM!</v>
      </c>
      <c r="BH150" s="58" t="e">
        <f t="shared" si="116"/>
        <v>#NUM!</v>
      </c>
      <c r="BI150" s="58">
        <f ca="1">AVERAGE(OFFSET($BH$3,0,0,'Données projet'!$E$11+1,1))-AVERAGE(OFFSET($H$3,0,0,'Données projet'!$E$11+1,1))</f>
        <v>218.76424742311815</v>
      </c>
      <c r="BJ150" s="58">
        <f t="shared" si="146"/>
        <v>264.34598683038593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0.23087982996499801</v>
      </c>
      <c r="BQ150" s="23">
        <f>EXP(-LN(2)/25)*BQ149+(1-EXP(-LN(2)/25))/(LN(2)/25)*Calculateur!BL150*Calculateur!BN150*VLOOKUP('Données projet'!$B$11,Paramètres!$A$1:$I$89,3,0)*0.475*44/12</f>
        <v>0.17026366576398158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0.40114349572897956</v>
      </c>
      <c r="BT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1.2</v>
      </c>
      <c r="BY150" s="13">
        <f>IF('Données projet'!$A$114&gt;35,BY149+BX150-CG149,IF(A150&lt;'Données projet'!$A$114,$BV$205^A150,IF(A150='Données projet'!$A$114,'Données projet'!$B$114,BY149+BX150-CG149)))</f>
        <v>228.40000000000003</v>
      </c>
      <c r="BZ150" s="14">
        <f>BY150*VLOOKUP('Données projet'!$B$12,Paramètres!$A$1:$I$89,3,0)*VLOOKUP('Données projet'!$B$12,Paramètres!$A$1:$I$89,5,0)</f>
        <v>220.90848000000005</v>
      </c>
      <c r="CA150" s="14">
        <f t="shared" si="147"/>
        <v>54.312291977864867</v>
      </c>
      <c r="CB150" s="22">
        <f t="shared" si="118"/>
        <v>479.34284452811465</v>
      </c>
      <c r="CC150" s="58">
        <f t="shared" si="119"/>
        <v>772.67617786144797</v>
      </c>
      <c r="CD150" s="58">
        <f ca="1">AVERAGE(OFFSET($CC$3,0,0,'Données projet'!$E$12+1,1))-AVERAGE(OFFSET($H$3,0,0,'Données projet'!$E$12+1,1))</f>
        <v>343.86347628565426</v>
      </c>
      <c r="CE150" s="58">
        <f t="shared" si="148"/>
        <v>129.28196646107097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58" t="e">
        <f t="shared" si="122"/>
        <v>#N/A</v>
      </c>
      <c r="CY150" s="58" t="e">
        <f ca="1">AVERAGE(OFFSET($CX$3,0,0,'Données projet'!$E$13+1,1))-AVERAGE(OFFSET($H$3,0,0,'Données projet'!$E$13+1,1))</f>
        <v>#N/A</v>
      </c>
      <c r="CZ150" s="58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5.4092197387944907E-14</v>
      </c>
      <c r="DQ150" s="14">
        <f t="shared" si="151"/>
        <v>8.7287050538073676E-13</v>
      </c>
      <c r="DR150" s="22">
        <f t="shared" si="124"/>
        <v>1.6144600406554537E-12</v>
      </c>
      <c r="DS150" s="58">
        <f t="shared" si="125"/>
        <v>293.33333333333491</v>
      </c>
      <c r="DT150" s="58">
        <f ca="1">AVERAGE(OFFSET($DS$3,0,0,'Données projet'!$E$14+1,1))-AVERAGE(OFFSET($H$3,0,0,'Données projet'!$E$14+1,1))</f>
        <v>332.49889399440514</v>
      </c>
      <c r="DU150" s="58">
        <f t="shared" si="152"/>
        <v>256.06044006790529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5.1159076974727213E-13</v>
      </c>
      <c r="EK150" s="18">
        <f>EJ150*VLOOKUP('Données projet'!$B$15,Paramètres!$A$1:$I$89,3,0)*VLOOKUP('Données projet'!$B$15,Paramètres!$A$1:$I$89,5,0)</f>
        <v>5.3471467253984886E-13</v>
      </c>
      <c r="EL150" s="14">
        <f t="shared" si="153"/>
        <v>6.6087717628803869E-12</v>
      </c>
      <c r="EM150" s="22">
        <f t="shared" si="127"/>
        <v>1.244157220835691E-11</v>
      </c>
      <c r="EN150" s="58">
        <f t="shared" si="128"/>
        <v>293.33333333334576</v>
      </c>
      <c r="EO150" s="58">
        <f ca="1">AVERAGE(OFFSET($EN$3,0,0,'Données projet'!$E$15+1,1))-AVERAGE(OFFSET($H$3,0,0,'Données projet'!$E$15+1,1))</f>
        <v>596.00698505207174</v>
      </c>
      <c r="EP150" s="58">
        <f t="shared" si="154"/>
        <v>378.16197659288338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2.2737367544323206E-13</v>
      </c>
      <c r="FF150" s="18">
        <f>FE150*VLOOKUP('Données projet'!$B$16,Paramètres!$A$1:$I$89,3,0)*VLOOKUP('Données projet'!$B$16,Paramètres!$A$1:$I$89,5,0)</f>
        <v>1.064108801074326E-13</v>
      </c>
      <c r="FG150" s="14">
        <f t="shared" si="155"/>
        <v>1.5870730813698654E-12</v>
      </c>
      <c r="FH150" s="22">
        <f t="shared" si="130"/>
        <v>2.9494845662396269E-12</v>
      </c>
      <c r="FI150" s="58">
        <f t="shared" si="131"/>
        <v>293.33333333333627</v>
      </c>
      <c r="FJ150" s="58">
        <f ca="1">AVERAGE(OFFSET($FI$3,0,0,'Données projet'!$E$16+1,1))-AVERAGE(OFFSET($H$3,0,0,'Données projet'!$E$16+1,1))</f>
        <v>294.31042006404056</v>
      </c>
      <c r="FK150" s="58">
        <f t="shared" si="156"/>
        <v>260.93767498478502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2.8421709430404007E-13</v>
      </c>
      <c r="GA150" s="18">
        <f>FZ150*VLOOKUP('Données projet'!$B$17,Paramètres!$A$1:$I$89,3,0)*VLOOKUP('Données projet'!$B$17,Paramètres!$A$1:$I$89,5,0)</f>
        <v>1.9065282685915009E-13</v>
      </c>
      <c r="GB150" s="14">
        <f t="shared" si="157"/>
        <v>2.6568987209435707E-12</v>
      </c>
      <c r="GC150" s="22">
        <f t="shared" si="133"/>
        <v>4.959485612423072E-12</v>
      </c>
      <c r="GD150" s="58">
        <f t="shared" si="134"/>
        <v>293.33333333333826</v>
      </c>
      <c r="GE150" s="58">
        <f ca="1">AVERAGE(OFFSET($GD$3,0,0,'Données projet'!$E$17+1,1))-AVERAGE(OFFSET($H$3,0,0,'Données projet'!$E$17+1,1))</f>
        <v>362.1372269575329</v>
      </c>
      <c r="GF150" s="58">
        <f t="shared" si="158"/>
        <v>308.1559670593121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58" t="e">
        <f t="shared" si="137"/>
        <v>#N/A</v>
      </c>
      <c r="GZ150" s="58" t="e">
        <f ca="1">AVERAGE(OFFSET($GY$3,0,0,'Données projet'!$E$18+1,1))-AVERAGE(OFFSET($H$3,0,0,'Données projet'!$E$18+1,1))</f>
        <v>#N/A</v>
      </c>
      <c r="HA150" s="58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0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3">
        <f t="shared" si="110"/>
        <v>256.66666666666669</v>
      </c>
      <c r="I151" s="6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2.4666666666666668</v>
      </c>
      <c r="N151" s="14">
        <f>IF('Données projet'!$A$36&gt;35,N150+M151-V150,IF(A151&lt;'Données projet'!$A$36,$K$205^A151,IF(A151='Données projet'!$A$36,'Données projet'!$B$36,N150+M151-V150)))</f>
        <v>301.06666666666644</v>
      </c>
      <c r="O151" s="14">
        <f>N151*VLOOKUP('Données projet'!$B$9,Paramètres!$A$1:$I$89,3,0)*VLOOKUP('Données projet'!$B$9,Paramètres!$A$1:$I$89,5,0)</f>
        <v>305.2815999999998</v>
      </c>
      <c r="P151" s="14">
        <f t="shared" si="141"/>
        <v>72.282562570740993</v>
      </c>
      <c r="Q151" s="22">
        <f t="shared" si="108"/>
        <v>657.59091647737353</v>
      </c>
      <c r="R151" s="58">
        <f t="shared" si="109"/>
        <v>950.9242498107069</v>
      </c>
      <c r="S151" s="58">
        <f ca="1">AVERAGE(OFFSET($R$3,0,0,'Données projet'!$E$9+1,1))-AVERAGE(OFFSET($H$3,0,0,'Données projet'!$E$9+1,1))</f>
        <v>483.15009705023641</v>
      </c>
      <c r="T151" s="58">
        <f t="shared" si="142"/>
        <v>254.25036207346591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2.4666666666666668</v>
      </c>
      <c r="AI151" s="14">
        <f>IF('Données projet'!$A$62&gt;35,AI150+AH151-AQ150,IF(A151&lt;'Données projet'!$A$62,$AF$205^A151,IF(A151='Données projet'!$A$62,'Données projet'!$B$62,AI150+AH151-AQ150)))</f>
        <v>301.06666666666644</v>
      </c>
      <c r="AJ151" s="14">
        <f>AI151*VLOOKUP('Données projet'!$B$10,Paramètres!$A$1:$I$89,3,0)*VLOOKUP('Données projet'!$B$10,Paramètres!$A$1:$I$89,5,0)</f>
        <v>272.40511999999978</v>
      </c>
      <c r="AK151" s="14">
        <f t="shared" si="143"/>
        <v>65.359432701771183</v>
      </c>
      <c r="AL151" s="22">
        <f t="shared" si="112"/>
        <v>588.27326262225108</v>
      </c>
      <c r="AM151" s="58">
        <f t="shared" si="113"/>
        <v>881.60659595558445</v>
      </c>
      <c r="AN151" s="58">
        <f ca="1">AVERAGE(OFFSET($AM$3,0,0,'Données projet'!$E$10+1,1))-AVERAGE(OFFSET($H$3,0,0,'Données projet'!$E$10+1,1))</f>
        <v>435.7095890216213</v>
      </c>
      <c r="AO151" s="58">
        <f t="shared" si="144"/>
        <v>231.36959598460686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-4.9658410716801891E-14</v>
      </c>
      <c r="BF151" s="14" t="e">
        <f t="shared" si="145"/>
        <v>#NUM!</v>
      </c>
      <c r="BG151" s="22" t="e">
        <f t="shared" si="115"/>
        <v>#NUM!</v>
      </c>
      <c r="BH151" s="58" t="e">
        <f t="shared" si="116"/>
        <v>#NUM!</v>
      </c>
      <c r="BI151" s="58">
        <f ca="1">AVERAGE(OFFSET($BH$3,0,0,'Données projet'!$E$11+1,1))-AVERAGE(OFFSET($H$3,0,0,'Données projet'!$E$11+1,1))</f>
        <v>218.76424742311815</v>
      </c>
      <c r="BJ151" s="58">
        <f t="shared" si="146"/>
        <v>264.34598683038593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0.22635241732217559</v>
      </c>
      <c r="BQ151" s="23">
        <f>EXP(-LN(2)/25)*BQ150+(1-EXP(-LN(2)/25))/(LN(2)/25)*Calculateur!BL151*Calculateur!BN151*VLOOKUP('Données projet'!$B$11,Paramètres!$A$1:$I$89,3,0)*0.475*44/12</f>
        <v>0.16560779686988847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0.39196021419206406</v>
      </c>
      <c r="BT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1.2</v>
      </c>
      <c r="BY151" s="13">
        <f>IF('Données projet'!$A$114&gt;35,BY150+BX151-CG150,IF(A151&lt;'Données projet'!$A$114,$BV$205^A151,IF(A151='Données projet'!$A$114,'Données projet'!$B$114,BY150+BX151-CG150)))</f>
        <v>229.60000000000002</v>
      </c>
      <c r="BZ151" s="14">
        <f>BY151*VLOOKUP('Données projet'!$B$12,Paramètres!$A$1:$I$89,3,0)*VLOOKUP('Données projet'!$B$12,Paramètres!$A$1:$I$89,5,0)</f>
        <v>222.06912000000003</v>
      </c>
      <c r="CA151" s="14">
        <f t="shared" si="147"/>
        <v>54.564353424529749</v>
      </c>
      <c r="CB151" s="22">
        <f t="shared" si="118"/>
        <v>481.80329954772265</v>
      </c>
      <c r="CC151" s="58">
        <f t="shared" si="119"/>
        <v>775.1366328810559</v>
      </c>
      <c r="CD151" s="58">
        <f ca="1">AVERAGE(OFFSET($CC$3,0,0,'Données projet'!$E$12+1,1))-AVERAGE(OFFSET($H$3,0,0,'Données projet'!$E$12+1,1))</f>
        <v>343.86347628565426</v>
      </c>
      <c r="CE151" s="58">
        <f t="shared" si="148"/>
        <v>129.28196646107097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58" t="e">
        <f t="shared" si="122"/>
        <v>#N/A</v>
      </c>
      <c r="CY151" s="58" t="e">
        <f ca="1">AVERAGE(OFFSET($CX$3,0,0,'Données projet'!$E$13+1,1))-AVERAGE(OFFSET($H$3,0,0,'Données projet'!$E$13+1,1))</f>
        <v>#N/A</v>
      </c>
      <c r="CZ151" s="58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5.4092197387944907E-14</v>
      </c>
      <c r="DQ151" s="14">
        <f t="shared" si="151"/>
        <v>8.7287050538073676E-13</v>
      </c>
      <c r="DR151" s="22">
        <f t="shared" si="124"/>
        <v>1.6144600406554537E-12</v>
      </c>
      <c r="DS151" s="58">
        <f t="shared" si="125"/>
        <v>293.33333333333491</v>
      </c>
      <c r="DT151" s="58">
        <f ca="1">AVERAGE(OFFSET($DS$3,0,0,'Données projet'!$E$14+1,1))-AVERAGE(OFFSET($H$3,0,0,'Données projet'!$E$14+1,1))</f>
        <v>332.49889399440514</v>
      </c>
      <c r="DU151" s="58">
        <f t="shared" si="152"/>
        <v>256.06044006790529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5.1159076974727213E-13</v>
      </c>
      <c r="EK151" s="18">
        <f>EJ151*VLOOKUP('Données projet'!$B$15,Paramètres!$A$1:$I$89,3,0)*VLOOKUP('Données projet'!$B$15,Paramètres!$A$1:$I$89,5,0)</f>
        <v>5.3471467253984886E-13</v>
      </c>
      <c r="EL151" s="14">
        <f t="shared" si="153"/>
        <v>6.6087717628803869E-12</v>
      </c>
      <c r="EM151" s="22">
        <f t="shared" si="127"/>
        <v>1.244157220835691E-11</v>
      </c>
      <c r="EN151" s="58">
        <f t="shared" si="128"/>
        <v>293.33333333334576</v>
      </c>
      <c r="EO151" s="58">
        <f ca="1">AVERAGE(OFFSET($EN$3,0,0,'Données projet'!$E$15+1,1))-AVERAGE(OFFSET($H$3,0,0,'Données projet'!$E$15+1,1))</f>
        <v>596.00698505207174</v>
      </c>
      <c r="EP151" s="58">
        <f t="shared" si="154"/>
        <v>378.16197659288338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2.2737367544323206E-13</v>
      </c>
      <c r="FF151" s="18">
        <f>FE151*VLOOKUP('Données projet'!$B$16,Paramètres!$A$1:$I$89,3,0)*VLOOKUP('Données projet'!$B$16,Paramètres!$A$1:$I$89,5,0)</f>
        <v>1.064108801074326E-13</v>
      </c>
      <c r="FG151" s="14">
        <f t="shared" si="155"/>
        <v>1.5870730813698654E-12</v>
      </c>
      <c r="FH151" s="22">
        <f t="shared" si="130"/>
        <v>2.9494845662396269E-12</v>
      </c>
      <c r="FI151" s="58">
        <f t="shared" si="131"/>
        <v>293.33333333333627</v>
      </c>
      <c r="FJ151" s="58">
        <f ca="1">AVERAGE(OFFSET($FI$3,0,0,'Données projet'!$E$16+1,1))-AVERAGE(OFFSET($H$3,0,0,'Données projet'!$E$16+1,1))</f>
        <v>294.31042006404056</v>
      </c>
      <c r="FK151" s="58">
        <f t="shared" si="156"/>
        <v>260.93767498478502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2.8421709430404007E-13</v>
      </c>
      <c r="GA151" s="18">
        <f>FZ151*VLOOKUP('Données projet'!$B$17,Paramètres!$A$1:$I$89,3,0)*VLOOKUP('Données projet'!$B$17,Paramètres!$A$1:$I$89,5,0)</f>
        <v>1.9065282685915009E-13</v>
      </c>
      <c r="GB151" s="14">
        <f t="shared" si="157"/>
        <v>2.6568987209435707E-12</v>
      </c>
      <c r="GC151" s="22">
        <f t="shared" si="133"/>
        <v>4.959485612423072E-12</v>
      </c>
      <c r="GD151" s="58">
        <f t="shared" si="134"/>
        <v>293.33333333333826</v>
      </c>
      <c r="GE151" s="58">
        <f ca="1">AVERAGE(OFFSET($GD$3,0,0,'Données projet'!$E$17+1,1))-AVERAGE(OFFSET($H$3,0,0,'Données projet'!$E$17+1,1))</f>
        <v>362.1372269575329</v>
      </c>
      <c r="GF151" s="58">
        <f t="shared" si="158"/>
        <v>308.1559670593121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58" t="e">
        <f t="shared" si="137"/>
        <v>#N/A</v>
      </c>
      <c r="GZ151" s="58" t="e">
        <f ca="1">AVERAGE(OFFSET($GY$3,0,0,'Données projet'!$E$18+1,1))-AVERAGE(OFFSET($H$3,0,0,'Données projet'!$E$18+1,1))</f>
        <v>#N/A</v>
      </c>
      <c r="HA151" s="58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0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3">
        <f t="shared" si="110"/>
        <v>256.66666666666669</v>
      </c>
      <c r="I152" s="6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2.4666666666666668</v>
      </c>
      <c r="N152" s="14">
        <f>IF('Données projet'!$A$36&gt;35,N151+M152-V151,IF(A152&lt;'Données projet'!$A$36,$K$205^A152,IF(A152='Données projet'!$A$36,'Données projet'!$B$36,N151+M152-V151)))</f>
        <v>303.53333333333308</v>
      </c>
      <c r="O152" s="14">
        <f>N152*VLOOKUP('Données projet'!$B$9,Paramètres!$A$1:$I$89,3,0)*VLOOKUP('Données projet'!$B$9,Paramètres!$A$1:$I$89,5,0)</f>
        <v>307.78279999999978</v>
      </c>
      <c r="P152" s="14">
        <f t="shared" si="141"/>
        <v>72.805597304306175</v>
      </c>
      <c r="Q152" s="22">
        <f t="shared" si="108"/>
        <v>662.85812530499959</v>
      </c>
      <c r="R152" s="58">
        <f t="shared" si="109"/>
        <v>956.19145863833296</v>
      </c>
      <c r="S152" s="58">
        <f ca="1">AVERAGE(OFFSET($R$3,0,0,'Données projet'!$E$9+1,1))-AVERAGE(OFFSET($H$3,0,0,'Données projet'!$E$9+1,1))</f>
        <v>483.15009705023641</v>
      </c>
      <c r="T152" s="58">
        <f t="shared" si="142"/>
        <v>254.25036207346591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2.4666666666666668</v>
      </c>
      <c r="AI152" s="14">
        <f>IF('Données projet'!$A$62&gt;35,AI151+AH152-AQ151,IF(A152&lt;'Données projet'!$A$62,$AF$205^A152,IF(A152='Données projet'!$A$62,'Données projet'!$B$62,AI151+AH152-AQ151)))</f>
        <v>303.53333333333308</v>
      </c>
      <c r="AJ152" s="14">
        <f>AI152*VLOOKUP('Données projet'!$B$10,Paramètres!$A$1:$I$89,3,0)*VLOOKUP('Données projet'!$B$10,Paramètres!$A$1:$I$89,5,0)</f>
        <v>274.63695999999976</v>
      </c>
      <c r="AK152" s="14">
        <f t="shared" si="143"/>
        <v>65.832371848549244</v>
      </c>
      <c r="AL152" s="22">
        <f t="shared" si="112"/>
        <v>592.98408630288952</v>
      </c>
      <c r="AM152" s="58">
        <f t="shared" si="113"/>
        <v>886.31741963622289</v>
      </c>
      <c r="AN152" s="58">
        <f ca="1">AVERAGE(OFFSET($AM$3,0,0,'Données projet'!$E$10+1,1))-AVERAGE(OFFSET($H$3,0,0,'Données projet'!$E$10+1,1))</f>
        <v>435.7095890216213</v>
      </c>
      <c r="AO152" s="58">
        <f t="shared" si="144"/>
        <v>231.36959598460686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-4.9658410716801891E-14</v>
      </c>
      <c r="BF152" s="14" t="e">
        <f t="shared" si="145"/>
        <v>#NUM!</v>
      </c>
      <c r="BG152" s="22" t="e">
        <f t="shared" si="115"/>
        <v>#NUM!</v>
      </c>
      <c r="BH152" s="58" t="e">
        <f t="shared" si="116"/>
        <v>#NUM!</v>
      </c>
      <c r="BI152" s="58">
        <f ca="1">AVERAGE(OFFSET($BH$3,0,0,'Données projet'!$E$11+1,1))-AVERAGE(OFFSET($H$3,0,0,'Données projet'!$E$11+1,1))</f>
        <v>218.76424742311815</v>
      </c>
      <c r="BJ152" s="58">
        <f t="shared" si="146"/>
        <v>264.34598683038593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0.22191378447982987</v>
      </c>
      <c r="BQ152" s="23">
        <f>EXP(-LN(2)/25)*BQ151+(1-EXP(-LN(2)/25))/(LN(2)/25)*Calculateur!BL152*Calculateur!BN152*VLOOKUP('Données projet'!$B$11,Paramètres!$A$1:$I$89,3,0)*0.475*44/12</f>
        <v>0.16107924295554582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0.38299302743537567</v>
      </c>
      <c r="BT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1.2</v>
      </c>
      <c r="BY152" s="13">
        <f>IF('Données projet'!$A$114&gt;35,BY151+BX152-CG151,IF(A152&lt;'Données projet'!$A$114,$BV$205^A152,IF(A152='Données projet'!$A$114,'Données projet'!$B$114,BY151+BX152-CG151)))</f>
        <v>230.8</v>
      </c>
      <c r="BZ152" s="14">
        <f>BY152*VLOOKUP('Données projet'!$B$12,Paramètres!$A$1:$I$89,3,0)*VLOOKUP('Données projet'!$B$12,Paramètres!$A$1:$I$89,5,0)</f>
        <v>223.22976000000003</v>
      </c>
      <c r="CA152" s="14">
        <f t="shared" si="147"/>
        <v>54.816261572392548</v>
      </c>
      <c r="CB152" s="22">
        <f t="shared" si="118"/>
        <v>484.26348757191704</v>
      </c>
      <c r="CC152" s="58">
        <f t="shared" si="119"/>
        <v>777.5968209052503</v>
      </c>
      <c r="CD152" s="58">
        <f ca="1">AVERAGE(OFFSET($CC$3,0,0,'Données projet'!$E$12+1,1))-AVERAGE(OFFSET($H$3,0,0,'Données projet'!$E$12+1,1))</f>
        <v>343.86347628565426</v>
      </c>
      <c r="CE152" s="58">
        <f t="shared" si="148"/>
        <v>129.28196646107097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58" t="e">
        <f t="shared" si="122"/>
        <v>#N/A</v>
      </c>
      <c r="CY152" s="58" t="e">
        <f ca="1">AVERAGE(OFFSET($CX$3,0,0,'Données projet'!$E$13+1,1))-AVERAGE(OFFSET($H$3,0,0,'Données projet'!$E$13+1,1))</f>
        <v>#N/A</v>
      </c>
      <c r="CZ152" s="58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5.4092197387944907E-14</v>
      </c>
      <c r="DQ152" s="14">
        <f t="shared" si="151"/>
        <v>8.7287050538073676E-13</v>
      </c>
      <c r="DR152" s="22">
        <f t="shared" si="124"/>
        <v>1.6144600406554537E-12</v>
      </c>
      <c r="DS152" s="58">
        <f t="shared" si="125"/>
        <v>293.33333333333491</v>
      </c>
      <c r="DT152" s="58">
        <f ca="1">AVERAGE(OFFSET($DS$3,0,0,'Données projet'!$E$14+1,1))-AVERAGE(OFFSET($H$3,0,0,'Données projet'!$E$14+1,1))</f>
        <v>332.49889399440514</v>
      </c>
      <c r="DU152" s="58">
        <f t="shared" si="152"/>
        <v>256.06044006790529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5.1159076974727213E-13</v>
      </c>
      <c r="EK152" s="18">
        <f>EJ152*VLOOKUP('Données projet'!$B$15,Paramètres!$A$1:$I$89,3,0)*VLOOKUP('Données projet'!$B$15,Paramètres!$A$1:$I$89,5,0)</f>
        <v>5.3471467253984886E-13</v>
      </c>
      <c r="EL152" s="14">
        <f t="shared" si="153"/>
        <v>6.6087717628803869E-12</v>
      </c>
      <c r="EM152" s="22">
        <f t="shared" si="127"/>
        <v>1.244157220835691E-11</v>
      </c>
      <c r="EN152" s="58">
        <f t="shared" si="128"/>
        <v>293.33333333334576</v>
      </c>
      <c r="EO152" s="58">
        <f ca="1">AVERAGE(OFFSET($EN$3,0,0,'Données projet'!$E$15+1,1))-AVERAGE(OFFSET($H$3,0,0,'Données projet'!$E$15+1,1))</f>
        <v>596.00698505207174</v>
      </c>
      <c r="EP152" s="58">
        <f t="shared" si="154"/>
        <v>378.16197659288338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2.2737367544323206E-13</v>
      </c>
      <c r="FF152" s="18">
        <f>FE152*VLOOKUP('Données projet'!$B$16,Paramètres!$A$1:$I$89,3,0)*VLOOKUP('Données projet'!$B$16,Paramètres!$A$1:$I$89,5,0)</f>
        <v>1.064108801074326E-13</v>
      </c>
      <c r="FG152" s="14">
        <f t="shared" si="155"/>
        <v>1.5870730813698654E-12</v>
      </c>
      <c r="FH152" s="22">
        <f t="shared" si="130"/>
        <v>2.9494845662396269E-12</v>
      </c>
      <c r="FI152" s="58">
        <f t="shared" si="131"/>
        <v>293.33333333333627</v>
      </c>
      <c r="FJ152" s="58">
        <f ca="1">AVERAGE(OFFSET($FI$3,0,0,'Données projet'!$E$16+1,1))-AVERAGE(OFFSET($H$3,0,0,'Données projet'!$E$16+1,1))</f>
        <v>294.31042006404056</v>
      </c>
      <c r="FK152" s="58">
        <f t="shared" si="156"/>
        <v>260.93767498478502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2.8421709430404007E-13</v>
      </c>
      <c r="GA152" s="18">
        <f>FZ152*VLOOKUP('Données projet'!$B$17,Paramètres!$A$1:$I$89,3,0)*VLOOKUP('Données projet'!$B$17,Paramètres!$A$1:$I$89,5,0)</f>
        <v>1.9065282685915009E-13</v>
      </c>
      <c r="GB152" s="14">
        <f t="shared" si="157"/>
        <v>2.6568987209435707E-12</v>
      </c>
      <c r="GC152" s="22">
        <f t="shared" si="133"/>
        <v>4.959485612423072E-12</v>
      </c>
      <c r="GD152" s="58">
        <f t="shared" si="134"/>
        <v>293.33333333333826</v>
      </c>
      <c r="GE152" s="58">
        <f ca="1">AVERAGE(OFFSET($GD$3,0,0,'Données projet'!$E$17+1,1))-AVERAGE(OFFSET($H$3,0,0,'Données projet'!$E$17+1,1))</f>
        <v>362.1372269575329</v>
      </c>
      <c r="GF152" s="58">
        <f t="shared" si="158"/>
        <v>308.1559670593121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58" t="e">
        <f t="shared" si="137"/>
        <v>#N/A</v>
      </c>
      <c r="GZ152" s="58" t="e">
        <f ca="1">AVERAGE(OFFSET($GY$3,0,0,'Données projet'!$E$18+1,1))-AVERAGE(OFFSET($H$3,0,0,'Données projet'!$E$18+1,1))</f>
        <v>#N/A</v>
      </c>
      <c r="HA152" s="58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0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3">
        <f t="shared" si="110"/>
        <v>256.66666666666669</v>
      </c>
      <c r="I153" s="6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2.4666666666666668</v>
      </c>
      <c r="M153" s="13">
        <f t="array" ref="M153">INDEX(L:L,MIN(IF(ISNUMBER(L153:L349),ROW(L153:L349),"")))</f>
        <v>2.4666666666666668</v>
      </c>
      <c r="N153" s="14">
        <f>IF('Données projet'!$A$36&gt;35,N152+M153-V152,IF(A153&lt;'Données projet'!$A$36,$K$205^A153,IF(A153='Données projet'!$A$36,'Données projet'!$B$36,N152+M153-V152)))</f>
        <v>305.99999999999972</v>
      </c>
      <c r="O153" s="14">
        <f>N153*VLOOKUP('Données projet'!$B$9,Paramètres!$A$1:$I$89,3,0)*VLOOKUP('Données projet'!$B$9,Paramètres!$A$1:$I$89,5,0)</f>
        <v>310.28399999999976</v>
      </c>
      <c r="P153" s="14">
        <f t="shared" si="141"/>
        <v>73.328137514010095</v>
      </c>
      <c r="Q153" s="22">
        <f t="shared" si="108"/>
        <v>668.12447283690051</v>
      </c>
      <c r="R153" s="58">
        <f t="shared" si="109"/>
        <v>961.45780617023388</v>
      </c>
      <c r="S153" s="58">
        <f ca="1">AVERAGE(OFFSET($R$3,0,0,'Données projet'!$E$9+1,1))-AVERAGE(OFFSET($H$3,0,0,'Données projet'!$E$9+1,1))</f>
        <v>483.15009705023641</v>
      </c>
      <c r="T153" s="58">
        <f t="shared" si="142"/>
        <v>254.25036207346591</v>
      </c>
      <c r="U153" s="16">
        <f>IF(ISNA(VLOOKUP(A153,'Données projet'!$A$35:$I$55,3,0)),0,VLOOKUP(A153,'Données projet'!$A$35:$I$55,3,0))</f>
        <v>11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2.4666666666666668</v>
      </c>
      <c r="AH153" s="13">
        <f t="array" ref="AH153">INDEX(AG:AG,MIN(IF(ISNUMBER(AG153:AG349),ROW(AG153:AG349),"")))</f>
        <v>2.4666666666666668</v>
      </c>
      <c r="AI153" s="14">
        <f>IF('Données projet'!$A$62&gt;35,AI152+AH153-AQ152,IF(A153&lt;'Données projet'!$A$62,$AF$205^A153,IF(A153='Données projet'!$A$62,'Données projet'!$B$62,AI152+AH153-AQ152)))</f>
        <v>305.99999999999972</v>
      </c>
      <c r="AJ153" s="14">
        <f>AI153*VLOOKUP('Données projet'!$B$10,Paramètres!$A$1:$I$89,3,0)*VLOOKUP('Données projet'!$B$10,Paramètres!$A$1:$I$89,5,0)</f>
        <v>276.86879999999974</v>
      </c>
      <c r="AK153" s="14">
        <f t="shared" si="143"/>
        <v>66.304863836318603</v>
      </c>
      <c r="AL153" s="22">
        <f t="shared" si="112"/>
        <v>597.69413118158775</v>
      </c>
      <c r="AM153" s="58">
        <f t="shared" si="113"/>
        <v>891.02746451492112</v>
      </c>
      <c r="AN153" s="58">
        <f ca="1">AVERAGE(OFFSET($AM$3,0,0,'Données projet'!$E$10+1,1))-AVERAGE(OFFSET($H$3,0,0,'Données projet'!$E$10+1,1))</f>
        <v>435.7095890216213</v>
      </c>
      <c r="AO153" s="58">
        <f t="shared" si="144"/>
        <v>231.36959598460686</v>
      </c>
      <c r="AP153" s="16">
        <f>IF(ISNA(VLOOKUP(A153,'Données projet'!$A$61:$I$81,3,0)),0,VLOOKUP(A153,'Données projet'!$A$61:$I$81,3,0))</f>
        <v>11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-4.9658410716801891E-14</v>
      </c>
      <c r="BF153" s="14" t="e">
        <f t="shared" si="145"/>
        <v>#NUM!</v>
      </c>
      <c r="BG153" s="22" t="e">
        <f t="shared" si="115"/>
        <v>#NUM!</v>
      </c>
      <c r="BH153" s="58" t="e">
        <f t="shared" si="116"/>
        <v>#NUM!</v>
      </c>
      <c r="BI153" s="58">
        <f ca="1">AVERAGE(OFFSET($BH$3,0,0,'Données projet'!$E$11+1,1))-AVERAGE(OFFSET($H$3,0,0,'Données projet'!$E$11+1,1))</f>
        <v>218.76424742311815</v>
      </c>
      <c r="BJ153" s="58">
        <f t="shared" si="146"/>
        <v>264.34598683038593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0.21756219052022385</v>
      </c>
      <c r="BQ153" s="23">
        <f>EXP(-LN(2)/25)*BQ152+(1-EXP(-LN(2)/25))/(LN(2)/25)*Calculateur!BL153*Calculateur!BN153*VLOOKUP('Données projet'!$B$11,Paramètres!$A$1:$I$89,3,0)*0.475*44/12</f>
        <v>0.15667452258613718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0.37423671310636103</v>
      </c>
      <c r="BT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232</v>
      </c>
      <c r="BW153" s="13">
        <f>VLOOKUP(A153,'Données projet'!$A$113:$I$133,9,0)</f>
        <v>1.2</v>
      </c>
      <c r="BX153" s="13">
        <f t="array" ref="BX153">INDEX(BW:BW,MIN(IF(ISNUMBER(BW153:BW349),ROW(BW153:BW349),"")))</f>
        <v>1.2</v>
      </c>
      <c r="BY153" s="13">
        <f>IF('Données projet'!$A$114&gt;35,BY152+BX153-CG152,IF(A153&lt;'Données projet'!$A$114,$BV$205^A153,IF(A153='Données projet'!$A$114,'Données projet'!$B$114,BY152+BX153-CG152)))</f>
        <v>232</v>
      </c>
      <c r="BZ153" s="14">
        <f>BY153*VLOOKUP('Données projet'!$B$12,Paramètres!$A$1:$I$89,3,0)*VLOOKUP('Données projet'!$B$12,Paramètres!$A$1:$I$89,5,0)</f>
        <v>224.3904</v>
      </c>
      <c r="CA153" s="14">
        <f t="shared" si="147"/>
        <v>55.068017311015858</v>
      </c>
      <c r="CB153" s="22">
        <f t="shared" si="118"/>
        <v>486.72341015001922</v>
      </c>
      <c r="CC153" s="58">
        <f t="shared" si="119"/>
        <v>780.05674348335253</v>
      </c>
      <c r="CD153" s="58">
        <f ca="1">AVERAGE(OFFSET($CC$3,0,0,'Données projet'!$E$12+1,1))-AVERAGE(OFFSET($H$3,0,0,'Données projet'!$E$12+1,1))</f>
        <v>343.86347628565426</v>
      </c>
      <c r="CE153" s="58">
        <f t="shared" si="148"/>
        <v>129.28196646107097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232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58" t="e">
        <f t="shared" si="122"/>
        <v>#N/A</v>
      </c>
      <c r="CY153" s="58" t="e">
        <f ca="1">AVERAGE(OFFSET($CX$3,0,0,'Données projet'!$E$13+1,1))-AVERAGE(OFFSET($H$3,0,0,'Données projet'!$E$13+1,1))</f>
        <v>#N/A</v>
      </c>
      <c r="CZ153" s="58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5.4092197387944907E-14</v>
      </c>
      <c r="DQ153" s="14">
        <f t="shared" si="151"/>
        <v>8.7287050538073676E-13</v>
      </c>
      <c r="DR153" s="22">
        <f t="shared" si="124"/>
        <v>1.6144600406554537E-12</v>
      </c>
      <c r="DS153" s="58">
        <f t="shared" si="125"/>
        <v>293.33333333333491</v>
      </c>
      <c r="DT153" s="58">
        <f ca="1">AVERAGE(OFFSET($DS$3,0,0,'Données projet'!$E$14+1,1))-AVERAGE(OFFSET($H$3,0,0,'Données projet'!$E$14+1,1))</f>
        <v>332.49889399440514</v>
      </c>
      <c r="DU153" s="58">
        <f t="shared" si="152"/>
        <v>256.06044006790529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5.1159076974727213E-13</v>
      </c>
      <c r="EK153" s="18">
        <f>EJ153*VLOOKUP('Données projet'!$B$15,Paramètres!$A$1:$I$89,3,0)*VLOOKUP('Données projet'!$B$15,Paramètres!$A$1:$I$89,5,0)</f>
        <v>5.3471467253984886E-13</v>
      </c>
      <c r="EL153" s="14">
        <f t="shared" si="153"/>
        <v>6.6087717628803869E-12</v>
      </c>
      <c r="EM153" s="22">
        <f t="shared" si="127"/>
        <v>1.244157220835691E-11</v>
      </c>
      <c r="EN153" s="58">
        <f t="shared" si="128"/>
        <v>293.33333333334576</v>
      </c>
      <c r="EO153" s="58">
        <f ca="1">AVERAGE(OFFSET($EN$3,0,0,'Données projet'!$E$15+1,1))-AVERAGE(OFFSET($H$3,0,0,'Données projet'!$E$15+1,1))</f>
        <v>596.00698505207174</v>
      </c>
      <c r="EP153" s="58">
        <f t="shared" si="154"/>
        <v>378.16197659288338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2.2737367544323206E-13</v>
      </c>
      <c r="FF153" s="18">
        <f>FE153*VLOOKUP('Données projet'!$B$16,Paramètres!$A$1:$I$89,3,0)*VLOOKUP('Données projet'!$B$16,Paramètres!$A$1:$I$89,5,0)</f>
        <v>1.064108801074326E-13</v>
      </c>
      <c r="FG153" s="14">
        <f t="shared" si="155"/>
        <v>1.5870730813698654E-12</v>
      </c>
      <c r="FH153" s="22">
        <f t="shared" si="130"/>
        <v>2.9494845662396269E-12</v>
      </c>
      <c r="FI153" s="58">
        <f t="shared" si="131"/>
        <v>293.33333333333627</v>
      </c>
      <c r="FJ153" s="58">
        <f ca="1">AVERAGE(OFFSET($FI$3,0,0,'Données projet'!$E$16+1,1))-AVERAGE(OFFSET($H$3,0,0,'Données projet'!$E$16+1,1))</f>
        <v>294.31042006404056</v>
      </c>
      <c r="FK153" s="58">
        <f t="shared" si="156"/>
        <v>260.93767498478502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2.8421709430404007E-13</v>
      </c>
      <c r="GA153" s="18">
        <f>FZ153*VLOOKUP('Données projet'!$B$17,Paramètres!$A$1:$I$89,3,0)*VLOOKUP('Données projet'!$B$17,Paramètres!$A$1:$I$89,5,0)</f>
        <v>1.9065282685915009E-13</v>
      </c>
      <c r="GB153" s="14">
        <f t="shared" si="157"/>
        <v>2.6568987209435707E-12</v>
      </c>
      <c r="GC153" s="22">
        <f t="shared" si="133"/>
        <v>4.959485612423072E-12</v>
      </c>
      <c r="GD153" s="58">
        <f t="shared" si="134"/>
        <v>293.33333333333826</v>
      </c>
      <c r="GE153" s="58">
        <f ca="1">AVERAGE(OFFSET($GD$3,0,0,'Données projet'!$E$17+1,1))-AVERAGE(OFFSET($H$3,0,0,'Données projet'!$E$17+1,1))</f>
        <v>362.1372269575329</v>
      </c>
      <c r="GF153" s="58">
        <f t="shared" si="158"/>
        <v>308.1559670593121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58" t="e">
        <f t="shared" si="137"/>
        <v>#N/A</v>
      </c>
      <c r="GZ153" s="58" t="e">
        <f ca="1">AVERAGE(OFFSET($GY$3,0,0,'Données projet'!$E$18+1,1))-AVERAGE(OFFSET($H$3,0,0,'Données projet'!$E$18+1,1))</f>
        <v>#N/A</v>
      </c>
      <c r="HA153" s="58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0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3">
        <f t="shared" si="110"/>
        <v>256.66666666666669</v>
      </c>
      <c r="I154" s="6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-2.8421709430404007E-13</v>
      </c>
      <c r="O154" s="14">
        <f>N154*VLOOKUP('Données projet'!$B$9,Paramètres!$A$1:$I$89,3,0)*VLOOKUP('Données projet'!$B$9,Paramètres!$A$1:$I$89,5,0)</f>
        <v>-2.8819613362429665E-13</v>
      </c>
      <c r="P154" s="14" t="e">
        <f t="shared" si="141"/>
        <v>#NUM!</v>
      </c>
      <c r="Q154" s="22" t="e">
        <f t="shared" ref="Q154:Q203" si="162">(O154+P154)*0.475*44/12</f>
        <v>#NUM!</v>
      </c>
      <c r="R154" s="58" t="e">
        <f t="shared" si="109"/>
        <v>#NUM!</v>
      </c>
      <c r="S154" s="58">
        <f ca="1">AVERAGE(OFFSET($R$3,0,0,'Données projet'!$E$9+1,1))-AVERAGE(OFFSET($H$3,0,0,'Données projet'!$E$9+1,1))</f>
        <v>483.15009705023641</v>
      </c>
      <c r="T154" s="58">
        <f t="shared" si="142"/>
        <v>254.25036207346591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-2.8421709430404007E-13</v>
      </c>
      <c r="AJ154" s="14">
        <f>AI154*VLOOKUP('Données projet'!$B$10,Paramètres!$A$1:$I$89,3,0)*VLOOKUP('Données projet'!$B$10,Paramètres!$A$1:$I$89,5,0)</f>
        <v>-2.5715962692629546E-13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58" t="e">
        <f t="shared" si="113"/>
        <v>#NUM!</v>
      </c>
      <c r="AN154" s="58">
        <f ca="1">AVERAGE(OFFSET($AM$3,0,0,'Données projet'!$E$10+1,1))-AVERAGE(OFFSET($H$3,0,0,'Données projet'!$E$10+1,1))</f>
        <v>435.7095890216213</v>
      </c>
      <c r="AO154" s="58">
        <f t="shared" si="144"/>
        <v>231.36959598460686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-4.9658410716801891E-14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58" t="e">
        <f t="shared" si="116"/>
        <v>#NUM!</v>
      </c>
      <c r="BI154" s="58">
        <f ca="1">AVERAGE(OFFSET($BH$3,0,0,'Données projet'!$E$11+1,1))-AVERAGE(OFFSET($H$3,0,0,'Données projet'!$E$11+1,1))</f>
        <v>218.76424742311815</v>
      </c>
      <c r="BJ154" s="58">
        <f t="shared" si="146"/>
        <v>264.34598683038593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0.21329592866395547</v>
      </c>
      <c r="BQ154" s="23">
        <f>EXP(-LN(2)/25)*BQ153+(1-EXP(-LN(2)/25))/(LN(2)/25)*Calculateur!BL154*Calculateur!BN154*VLOOKUP('Données projet'!$B$11,Paramètres!$A$1:$I$89,3,0)*0.475*44/12</f>
        <v>0.1523902495268642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0.36568617819081967</v>
      </c>
      <c r="BT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58" t="e">
        <f t="shared" si="119"/>
        <v>#NUM!</v>
      </c>
      <c r="CD154" s="58">
        <f ca="1">AVERAGE(OFFSET($CC$3,0,0,'Données projet'!$E$12+1,1))-AVERAGE(OFFSET($H$3,0,0,'Données projet'!$E$12+1,1))</f>
        <v>343.86347628565426</v>
      </c>
      <c r="CE154" s="58">
        <f t="shared" si="148"/>
        <v>129.28196646107097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58" t="e">
        <f t="shared" si="122"/>
        <v>#N/A</v>
      </c>
      <c r="CY154" s="58" t="e">
        <f ca="1">AVERAGE(OFFSET($CX$3,0,0,'Données projet'!$E$13+1,1))-AVERAGE(OFFSET($H$3,0,0,'Données projet'!$E$13+1,1))</f>
        <v>#N/A</v>
      </c>
      <c r="CZ154" s="58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5.4092197387944907E-14</v>
      </c>
      <c r="DQ154" s="14">
        <f t="shared" ref="DQ154:DQ203" si="176">EXP(-1.0587+0.8836*LN(DP154)+0.284)</f>
        <v>8.7287050538073676E-13</v>
      </c>
      <c r="DR154" s="22">
        <f t="shared" ref="DR154:DR203" si="177">(DP154+DQ154)*0.475*44/12</f>
        <v>1.6144600406554537E-12</v>
      </c>
      <c r="DS154" s="58">
        <f t="shared" si="125"/>
        <v>293.33333333333491</v>
      </c>
      <c r="DT154" s="58">
        <f ca="1">AVERAGE(OFFSET($DS$3,0,0,'Données projet'!$E$14+1,1))-AVERAGE(OFFSET($H$3,0,0,'Données projet'!$E$14+1,1))</f>
        <v>332.49889399440514</v>
      </c>
      <c r="DU154" s="58">
        <f t="shared" si="152"/>
        <v>256.06044006790529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5.1159076974727213E-13</v>
      </c>
      <c r="EK154" s="18">
        <f>EJ154*VLOOKUP('Données projet'!$B$15,Paramètres!$A$1:$I$89,3,0)*VLOOKUP('Données projet'!$B$15,Paramètres!$A$1:$I$89,5,0)</f>
        <v>5.3471467253984886E-13</v>
      </c>
      <c r="EL154" s="14">
        <f t="shared" ref="EL154:EL203" si="179">EXP(-1.0587+0.8836*LN(EK154)+0.284)</f>
        <v>6.6087717628803869E-12</v>
      </c>
      <c r="EM154" s="22">
        <f t="shared" ref="EM154:EM203" si="180">(EK154+EL154)*0.475*44/12</f>
        <v>1.244157220835691E-11</v>
      </c>
      <c r="EN154" s="58">
        <f t="shared" si="128"/>
        <v>293.33333333334576</v>
      </c>
      <c r="EO154" s="58">
        <f ca="1">AVERAGE(OFFSET($EN$3,0,0,'Données projet'!$E$15+1,1))-AVERAGE(OFFSET($H$3,0,0,'Données projet'!$E$15+1,1))</f>
        <v>596.00698505207174</v>
      </c>
      <c r="EP154" s="58">
        <f t="shared" si="154"/>
        <v>378.16197659288338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2.2737367544323206E-13</v>
      </c>
      <c r="FF154" s="18">
        <f>FE154*VLOOKUP('Données projet'!$B$16,Paramètres!$A$1:$I$89,3,0)*VLOOKUP('Données projet'!$B$16,Paramètres!$A$1:$I$89,5,0)</f>
        <v>1.064108801074326E-13</v>
      </c>
      <c r="FG154" s="14">
        <f t="shared" ref="FG154:FG203" si="182">EXP(-1.0587+0.8836*LN(FF154)+0.284)</f>
        <v>1.5870730813698654E-12</v>
      </c>
      <c r="FH154" s="22">
        <f t="shared" ref="FH154:FH203" si="183">(FF154+FG154)*0.475*44/12</f>
        <v>2.9494845662396269E-12</v>
      </c>
      <c r="FI154" s="58">
        <f t="shared" si="131"/>
        <v>293.33333333333627</v>
      </c>
      <c r="FJ154" s="58">
        <f ca="1">AVERAGE(OFFSET($FI$3,0,0,'Données projet'!$E$16+1,1))-AVERAGE(OFFSET($H$3,0,0,'Données projet'!$E$16+1,1))</f>
        <v>294.31042006404056</v>
      </c>
      <c r="FK154" s="58">
        <f t="shared" si="156"/>
        <v>260.93767498478502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2.8421709430404007E-13</v>
      </c>
      <c r="GA154" s="18">
        <f>FZ154*VLOOKUP('Données projet'!$B$17,Paramètres!$A$1:$I$89,3,0)*VLOOKUP('Données projet'!$B$17,Paramètres!$A$1:$I$89,5,0)</f>
        <v>1.9065282685915009E-13</v>
      </c>
      <c r="GB154" s="14">
        <f t="shared" ref="GB154:GB203" si="185">EXP(-1.0587+0.8836*LN(GA154)+0.284)</f>
        <v>2.6568987209435707E-12</v>
      </c>
      <c r="GC154" s="22">
        <f t="shared" ref="GC154:GC203" si="186">(GA154+GB154)*0.475*44/12</f>
        <v>4.959485612423072E-12</v>
      </c>
      <c r="GD154" s="58">
        <f t="shared" si="134"/>
        <v>293.33333333333826</v>
      </c>
      <c r="GE154" s="58">
        <f ca="1">AVERAGE(OFFSET($GD$3,0,0,'Données projet'!$E$17+1,1))-AVERAGE(OFFSET($H$3,0,0,'Données projet'!$E$17+1,1))</f>
        <v>362.1372269575329</v>
      </c>
      <c r="GF154" s="58">
        <f t="shared" si="158"/>
        <v>308.1559670593121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58" t="e">
        <f t="shared" si="137"/>
        <v>#N/A</v>
      </c>
      <c r="GZ154" s="58" t="e">
        <f ca="1">AVERAGE(OFFSET($GY$3,0,0,'Données projet'!$E$18+1,1))-AVERAGE(OFFSET($H$3,0,0,'Données projet'!$E$18+1,1))</f>
        <v>#N/A</v>
      </c>
      <c r="HA154" s="58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0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3">
        <f t="shared" si="110"/>
        <v>256.66666666666669</v>
      </c>
      <c r="I155" s="6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-2.8421709430404007E-13</v>
      </c>
      <c r="O155" s="14">
        <f>N155*VLOOKUP('Données projet'!$B$9,Paramètres!$A$1:$I$89,3,0)*VLOOKUP('Données projet'!$B$9,Paramètres!$A$1:$I$89,5,0)</f>
        <v>-2.8819613362429665E-13</v>
      </c>
      <c r="P155" s="14" t="e">
        <f t="shared" si="141"/>
        <v>#NUM!</v>
      </c>
      <c r="Q155" s="22" t="e">
        <f t="shared" si="162"/>
        <v>#NUM!</v>
      </c>
      <c r="R155" s="58" t="e">
        <f t="shared" si="109"/>
        <v>#NUM!</v>
      </c>
      <c r="S155" s="58">
        <f ca="1">AVERAGE(OFFSET($R$3,0,0,'Données projet'!$E$9+1,1))-AVERAGE(OFFSET($H$3,0,0,'Données projet'!$E$9+1,1))</f>
        <v>483.15009705023641</v>
      </c>
      <c r="T155" s="58">
        <f t="shared" si="142"/>
        <v>254.25036207346591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-2.8421709430404007E-13</v>
      </c>
      <c r="AJ155" s="14">
        <f>AI155*VLOOKUP('Données projet'!$B$10,Paramètres!$A$1:$I$89,3,0)*VLOOKUP('Données projet'!$B$10,Paramètres!$A$1:$I$89,5,0)</f>
        <v>-2.5715962692629546E-13</v>
      </c>
      <c r="AK155" s="14" t="e">
        <f t="shared" si="164"/>
        <v>#NUM!</v>
      </c>
      <c r="AL155" s="22" t="e">
        <f t="shared" si="165"/>
        <v>#NUM!</v>
      </c>
      <c r="AM155" s="58" t="e">
        <f t="shared" si="113"/>
        <v>#NUM!</v>
      </c>
      <c r="AN155" s="58">
        <f ca="1">AVERAGE(OFFSET($AM$3,0,0,'Données projet'!$E$10+1,1))-AVERAGE(OFFSET($H$3,0,0,'Données projet'!$E$10+1,1))</f>
        <v>435.7095890216213</v>
      </c>
      <c r="AO155" s="58">
        <f t="shared" si="144"/>
        <v>231.36959598460686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-4.9658410716801891E-14</v>
      </c>
      <c r="BF155" s="14" t="e">
        <f t="shared" si="167"/>
        <v>#NUM!</v>
      </c>
      <c r="BG155" s="22" t="e">
        <f t="shared" si="168"/>
        <v>#NUM!</v>
      </c>
      <c r="BH155" s="58" t="e">
        <f t="shared" si="116"/>
        <v>#NUM!</v>
      </c>
      <c r="BI155" s="58">
        <f ca="1">AVERAGE(OFFSET($BH$3,0,0,'Données projet'!$E$11+1,1))-AVERAGE(OFFSET($H$3,0,0,'Données projet'!$E$11+1,1))</f>
        <v>218.76424742311815</v>
      </c>
      <c r="BJ155" s="58">
        <f t="shared" si="146"/>
        <v>264.34598683038593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0.2091133256005257</v>
      </c>
      <c r="BQ155" s="23">
        <f>EXP(-LN(2)/25)*BQ154+(1-EXP(-LN(2)/25))/(LN(2)/25)*Calculateur!BL155*Calculateur!BN155*VLOOKUP('Données projet'!$B$11,Paramètres!$A$1:$I$89,3,0)*0.475*44/12</f>
        <v>0.14822313013969718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0.35733645574022288</v>
      </c>
      <c r="BT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58" t="e">
        <f t="shared" si="119"/>
        <v>#NUM!</v>
      </c>
      <c r="CD155" s="58">
        <f ca="1">AVERAGE(OFFSET($CC$3,0,0,'Données projet'!$E$12+1,1))-AVERAGE(OFFSET($H$3,0,0,'Données projet'!$E$12+1,1))</f>
        <v>343.86347628565426</v>
      </c>
      <c r="CE155" s="58">
        <f t="shared" si="148"/>
        <v>129.28196646107097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58" t="e">
        <f t="shared" si="122"/>
        <v>#N/A</v>
      </c>
      <c r="CY155" s="58" t="e">
        <f ca="1">AVERAGE(OFFSET($CX$3,0,0,'Données projet'!$E$13+1,1))-AVERAGE(OFFSET($H$3,0,0,'Données projet'!$E$13+1,1))</f>
        <v>#N/A</v>
      </c>
      <c r="CZ155" s="58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5.4092197387944907E-14</v>
      </c>
      <c r="DQ155" s="14">
        <f t="shared" si="176"/>
        <v>8.7287050538073676E-13</v>
      </c>
      <c r="DR155" s="22">
        <f t="shared" si="177"/>
        <v>1.6144600406554537E-12</v>
      </c>
      <c r="DS155" s="58">
        <f t="shared" si="125"/>
        <v>293.33333333333491</v>
      </c>
      <c r="DT155" s="58">
        <f ca="1">AVERAGE(OFFSET($DS$3,0,0,'Données projet'!$E$14+1,1))-AVERAGE(OFFSET($H$3,0,0,'Données projet'!$E$14+1,1))</f>
        <v>332.49889399440514</v>
      </c>
      <c r="DU155" s="58">
        <f t="shared" si="152"/>
        <v>256.06044006790529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5.1159076974727213E-13</v>
      </c>
      <c r="EK155" s="18">
        <f>EJ155*VLOOKUP('Données projet'!$B$15,Paramètres!$A$1:$I$89,3,0)*VLOOKUP('Données projet'!$B$15,Paramètres!$A$1:$I$89,5,0)</f>
        <v>5.3471467253984886E-13</v>
      </c>
      <c r="EL155" s="14">
        <f t="shared" si="179"/>
        <v>6.6087717628803869E-12</v>
      </c>
      <c r="EM155" s="22">
        <f t="shared" si="180"/>
        <v>1.244157220835691E-11</v>
      </c>
      <c r="EN155" s="58">
        <f t="shared" si="128"/>
        <v>293.33333333334576</v>
      </c>
      <c r="EO155" s="58">
        <f ca="1">AVERAGE(OFFSET($EN$3,0,0,'Données projet'!$E$15+1,1))-AVERAGE(OFFSET($H$3,0,0,'Données projet'!$E$15+1,1))</f>
        <v>596.00698505207174</v>
      </c>
      <c r="EP155" s="58">
        <f t="shared" si="154"/>
        <v>378.16197659288338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2.2737367544323206E-13</v>
      </c>
      <c r="FF155" s="18">
        <f>FE155*VLOOKUP('Données projet'!$B$16,Paramètres!$A$1:$I$89,3,0)*VLOOKUP('Données projet'!$B$16,Paramètres!$A$1:$I$89,5,0)</f>
        <v>1.064108801074326E-13</v>
      </c>
      <c r="FG155" s="14">
        <f t="shared" si="182"/>
        <v>1.5870730813698654E-12</v>
      </c>
      <c r="FH155" s="22">
        <f t="shared" si="183"/>
        <v>2.9494845662396269E-12</v>
      </c>
      <c r="FI155" s="58">
        <f t="shared" si="131"/>
        <v>293.33333333333627</v>
      </c>
      <c r="FJ155" s="58">
        <f ca="1">AVERAGE(OFFSET($FI$3,0,0,'Données projet'!$E$16+1,1))-AVERAGE(OFFSET($H$3,0,0,'Données projet'!$E$16+1,1))</f>
        <v>294.31042006404056</v>
      </c>
      <c r="FK155" s="58">
        <f t="shared" si="156"/>
        <v>260.93767498478502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2.8421709430404007E-13</v>
      </c>
      <c r="GA155" s="18">
        <f>FZ155*VLOOKUP('Données projet'!$B$17,Paramètres!$A$1:$I$89,3,0)*VLOOKUP('Données projet'!$B$17,Paramètres!$A$1:$I$89,5,0)</f>
        <v>1.9065282685915009E-13</v>
      </c>
      <c r="GB155" s="14">
        <f t="shared" si="185"/>
        <v>2.6568987209435707E-12</v>
      </c>
      <c r="GC155" s="22">
        <f t="shared" si="186"/>
        <v>4.959485612423072E-12</v>
      </c>
      <c r="GD155" s="58">
        <f t="shared" si="134"/>
        <v>293.33333333333826</v>
      </c>
      <c r="GE155" s="58">
        <f ca="1">AVERAGE(OFFSET($GD$3,0,0,'Données projet'!$E$17+1,1))-AVERAGE(OFFSET($H$3,0,0,'Données projet'!$E$17+1,1))</f>
        <v>362.1372269575329</v>
      </c>
      <c r="GF155" s="58">
        <f t="shared" si="158"/>
        <v>308.1559670593121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58" t="e">
        <f t="shared" si="137"/>
        <v>#N/A</v>
      </c>
      <c r="GZ155" s="58" t="e">
        <f ca="1">AVERAGE(OFFSET($GY$3,0,0,'Données projet'!$E$18+1,1))-AVERAGE(OFFSET($H$3,0,0,'Données projet'!$E$18+1,1))</f>
        <v>#N/A</v>
      </c>
      <c r="HA155" s="58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0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3">
        <f t="shared" si="110"/>
        <v>256.66666666666669</v>
      </c>
      <c r="I156" s="6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-2.8421709430404007E-13</v>
      </c>
      <c r="O156" s="14">
        <f>N156*VLOOKUP('Données projet'!$B$9,Paramètres!$A$1:$I$89,3,0)*VLOOKUP('Données projet'!$B$9,Paramètres!$A$1:$I$89,5,0)</f>
        <v>-2.8819613362429665E-13</v>
      </c>
      <c r="P156" s="14" t="e">
        <f t="shared" si="141"/>
        <v>#NUM!</v>
      </c>
      <c r="Q156" s="22" t="e">
        <f t="shared" si="162"/>
        <v>#NUM!</v>
      </c>
      <c r="R156" s="58" t="e">
        <f t="shared" si="109"/>
        <v>#NUM!</v>
      </c>
      <c r="S156" s="58">
        <f ca="1">AVERAGE(OFFSET($R$3,0,0,'Données projet'!$E$9+1,1))-AVERAGE(OFFSET($H$3,0,0,'Données projet'!$E$9+1,1))</f>
        <v>483.15009705023641</v>
      </c>
      <c r="T156" s="58">
        <f t="shared" si="142"/>
        <v>254.25036207346591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-2.8421709430404007E-13</v>
      </c>
      <c r="AJ156" s="14">
        <f>AI156*VLOOKUP('Données projet'!$B$10,Paramètres!$A$1:$I$89,3,0)*VLOOKUP('Données projet'!$B$10,Paramètres!$A$1:$I$89,5,0)</f>
        <v>-2.5715962692629546E-13</v>
      </c>
      <c r="AK156" s="14" t="e">
        <f t="shared" si="164"/>
        <v>#NUM!</v>
      </c>
      <c r="AL156" s="22" t="e">
        <f t="shared" si="165"/>
        <v>#NUM!</v>
      </c>
      <c r="AM156" s="58" t="e">
        <f t="shared" si="113"/>
        <v>#NUM!</v>
      </c>
      <c r="AN156" s="58">
        <f ca="1">AVERAGE(OFFSET($AM$3,0,0,'Données projet'!$E$10+1,1))-AVERAGE(OFFSET($H$3,0,0,'Données projet'!$E$10+1,1))</f>
        <v>435.7095890216213</v>
      </c>
      <c r="AO156" s="58">
        <f t="shared" si="144"/>
        <v>231.36959598460686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-4.9658410716801891E-14</v>
      </c>
      <c r="BF156" s="14" t="e">
        <f t="shared" si="167"/>
        <v>#NUM!</v>
      </c>
      <c r="BG156" s="22" t="e">
        <f t="shared" si="168"/>
        <v>#NUM!</v>
      </c>
      <c r="BH156" s="58" t="e">
        <f t="shared" si="116"/>
        <v>#NUM!</v>
      </c>
      <c r="BI156" s="58">
        <f ca="1">AVERAGE(OFFSET($BH$3,0,0,'Données projet'!$E$11+1,1))-AVERAGE(OFFSET($H$3,0,0,'Données projet'!$E$11+1,1))</f>
        <v>218.76424742311815</v>
      </c>
      <c r="BJ156" s="58">
        <f t="shared" si="146"/>
        <v>264.34598683038593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0.20501274083203383</v>
      </c>
      <c r="BQ156" s="23">
        <f>EXP(-LN(2)/25)*BQ155+(1-EXP(-LN(2)/25))/(LN(2)/25)*Calculateur!BL156*Calculateur!BN156*VLOOKUP('Données projet'!$B$11,Paramètres!$A$1:$I$89,3,0)*0.475*44/12</f>
        <v>0.14416996085131151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0.34918270168334531</v>
      </c>
      <c r="BT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58" t="e">
        <f t="shared" si="119"/>
        <v>#NUM!</v>
      </c>
      <c r="CD156" s="58">
        <f ca="1">AVERAGE(OFFSET($CC$3,0,0,'Données projet'!$E$12+1,1))-AVERAGE(OFFSET($H$3,0,0,'Données projet'!$E$12+1,1))</f>
        <v>343.86347628565426</v>
      </c>
      <c r="CE156" s="58">
        <f t="shared" si="148"/>
        <v>129.28196646107097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58" t="e">
        <f t="shared" si="122"/>
        <v>#N/A</v>
      </c>
      <c r="CY156" s="58" t="e">
        <f ca="1">AVERAGE(OFFSET($CX$3,0,0,'Données projet'!$E$13+1,1))-AVERAGE(OFFSET($H$3,0,0,'Données projet'!$E$13+1,1))</f>
        <v>#N/A</v>
      </c>
      <c r="CZ156" s="58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5.4092197387944907E-14</v>
      </c>
      <c r="DQ156" s="14">
        <f t="shared" si="176"/>
        <v>8.7287050538073676E-13</v>
      </c>
      <c r="DR156" s="22">
        <f t="shared" si="177"/>
        <v>1.6144600406554537E-12</v>
      </c>
      <c r="DS156" s="58">
        <f t="shared" si="125"/>
        <v>293.33333333333491</v>
      </c>
      <c r="DT156" s="58">
        <f ca="1">AVERAGE(OFFSET($DS$3,0,0,'Données projet'!$E$14+1,1))-AVERAGE(OFFSET($H$3,0,0,'Données projet'!$E$14+1,1))</f>
        <v>332.49889399440514</v>
      </c>
      <c r="DU156" s="58">
        <f t="shared" si="152"/>
        <v>256.06044006790529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5.1159076974727213E-13</v>
      </c>
      <c r="EK156" s="18">
        <f>EJ156*VLOOKUP('Données projet'!$B$15,Paramètres!$A$1:$I$89,3,0)*VLOOKUP('Données projet'!$B$15,Paramètres!$A$1:$I$89,5,0)</f>
        <v>5.3471467253984886E-13</v>
      </c>
      <c r="EL156" s="14">
        <f t="shared" si="179"/>
        <v>6.6087717628803869E-12</v>
      </c>
      <c r="EM156" s="22">
        <f t="shared" si="180"/>
        <v>1.244157220835691E-11</v>
      </c>
      <c r="EN156" s="58">
        <f t="shared" si="128"/>
        <v>293.33333333334576</v>
      </c>
      <c r="EO156" s="58">
        <f ca="1">AVERAGE(OFFSET($EN$3,0,0,'Données projet'!$E$15+1,1))-AVERAGE(OFFSET($H$3,0,0,'Données projet'!$E$15+1,1))</f>
        <v>596.00698505207174</v>
      </c>
      <c r="EP156" s="58">
        <f t="shared" si="154"/>
        <v>378.16197659288338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2.2737367544323206E-13</v>
      </c>
      <c r="FF156" s="18">
        <f>FE156*VLOOKUP('Données projet'!$B$16,Paramètres!$A$1:$I$89,3,0)*VLOOKUP('Données projet'!$B$16,Paramètres!$A$1:$I$89,5,0)</f>
        <v>1.064108801074326E-13</v>
      </c>
      <c r="FG156" s="14">
        <f t="shared" si="182"/>
        <v>1.5870730813698654E-12</v>
      </c>
      <c r="FH156" s="22">
        <f t="shared" si="183"/>
        <v>2.9494845662396269E-12</v>
      </c>
      <c r="FI156" s="58">
        <f t="shared" si="131"/>
        <v>293.33333333333627</v>
      </c>
      <c r="FJ156" s="58">
        <f ca="1">AVERAGE(OFFSET($FI$3,0,0,'Données projet'!$E$16+1,1))-AVERAGE(OFFSET($H$3,0,0,'Données projet'!$E$16+1,1))</f>
        <v>294.31042006404056</v>
      </c>
      <c r="FK156" s="58">
        <f t="shared" si="156"/>
        <v>260.93767498478502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2.8421709430404007E-13</v>
      </c>
      <c r="GA156" s="18">
        <f>FZ156*VLOOKUP('Données projet'!$B$17,Paramètres!$A$1:$I$89,3,0)*VLOOKUP('Données projet'!$B$17,Paramètres!$A$1:$I$89,5,0)</f>
        <v>1.9065282685915009E-13</v>
      </c>
      <c r="GB156" s="14">
        <f t="shared" si="185"/>
        <v>2.6568987209435707E-12</v>
      </c>
      <c r="GC156" s="22">
        <f t="shared" si="186"/>
        <v>4.959485612423072E-12</v>
      </c>
      <c r="GD156" s="58">
        <f t="shared" si="134"/>
        <v>293.33333333333826</v>
      </c>
      <c r="GE156" s="58">
        <f ca="1">AVERAGE(OFFSET($GD$3,0,0,'Données projet'!$E$17+1,1))-AVERAGE(OFFSET($H$3,0,0,'Données projet'!$E$17+1,1))</f>
        <v>362.1372269575329</v>
      </c>
      <c r="GF156" s="58">
        <f t="shared" si="158"/>
        <v>308.1559670593121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58" t="e">
        <f t="shared" si="137"/>
        <v>#N/A</v>
      </c>
      <c r="GZ156" s="58" t="e">
        <f ca="1">AVERAGE(OFFSET($GY$3,0,0,'Données projet'!$E$18+1,1))-AVERAGE(OFFSET($H$3,0,0,'Données projet'!$E$18+1,1))</f>
        <v>#N/A</v>
      </c>
      <c r="HA156" s="58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0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3">
        <f t="shared" si="110"/>
        <v>256.66666666666669</v>
      </c>
      <c r="I157" s="6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-2.8421709430404007E-13</v>
      </c>
      <c r="O157" s="14">
        <f>N157*VLOOKUP('Données projet'!$B$9,Paramètres!$A$1:$I$89,3,0)*VLOOKUP('Données projet'!$B$9,Paramètres!$A$1:$I$89,5,0)</f>
        <v>-2.8819613362429665E-13</v>
      </c>
      <c r="P157" s="14" t="e">
        <f t="shared" si="141"/>
        <v>#NUM!</v>
      </c>
      <c r="Q157" s="22" t="e">
        <f t="shared" si="162"/>
        <v>#NUM!</v>
      </c>
      <c r="R157" s="58" t="e">
        <f t="shared" si="109"/>
        <v>#NUM!</v>
      </c>
      <c r="S157" s="58">
        <f ca="1">AVERAGE(OFFSET($R$3,0,0,'Données projet'!$E$9+1,1))-AVERAGE(OFFSET($H$3,0,0,'Données projet'!$E$9+1,1))</f>
        <v>483.15009705023641</v>
      </c>
      <c r="T157" s="58">
        <f t="shared" si="142"/>
        <v>254.25036207346591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-2.8421709430404007E-13</v>
      </c>
      <c r="AJ157" s="14">
        <f>AI157*VLOOKUP('Données projet'!$B$10,Paramètres!$A$1:$I$89,3,0)*VLOOKUP('Données projet'!$B$10,Paramètres!$A$1:$I$89,5,0)</f>
        <v>-2.5715962692629546E-13</v>
      </c>
      <c r="AK157" s="14" t="e">
        <f t="shared" si="164"/>
        <v>#NUM!</v>
      </c>
      <c r="AL157" s="22" t="e">
        <f t="shared" si="165"/>
        <v>#NUM!</v>
      </c>
      <c r="AM157" s="58" t="e">
        <f t="shared" si="113"/>
        <v>#NUM!</v>
      </c>
      <c r="AN157" s="58">
        <f ca="1">AVERAGE(OFFSET($AM$3,0,0,'Données projet'!$E$10+1,1))-AVERAGE(OFFSET($H$3,0,0,'Données projet'!$E$10+1,1))</f>
        <v>435.7095890216213</v>
      </c>
      <c r="AO157" s="58">
        <f t="shared" si="144"/>
        <v>231.36959598460686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-4.9658410716801891E-14</v>
      </c>
      <c r="BF157" s="14" t="e">
        <f t="shared" si="167"/>
        <v>#NUM!</v>
      </c>
      <c r="BG157" s="22" t="e">
        <f t="shared" si="168"/>
        <v>#NUM!</v>
      </c>
      <c r="BH157" s="58" t="e">
        <f t="shared" si="116"/>
        <v>#NUM!</v>
      </c>
      <c r="BI157" s="58">
        <f ca="1">AVERAGE(OFFSET($BH$3,0,0,'Données projet'!$E$11+1,1))-AVERAGE(OFFSET($H$3,0,0,'Données projet'!$E$11+1,1))</f>
        <v>218.76424742311815</v>
      </c>
      <c r="BJ157" s="58">
        <f t="shared" si="146"/>
        <v>264.34598683038593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0.20099256602974233</v>
      </c>
      <c r="BQ157" s="23">
        <f>EXP(-LN(2)/25)*BQ156+(1-EXP(-LN(2)/25))/(LN(2)/25)*Calculateur!BL157*Calculateur!BN157*VLOOKUP('Données projet'!$B$11,Paramètres!$A$1:$I$89,3,0)*0.475*44/12</f>
        <v>0.14022762569026365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0.34122019172000595</v>
      </c>
      <c r="BT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58" t="e">
        <f t="shared" si="119"/>
        <v>#NUM!</v>
      </c>
      <c r="CD157" s="58">
        <f ca="1">AVERAGE(OFFSET($CC$3,0,0,'Données projet'!$E$12+1,1))-AVERAGE(OFFSET($H$3,0,0,'Données projet'!$E$12+1,1))</f>
        <v>343.86347628565426</v>
      </c>
      <c r="CE157" s="58">
        <f t="shared" si="148"/>
        <v>129.28196646107097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58" t="e">
        <f t="shared" si="122"/>
        <v>#N/A</v>
      </c>
      <c r="CY157" s="58" t="e">
        <f ca="1">AVERAGE(OFFSET($CX$3,0,0,'Données projet'!$E$13+1,1))-AVERAGE(OFFSET($H$3,0,0,'Données projet'!$E$13+1,1))</f>
        <v>#N/A</v>
      </c>
      <c r="CZ157" s="58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5.4092197387944907E-14</v>
      </c>
      <c r="DQ157" s="14">
        <f t="shared" si="176"/>
        <v>8.7287050538073676E-13</v>
      </c>
      <c r="DR157" s="22">
        <f t="shared" si="177"/>
        <v>1.6144600406554537E-12</v>
      </c>
      <c r="DS157" s="58">
        <f t="shared" si="125"/>
        <v>293.33333333333491</v>
      </c>
      <c r="DT157" s="58">
        <f ca="1">AVERAGE(OFFSET($DS$3,0,0,'Données projet'!$E$14+1,1))-AVERAGE(OFFSET($H$3,0,0,'Données projet'!$E$14+1,1))</f>
        <v>332.49889399440514</v>
      </c>
      <c r="DU157" s="58">
        <f t="shared" si="152"/>
        <v>256.06044006790529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5.1159076974727213E-13</v>
      </c>
      <c r="EK157" s="18">
        <f>EJ157*VLOOKUP('Données projet'!$B$15,Paramètres!$A$1:$I$89,3,0)*VLOOKUP('Données projet'!$B$15,Paramètres!$A$1:$I$89,5,0)</f>
        <v>5.3471467253984886E-13</v>
      </c>
      <c r="EL157" s="14">
        <f t="shared" si="179"/>
        <v>6.6087717628803869E-12</v>
      </c>
      <c r="EM157" s="22">
        <f t="shared" si="180"/>
        <v>1.244157220835691E-11</v>
      </c>
      <c r="EN157" s="58">
        <f t="shared" si="128"/>
        <v>293.33333333334576</v>
      </c>
      <c r="EO157" s="58">
        <f ca="1">AVERAGE(OFFSET($EN$3,0,0,'Données projet'!$E$15+1,1))-AVERAGE(OFFSET($H$3,0,0,'Données projet'!$E$15+1,1))</f>
        <v>596.00698505207174</v>
      </c>
      <c r="EP157" s="58">
        <f t="shared" si="154"/>
        <v>378.16197659288338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2.2737367544323206E-13</v>
      </c>
      <c r="FF157" s="18">
        <f>FE157*VLOOKUP('Données projet'!$B$16,Paramètres!$A$1:$I$89,3,0)*VLOOKUP('Données projet'!$B$16,Paramètres!$A$1:$I$89,5,0)</f>
        <v>1.064108801074326E-13</v>
      </c>
      <c r="FG157" s="14">
        <f t="shared" si="182"/>
        <v>1.5870730813698654E-12</v>
      </c>
      <c r="FH157" s="22">
        <f t="shared" si="183"/>
        <v>2.9494845662396269E-12</v>
      </c>
      <c r="FI157" s="58">
        <f t="shared" si="131"/>
        <v>293.33333333333627</v>
      </c>
      <c r="FJ157" s="58">
        <f ca="1">AVERAGE(OFFSET($FI$3,0,0,'Données projet'!$E$16+1,1))-AVERAGE(OFFSET($H$3,0,0,'Données projet'!$E$16+1,1))</f>
        <v>294.31042006404056</v>
      </c>
      <c r="FK157" s="58">
        <f t="shared" si="156"/>
        <v>260.93767498478502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2.8421709430404007E-13</v>
      </c>
      <c r="GA157" s="18">
        <f>FZ157*VLOOKUP('Données projet'!$B$17,Paramètres!$A$1:$I$89,3,0)*VLOOKUP('Données projet'!$B$17,Paramètres!$A$1:$I$89,5,0)</f>
        <v>1.9065282685915009E-13</v>
      </c>
      <c r="GB157" s="14">
        <f t="shared" si="185"/>
        <v>2.6568987209435707E-12</v>
      </c>
      <c r="GC157" s="22">
        <f t="shared" si="186"/>
        <v>4.959485612423072E-12</v>
      </c>
      <c r="GD157" s="58">
        <f t="shared" si="134"/>
        <v>293.33333333333826</v>
      </c>
      <c r="GE157" s="58">
        <f ca="1">AVERAGE(OFFSET($GD$3,0,0,'Données projet'!$E$17+1,1))-AVERAGE(OFFSET($H$3,0,0,'Données projet'!$E$17+1,1))</f>
        <v>362.1372269575329</v>
      </c>
      <c r="GF157" s="58">
        <f t="shared" si="158"/>
        <v>308.1559670593121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58" t="e">
        <f t="shared" si="137"/>
        <v>#N/A</v>
      </c>
      <c r="GZ157" s="58" t="e">
        <f ca="1">AVERAGE(OFFSET($GY$3,0,0,'Données projet'!$E$18+1,1))-AVERAGE(OFFSET($H$3,0,0,'Données projet'!$E$18+1,1))</f>
        <v>#N/A</v>
      </c>
      <c r="HA157" s="58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0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3">
        <f t="shared" si="110"/>
        <v>256.66666666666669</v>
      </c>
      <c r="I158" s="6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-2.8421709430404007E-13</v>
      </c>
      <c r="O158" s="14">
        <f>N158*VLOOKUP('Données projet'!$B$9,Paramètres!$A$1:$I$89,3,0)*VLOOKUP('Données projet'!$B$9,Paramètres!$A$1:$I$89,5,0)</f>
        <v>-2.8819613362429665E-13</v>
      </c>
      <c r="P158" s="14" t="e">
        <f t="shared" si="141"/>
        <v>#NUM!</v>
      </c>
      <c r="Q158" s="22" t="e">
        <f t="shared" si="162"/>
        <v>#NUM!</v>
      </c>
      <c r="R158" s="58" t="e">
        <f t="shared" si="109"/>
        <v>#NUM!</v>
      </c>
      <c r="S158" s="58">
        <f ca="1">AVERAGE(OFFSET($R$3,0,0,'Données projet'!$E$9+1,1))-AVERAGE(OFFSET($H$3,0,0,'Données projet'!$E$9+1,1))</f>
        <v>483.15009705023641</v>
      </c>
      <c r="T158" s="58">
        <f t="shared" si="142"/>
        <v>254.25036207346591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-2.8421709430404007E-13</v>
      </c>
      <c r="AJ158" s="14">
        <f>AI158*VLOOKUP('Données projet'!$B$10,Paramètres!$A$1:$I$89,3,0)*VLOOKUP('Données projet'!$B$10,Paramètres!$A$1:$I$89,5,0)</f>
        <v>-2.5715962692629546E-13</v>
      </c>
      <c r="AK158" s="14" t="e">
        <f t="shared" si="164"/>
        <v>#NUM!</v>
      </c>
      <c r="AL158" s="22" t="e">
        <f t="shared" si="165"/>
        <v>#NUM!</v>
      </c>
      <c r="AM158" s="58" t="e">
        <f t="shared" si="113"/>
        <v>#NUM!</v>
      </c>
      <c r="AN158" s="58">
        <f ca="1">AVERAGE(OFFSET($AM$3,0,0,'Données projet'!$E$10+1,1))-AVERAGE(OFFSET($H$3,0,0,'Données projet'!$E$10+1,1))</f>
        <v>435.7095890216213</v>
      </c>
      <c r="AO158" s="58">
        <f t="shared" si="144"/>
        <v>231.36959598460686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-4.9658410716801891E-14</v>
      </c>
      <c r="BF158" s="14" t="e">
        <f t="shared" si="167"/>
        <v>#NUM!</v>
      </c>
      <c r="BG158" s="22" t="e">
        <f t="shared" si="168"/>
        <v>#NUM!</v>
      </c>
      <c r="BH158" s="58" t="e">
        <f t="shared" si="116"/>
        <v>#NUM!</v>
      </c>
      <c r="BI158" s="58">
        <f ca="1">AVERAGE(OFFSET($BH$3,0,0,'Données projet'!$E$11+1,1))-AVERAGE(OFFSET($H$3,0,0,'Données projet'!$E$11+1,1))</f>
        <v>218.76424742311815</v>
      </c>
      <c r="BJ158" s="58">
        <f t="shared" si="146"/>
        <v>264.34598683038593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0.19705122440325928</v>
      </c>
      <c r="BQ158" s="23">
        <f>EXP(-LN(2)/25)*BQ157+(1-EXP(-LN(2)/25))/(LN(2)/25)*Calculateur!BL158*Calculateur!BN158*VLOOKUP('Données projet'!$B$11,Paramètres!$A$1:$I$89,3,0)*0.475*44/12</f>
        <v>0.13639309389151305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0.33344431829477233</v>
      </c>
      <c r="BT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58" t="e">
        <f t="shared" si="119"/>
        <v>#NUM!</v>
      </c>
      <c r="CD158" s="58">
        <f ca="1">AVERAGE(OFFSET($CC$3,0,0,'Données projet'!$E$12+1,1))-AVERAGE(OFFSET($H$3,0,0,'Données projet'!$E$12+1,1))</f>
        <v>343.86347628565426</v>
      </c>
      <c r="CE158" s="58">
        <f t="shared" si="148"/>
        <v>129.28196646107097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58" t="e">
        <f t="shared" si="122"/>
        <v>#N/A</v>
      </c>
      <c r="CY158" s="58" t="e">
        <f ca="1">AVERAGE(OFFSET($CX$3,0,0,'Données projet'!$E$13+1,1))-AVERAGE(OFFSET($H$3,0,0,'Données projet'!$E$13+1,1))</f>
        <v>#N/A</v>
      </c>
      <c r="CZ158" s="58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5.4092197387944907E-14</v>
      </c>
      <c r="DQ158" s="14">
        <f t="shared" si="176"/>
        <v>8.7287050538073676E-13</v>
      </c>
      <c r="DR158" s="22">
        <f t="shared" si="177"/>
        <v>1.6144600406554537E-12</v>
      </c>
      <c r="DS158" s="58">
        <f t="shared" si="125"/>
        <v>293.33333333333491</v>
      </c>
      <c r="DT158" s="58">
        <f ca="1">AVERAGE(OFFSET($DS$3,0,0,'Données projet'!$E$14+1,1))-AVERAGE(OFFSET($H$3,0,0,'Données projet'!$E$14+1,1))</f>
        <v>332.49889399440514</v>
      </c>
      <c r="DU158" s="58">
        <f t="shared" si="152"/>
        <v>256.06044006790529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5.1159076974727213E-13</v>
      </c>
      <c r="EK158" s="18">
        <f>EJ158*VLOOKUP('Données projet'!$B$15,Paramètres!$A$1:$I$89,3,0)*VLOOKUP('Données projet'!$B$15,Paramètres!$A$1:$I$89,5,0)</f>
        <v>5.3471467253984886E-13</v>
      </c>
      <c r="EL158" s="14">
        <f t="shared" si="179"/>
        <v>6.6087717628803869E-12</v>
      </c>
      <c r="EM158" s="22">
        <f t="shared" si="180"/>
        <v>1.244157220835691E-11</v>
      </c>
      <c r="EN158" s="58">
        <f t="shared" si="128"/>
        <v>293.33333333334576</v>
      </c>
      <c r="EO158" s="58">
        <f ca="1">AVERAGE(OFFSET($EN$3,0,0,'Données projet'!$E$15+1,1))-AVERAGE(OFFSET($H$3,0,0,'Données projet'!$E$15+1,1))</f>
        <v>596.00698505207174</v>
      </c>
      <c r="EP158" s="58">
        <f t="shared" si="154"/>
        <v>378.16197659288338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2.2737367544323206E-13</v>
      </c>
      <c r="FF158" s="18">
        <f>FE158*VLOOKUP('Données projet'!$B$16,Paramètres!$A$1:$I$89,3,0)*VLOOKUP('Données projet'!$B$16,Paramètres!$A$1:$I$89,5,0)</f>
        <v>1.064108801074326E-13</v>
      </c>
      <c r="FG158" s="14">
        <f t="shared" si="182"/>
        <v>1.5870730813698654E-12</v>
      </c>
      <c r="FH158" s="22">
        <f t="shared" si="183"/>
        <v>2.9494845662396269E-12</v>
      </c>
      <c r="FI158" s="58">
        <f t="shared" si="131"/>
        <v>293.33333333333627</v>
      </c>
      <c r="FJ158" s="58">
        <f ca="1">AVERAGE(OFFSET($FI$3,0,0,'Données projet'!$E$16+1,1))-AVERAGE(OFFSET($H$3,0,0,'Données projet'!$E$16+1,1))</f>
        <v>294.31042006404056</v>
      </c>
      <c r="FK158" s="58">
        <f t="shared" si="156"/>
        <v>260.93767498478502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2.8421709430404007E-13</v>
      </c>
      <c r="GA158" s="18">
        <f>FZ158*VLOOKUP('Données projet'!$B$17,Paramètres!$A$1:$I$89,3,0)*VLOOKUP('Données projet'!$B$17,Paramètres!$A$1:$I$89,5,0)</f>
        <v>1.9065282685915009E-13</v>
      </c>
      <c r="GB158" s="14">
        <f t="shared" si="185"/>
        <v>2.6568987209435707E-12</v>
      </c>
      <c r="GC158" s="22">
        <f t="shared" si="186"/>
        <v>4.959485612423072E-12</v>
      </c>
      <c r="GD158" s="58">
        <f t="shared" si="134"/>
        <v>293.33333333333826</v>
      </c>
      <c r="GE158" s="58">
        <f ca="1">AVERAGE(OFFSET($GD$3,0,0,'Données projet'!$E$17+1,1))-AVERAGE(OFFSET($H$3,0,0,'Données projet'!$E$17+1,1))</f>
        <v>362.1372269575329</v>
      </c>
      <c r="GF158" s="58">
        <f t="shared" si="158"/>
        <v>308.1559670593121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58" t="e">
        <f t="shared" si="137"/>
        <v>#N/A</v>
      </c>
      <c r="GZ158" s="58" t="e">
        <f ca="1">AVERAGE(OFFSET($GY$3,0,0,'Données projet'!$E$18+1,1))-AVERAGE(OFFSET($H$3,0,0,'Données projet'!$E$18+1,1))</f>
        <v>#N/A</v>
      </c>
      <c r="HA158" s="58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0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3">
        <f t="shared" si="110"/>
        <v>256.66666666666669</v>
      </c>
      <c r="I159" s="6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-2.8421709430404007E-13</v>
      </c>
      <c r="O159" s="14">
        <f>N159*VLOOKUP('Données projet'!$B$9,Paramètres!$A$1:$I$89,3,0)*VLOOKUP('Données projet'!$B$9,Paramètres!$A$1:$I$89,5,0)</f>
        <v>-2.8819613362429665E-13</v>
      </c>
      <c r="P159" s="14" t="e">
        <f t="shared" si="141"/>
        <v>#NUM!</v>
      </c>
      <c r="Q159" s="22" t="e">
        <f t="shared" si="162"/>
        <v>#NUM!</v>
      </c>
      <c r="R159" s="58" t="e">
        <f t="shared" si="109"/>
        <v>#NUM!</v>
      </c>
      <c r="S159" s="58">
        <f ca="1">AVERAGE(OFFSET($R$3,0,0,'Données projet'!$E$9+1,1))-AVERAGE(OFFSET($H$3,0,0,'Données projet'!$E$9+1,1))</f>
        <v>483.15009705023641</v>
      </c>
      <c r="T159" s="58">
        <f t="shared" si="142"/>
        <v>254.25036207346591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-2.8421709430404007E-13</v>
      </c>
      <c r="AJ159" s="14">
        <f>AI159*VLOOKUP('Données projet'!$B$10,Paramètres!$A$1:$I$89,3,0)*VLOOKUP('Données projet'!$B$10,Paramètres!$A$1:$I$89,5,0)</f>
        <v>-2.5715962692629546E-13</v>
      </c>
      <c r="AK159" s="14" t="e">
        <f t="shared" si="164"/>
        <v>#NUM!</v>
      </c>
      <c r="AL159" s="22" t="e">
        <f t="shared" si="165"/>
        <v>#NUM!</v>
      </c>
      <c r="AM159" s="58" t="e">
        <f t="shared" si="113"/>
        <v>#NUM!</v>
      </c>
      <c r="AN159" s="58">
        <f ca="1">AVERAGE(OFFSET($AM$3,0,0,'Données projet'!$E$10+1,1))-AVERAGE(OFFSET($H$3,0,0,'Données projet'!$E$10+1,1))</f>
        <v>435.7095890216213</v>
      </c>
      <c r="AO159" s="58">
        <f t="shared" si="144"/>
        <v>231.36959598460686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-4.9658410716801891E-14</v>
      </c>
      <c r="BF159" s="14" t="e">
        <f t="shared" si="167"/>
        <v>#NUM!</v>
      </c>
      <c r="BG159" s="22" t="e">
        <f t="shared" si="168"/>
        <v>#NUM!</v>
      </c>
      <c r="BH159" s="58" t="e">
        <f t="shared" si="116"/>
        <v>#NUM!</v>
      </c>
      <c r="BI159" s="58">
        <f ca="1">AVERAGE(OFFSET($BH$3,0,0,'Données projet'!$E$11+1,1))-AVERAGE(OFFSET($H$3,0,0,'Données projet'!$E$11+1,1))</f>
        <v>218.76424742311815</v>
      </c>
      <c r="BJ159" s="58">
        <f t="shared" si="146"/>
        <v>264.34598683038593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0.19318717008209055</v>
      </c>
      <c r="BQ159" s="23">
        <f>EXP(-LN(2)/25)*BQ158+(1-EXP(-LN(2)/25))/(LN(2)/25)*Calculateur!BL159*Calculateur!BN159*VLOOKUP('Données projet'!$B$11,Paramètres!$A$1:$I$89,3,0)*0.475*44/12</f>
        <v>0.13266341756644856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0.32585058764853914</v>
      </c>
      <c r="BT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58" t="e">
        <f t="shared" si="119"/>
        <v>#NUM!</v>
      </c>
      <c r="CD159" s="58">
        <f ca="1">AVERAGE(OFFSET($CC$3,0,0,'Données projet'!$E$12+1,1))-AVERAGE(OFFSET($H$3,0,0,'Données projet'!$E$12+1,1))</f>
        <v>343.86347628565426</v>
      </c>
      <c r="CE159" s="58">
        <f t="shared" si="148"/>
        <v>129.28196646107097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58" t="e">
        <f t="shared" si="122"/>
        <v>#N/A</v>
      </c>
      <c r="CY159" s="58" t="e">
        <f ca="1">AVERAGE(OFFSET($CX$3,0,0,'Données projet'!$E$13+1,1))-AVERAGE(OFFSET($H$3,0,0,'Données projet'!$E$13+1,1))</f>
        <v>#N/A</v>
      </c>
      <c r="CZ159" s="58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5.4092197387944907E-14</v>
      </c>
      <c r="DQ159" s="14">
        <f t="shared" si="176"/>
        <v>8.7287050538073676E-13</v>
      </c>
      <c r="DR159" s="22">
        <f t="shared" si="177"/>
        <v>1.6144600406554537E-12</v>
      </c>
      <c r="DS159" s="58">
        <f t="shared" si="125"/>
        <v>293.33333333333491</v>
      </c>
      <c r="DT159" s="58">
        <f ca="1">AVERAGE(OFFSET($DS$3,0,0,'Données projet'!$E$14+1,1))-AVERAGE(OFFSET($H$3,0,0,'Données projet'!$E$14+1,1))</f>
        <v>332.49889399440514</v>
      </c>
      <c r="DU159" s="58">
        <f t="shared" si="152"/>
        <v>256.06044006790529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5.1159076974727213E-13</v>
      </c>
      <c r="EK159" s="18">
        <f>EJ159*VLOOKUP('Données projet'!$B$15,Paramètres!$A$1:$I$89,3,0)*VLOOKUP('Données projet'!$B$15,Paramètres!$A$1:$I$89,5,0)</f>
        <v>5.3471467253984886E-13</v>
      </c>
      <c r="EL159" s="14">
        <f t="shared" si="179"/>
        <v>6.6087717628803869E-12</v>
      </c>
      <c r="EM159" s="22">
        <f t="shared" si="180"/>
        <v>1.244157220835691E-11</v>
      </c>
      <c r="EN159" s="58">
        <f t="shared" si="128"/>
        <v>293.33333333334576</v>
      </c>
      <c r="EO159" s="58">
        <f ca="1">AVERAGE(OFFSET($EN$3,0,0,'Données projet'!$E$15+1,1))-AVERAGE(OFFSET($H$3,0,0,'Données projet'!$E$15+1,1))</f>
        <v>596.00698505207174</v>
      </c>
      <c r="EP159" s="58">
        <f t="shared" si="154"/>
        <v>378.16197659288338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2.2737367544323206E-13</v>
      </c>
      <c r="FF159" s="18">
        <f>FE159*VLOOKUP('Données projet'!$B$16,Paramètres!$A$1:$I$89,3,0)*VLOOKUP('Données projet'!$B$16,Paramètres!$A$1:$I$89,5,0)</f>
        <v>1.064108801074326E-13</v>
      </c>
      <c r="FG159" s="14">
        <f t="shared" si="182"/>
        <v>1.5870730813698654E-12</v>
      </c>
      <c r="FH159" s="22">
        <f t="shared" si="183"/>
        <v>2.9494845662396269E-12</v>
      </c>
      <c r="FI159" s="58">
        <f t="shared" si="131"/>
        <v>293.33333333333627</v>
      </c>
      <c r="FJ159" s="58">
        <f ca="1">AVERAGE(OFFSET($FI$3,0,0,'Données projet'!$E$16+1,1))-AVERAGE(OFFSET($H$3,0,0,'Données projet'!$E$16+1,1))</f>
        <v>294.31042006404056</v>
      </c>
      <c r="FK159" s="58">
        <f t="shared" si="156"/>
        <v>260.93767498478502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2.8421709430404007E-13</v>
      </c>
      <c r="GA159" s="18">
        <f>FZ159*VLOOKUP('Données projet'!$B$17,Paramètres!$A$1:$I$89,3,0)*VLOOKUP('Données projet'!$B$17,Paramètres!$A$1:$I$89,5,0)</f>
        <v>1.9065282685915009E-13</v>
      </c>
      <c r="GB159" s="14">
        <f t="shared" si="185"/>
        <v>2.6568987209435707E-12</v>
      </c>
      <c r="GC159" s="22">
        <f t="shared" si="186"/>
        <v>4.959485612423072E-12</v>
      </c>
      <c r="GD159" s="58">
        <f t="shared" si="134"/>
        <v>293.33333333333826</v>
      </c>
      <c r="GE159" s="58">
        <f ca="1">AVERAGE(OFFSET($GD$3,0,0,'Données projet'!$E$17+1,1))-AVERAGE(OFFSET($H$3,0,0,'Données projet'!$E$17+1,1))</f>
        <v>362.1372269575329</v>
      </c>
      <c r="GF159" s="58">
        <f t="shared" si="158"/>
        <v>308.1559670593121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58" t="e">
        <f t="shared" si="137"/>
        <v>#N/A</v>
      </c>
      <c r="GZ159" s="58" t="e">
        <f ca="1">AVERAGE(OFFSET($GY$3,0,0,'Données projet'!$E$18+1,1))-AVERAGE(OFFSET($H$3,0,0,'Données projet'!$E$18+1,1))</f>
        <v>#N/A</v>
      </c>
      <c r="HA159" s="58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0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3">
        <f t="shared" si="110"/>
        <v>256.66666666666669</v>
      </c>
      <c r="I160" s="6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-2.8421709430404007E-13</v>
      </c>
      <c r="O160" s="14">
        <f>N160*VLOOKUP('Données projet'!$B$9,Paramètres!$A$1:$I$89,3,0)*VLOOKUP('Données projet'!$B$9,Paramètres!$A$1:$I$89,5,0)</f>
        <v>-2.8819613362429665E-13</v>
      </c>
      <c r="P160" s="14" t="e">
        <f t="shared" si="141"/>
        <v>#NUM!</v>
      </c>
      <c r="Q160" s="22" t="e">
        <f t="shared" si="162"/>
        <v>#NUM!</v>
      </c>
      <c r="R160" s="58" t="e">
        <f t="shared" si="109"/>
        <v>#NUM!</v>
      </c>
      <c r="S160" s="58">
        <f ca="1">AVERAGE(OFFSET($R$3,0,0,'Données projet'!$E$9+1,1))-AVERAGE(OFFSET($H$3,0,0,'Données projet'!$E$9+1,1))</f>
        <v>483.15009705023641</v>
      </c>
      <c r="T160" s="58">
        <f t="shared" si="142"/>
        <v>254.25036207346591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-2.8421709430404007E-13</v>
      </c>
      <c r="AJ160" s="14">
        <f>AI160*VLOOKUP('Données projet'!$B$10,Paramètres!$A$1:$I$89,3,0)*VLOOKUP('Données projet'!$B$10,Paramètres!$A$1:$I$89,5,0)</f>
        <v>-2.5715962692629546E-13</v>
      </c>
      <c r="AK160" s="14" t="e">
        <f t="shared" si="164"/>
        <v>#NUM!</v>
      </c>
      <c r="AL160" s="22" t="e">
        <f t="shared" si="165"/>
        <v>#NUM!</v>
      </c>
      <c r="AM160" s="58" t="e">
        <f t="shared" si="113"/>
        <v>#NUM!</v>
      </c>
      <c r="AN160" s="58">
        <f ca="1">AVERAGE(OFFSET($AM$3,0,0,'Données projet'!$E$10+1,1))-AVERAGE(OFFSET($H$3,0,0,'Données projet'!$E$10+1,1))</f>
        <v>435.7095890216213</v>
      </c>
      <c r="AO160" s="58">
        <f t="shared" si="144"/>
        <v>231.36959598460686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-4.9658410716801891E-14</v>
      </c>
      <c r="BF160" s="14" t="e">
        <f t="shared" si="167"/>
        <v>#NUM!</v>
      </c>
      <c r="BG160" s="22" t="e">
        <f t="shared" si="168"/>
        <v>#NUM!</v>
      </c>
      <c r="BH160" s="58" t="e">
        <f t="shared" si="116"/>
        <v>#NUM!</v>
      </c>
      <c r="BI160" s="58">
        <f ca="1">AVERAGE(OFFSET($BH$3,0,0,'Données projet'!$E$11+1,1))-AVERAGE(OFFSET($H$3,0,0,'Données projet'!$E$11+1,1))</f>
        <v>218.76424742311815</v>
      </c>
      <c r="BJ160" s="58">
        <f t="shared" si="146"/>
        <v>264.34598683038593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0.18939888750931952</v>
      </c>
      <c r="BQ160" s="23">
        <f>EXP(-LN(2)/25)*BQ159+(1-EXP(-LN(2)/25))/(LN(2)/25)*Calculateur!BL160*Calculateur!BN160*VLOOKUP('Données projet'!$B$11,Paramètres!$A$1:$I$89,3,0)*0.475*44/12</f>
        <v>0.12903572943662811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0.31843461694594766</v>
      </c>
      <c r="BT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58" t="e">
        <f t="shared" si="119"/>
        <v>#NUM!</v>
      </c>
      <c r="CD160" s="58">
        <f ca="1">AVERAGE(OFFSET($CC$3,0,0,'Données projet'!$E$12+1,1))-AVERAGE(OFFSET($H$3,0,0,'Données projet'!$E$12+1,1))</f>
        <v>343.86347628565426</v>
      </c>
      <c r="CE160" s="58">
        <f t="shared" si="148"/>
        <v>129.28196646107097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58" t="e">
        <f t="shared" si="122"/>
        <v>#N/A</v>
      </c>
      <c r="CY160" s="58" t="e">
        <f ca="1">AVERAGE(OFFSET($CX$3,0,0,'Données projet'!$E$13+1,1))-AVERAGE(OFFSET($H$3,0,0,'Données projet'!$E$13+1,1))</f>
        <v>#N/A</v>
      </c>
      <c r="CZ160" s="58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5.4092197387944907E-14</v>
      </c>
      <c r="DQ160" s="14">
        <f t="shared" si="176"/>
        <v>8.7287050538073676E-13</v>
      </c>
      <c r="DR160" s="22">
        <f t="shared" si="177"/>
        <v>1.6144600406554537E-12</v>
      </c>
      <c r="DS160" s="58">
        <f t="shared" si="125"/>
        <v>293.33333333333491</v>
      </c>
      <c r="DT160" s="58">
        <f ca="1">AVERAGE(OFFSET($DS$3,0,0,'Données projet'!$E$14+1,1))-AVERAGE(OFFSET($H$3,0,0,'Données projet'!$E$14+1,1))</f>
        <v>332.49889399440514</v>
      </c>
      <c r="DU160" s="58">
        <f t="shared" si="152"/>
        <v>256.06044006790529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5.1159076974727213E-13</v>
      </c>
      <c r="EK160" s="18">
        <f>EJ160*VLOOKUP('Données projet'!$B$15,Paramètres!$A$1:$I$89,3,0)*VLOOKUP('Données projet'!$B$15,Paramètres!$A$1:$I$89,5,0)</f>
        <v>5.3471467253984886E-13</v>
      </c>
      <c r="EL160" s="14">
        <f t="shared" si="179"/>
        <v>6.6087717628803869E-12</v>
      </c>
      <c r="EM160" s="22">
        <f t="shared" si="180"/>
        <v>1.244157220835691E-11</v>
      </c>
      <c r="EN160" s="58">
        <f t="shared" si="128"/>
        <v>293.33333333334576</v>
      </c>
      <c r="EO160" s="58">
        <f ca="1">AVERAGE(OFFSET($EN$3,0,0,'Données projet'!$E$15+1,1))-AVERAGE(OFFSET($H$3,0,0,'Données projet'!$E$15+1,1))</f>
        <v>596.00698505207174</v>
      </c>
      <c r="EP160" s="58">
        <f t="shared" si="154"/>
        <v>378.16197659288338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2.2737367544323206E-13</v>
      </c>
      <c r="FF160" s="18">
        <f>FE160*VLOOKUP('Données projet'!$B$16,Paramètres!$A$1:$I$89,3,0)*VLOOKUP('Données projet'!$B$16,Paramètres!$A$1:$I$89,5,0)</f>
        <v>1.064108801074326E-13</v>
      </c>
      <c r="FG160" s="14">
        <f t="shared" si="182"/>
        <v>1.5870730813698654E-12</v>
      </c>
      <c r="FH160" s="22">
        <f t="shared" si="183"/>
        <v>2.9494845662396269E-12</v>
      </c>
      <c r="FI160" s="58">
        <f t="shared" si="131"/>
        <v>293.33333333333627</v>
      </c>
      <c r="FJ160" s="58">
        <f ca="1">AVERAGE(OFFSET($FI$3,0,0,'Données projet'!$E$16+1,1))-AVERAGE(OFFSET($H$3,0,0,'Données projet'!$E$16+1,1))</f>
        <v>294.31042006404056</v>
      </c>
      <c r="FK160" s="58">
        <f t="shared" si="156"/>
        <v>260.93767498478502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2.8421709430404007E-13</v>
      </c>
      <c r="GA160" s="18">
        <f>FZ160*VLOOKUP('Données projet'!$B$17,Paramètres!$A$1:$I$89,3,0)*VLOOKUP('Données projet'!$B$17,Paramètres!$A$1:$I$89,5,0)</f>
        <v>1.9065282685915009E-13</v>
      </c>
      <c r="GB160" s="14">
        <f t="shared" si="185"/>
        <v>2.6568987209435707E-12</v>
      </c>
      <c r="GC160" s="22">
        <f t="shared" si="186"/>
        <v>4.959485612423072E-12</v>
      </c>
      <c r="GD160" s="58">
        <f t="shared" si="134"/>
        <v>293.33333333333826</v>
      </c>
      <c r="GE160" s="58">
        <f ca="1">AVERAGE(OFFSET($GD$3,0,0,'Données projet'!$E$17+1,1))-AVERAGE(OFFSET($H$3,0,0,'Données projet'!$E$17+1,1))</f>
        <v>362.1372269575329</v>
      </c>
      <c r="GF160" s="58">
        <f t="shared" si="158"/>
        <v>308.1559670593121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58" t="e">
        <f t="shared" si="137"/>
        <v>#N/A</v>
      </c>
      <c r="GZ160" s="58" t="e">
        <f ca="1">AVERAGE(OFFSET($GY$3,0,0,'Données projet'!$E$18+1,1))-AVERAGE(OFFSET($H$3,0,0,'Données projet'!$E$18+1,1))</f>
        <v>#N/A</v>
      </c>
      <c r="HA160" s="58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0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3">
        <f t="shared" si="110"/>
        <v>256.66666666666669</v>
      </c>
      <c r="I161" s="6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-2.8421709430404007E-13</v>
      </c>
      <c r="O161" s="14">
        <f>N161*VLOOKUP('Données projet'!$B$9,Paramètres!$A$1:$I$89,3,0)*VLOOKUP('Données projet'!$B$9,Paramètres!$A$1:$I$89,5,0)</f>
        <v>-2.8819613362429665E-13</v>
      </c>
      <c r="P161" s="14" t="e">
        <f t="shared" si="141"/>
        <v>#NUM!</v>
      </c>
      <c r="Q161" s="22" t="e">
        <f t="shared" si="162"/>
        <v>#NUM!</v>
      </c>
      <c r="R161" s="58" t="e">
        <f t="shared" si="109"/>
        <v>#NUM!</v>
      </c>
      <c r="S161" s="58">
        <f ca="1">AVERAGE(OFFSET($R$3,0,0,'Données projet'!$E$9+1,1))-AVERAGE(OFFSET($H$3,0,0,'Données projet'!$E$9+1,1))</f>
        <v>483.15009705023641</v>
      </c>
      <c r="T161" s="58">
        <f t="shared" si="142"/>
        <v>254.25036207346591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-2.8421709430404007E-13</v>
      </c>
      <c r="AJ161" s="14">
        <f>AI161*VLOOKUP('Données projet'!$B$10,Paramètres!$A$1:$I$89,3,0)*VLOOKUP('Données projet'!$B$10,Paramètres!$A$1:$I$89,5,0)</f>
        <v>-2.5715962692629546E-13</v>
      </c>
      <c r="AK161" s="14" t="e">
        <f t="shared" si="164"/>
        <v>#NUM!</v>
      </c>
      <c r="AL161" s="22" t="e">
        <f t="shared" si="165"/>
        <v>#NUM!</v>
      </c>
      <c r="AM161" s="58" t="e">
        <f t="shared" si="113"/>
        <v>#NUM!</v>
      </c>
      <c r="AN161" s="58">
        <f ca="1">AVERAGE(OFFSET($AM$3,0,0,'Données projet'!$E$10+1,1))-AVERAGE(OFFSET($H$3,0,0,'Données projet'!$E$10+1,1))</f>
        <v>435.7095890216213</v>
      </c>
      <c r="AO161" s="58">
        <f t="shared" si="144"/>
        <v>231.36959598460686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-4.9658410716801891E-14</v>
      </c>
      <c r="BF161" s="14" t="e">
        <f t="shared" si="167"/>
        <v>#NUM!</v>
      </c>
      <c r="BG161" s="22" t="e">
        <f t="shared" si="168"/>
        <v>#NUM!</v>
      </c>
      <c r="BH161" s="58" t="e">
        <f t="shared" si="116"/>
        <v>#NUM!</v>
      </c>
      <c r="BI161" s="58">
        <f ca="1">AVERAGE(OFFSET($BH$3,0,0,'Données projet'!$E$11+1,1))-AVERAGE(OFFSET($H$3,0,0,'Données projet'!$E$11+1,1))</f>
        <v>218.76424742311815</v>
      </c>
      <c r="BJ161" s="58">
        <f t="shared" si="146"/>
        <v>264.34598683038593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0.18568489084717629</v>
      </c>
      <c r="BQ161" s="23">
        <f>EXP(-LN(2)/25)*BQ160+(1-EXP(-LN(2)/25))/(LN(2)/25)*Calculateur!BL161*Calculateur!BN161*VLOOKUP('Données projet'!$B$11,Paramètres!$A$1:$I$89,3,0)*0.475*44/12</f>
        <v>0.12550724062948942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0.31119213147666569</v>
      </c>
      <c r="BT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58" t="e">
        <f t="shared" si="119"/>
        <v>#NUM!</v>
      </c>
      <c r="CD161" s="58">
        <f ca="1">AVERAGE(OFFSET($CC$3,0,0,'Données projet'!$E$12+1,1))-AVERAGE(OFFSET($H$3,0,0,'Données projet'!$E$12+1,1))</f>
        <v>343.86347628565426</v>
      </c>
      <c r="CE161" s="58">
        <f t="shared" si="148"/>
        <v>129.28196646107097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58" t="e">
        <f t="shared" si="122"/>
        <v>#N/A</v>
      </c>
      <c r="CY161" s="58" t="e">
        <f ca="1">AVERAGE(OFFSET($CX$3,0,0,'Données projet'!$E$13+1,1))-AVERAGE(OFFSET($H$3,0,0,'Données projet'!$E$13+1,1))</f>
        <v>#N/A</v>
      </c>
      <c r="CZ161" s="58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5.4092197387944907E-14</v>
      </c>
      <c r="DQ161" s="14">
        <f t="shared" si="176"/>
        <v>8.7287050538073676E-13</v>
      </c>
      <c r="DR161" s="22">
        <f t="shared" si="177"/>
        <v>1.6144600406554537E-12</v>
      </c>
      <c r="DS161" s="58">
        <f t="shared" si="125"/>
        <v>293.33333333333491</v>
      </c>
      <c r="DT161" s="58">
        <f ca="1">AVERAGE(OFFSET($DS$3,0,0,'Données projet'!$E$14+1,1))-AVERAGE(OFFSET($H$3,0,0,'Données projet'!$E$14+1,1))</f>
        <v>332.49889399440514</v>
      </c>
      <c r="DU161" s="58">
        <f t="shared" si="152"/>
        <v>256.06044006790529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5.1159076974727213E-13</v>
      </c>
      <c r="EK161" s="18">
        <f>EJ161*VLOOKUP('Données projet'!$B$15,Paramètres!$A$1:$I$89,3,0)*VLOOKUP('Données projet'!$B$15,Paramètres!$A$1:$I$89,5,0)</f>
        <v>5.3471467253984886E-13</v>
      </c>
      <c r="EL161" s="14">
        <f t="shared" si="179"/>
        <v>6.6087717628803869E-12</v>
      </c>
      <c r="EM161" s="22">
        <f t="shared" si="180"/>
        <v>1.244157220835691E-11</v>
      </c>
      <c r="EN161" s="58">
        <f t="shared" si="128"/>
        <v>293.33333333334576</v>
      </c>
      <c r="EO161" s="58">
        <f ca="1">AVERAGE(OFFSET($EN$3,0,0,'Données projet'!$E$15+1,1))-AVERAGE(OFFSET($H$3,0,0,'Données projet'!$E$15+1,1))</f>
        <v>596.00698505207174</v>
      </c>
      <c r="EP161" s="58">
        <f t="shared" si="154"/>
        <v>378.16197659288338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2.2737367544323206E-13</v>
      </c>
      <c r="FF161" s="18">
        <f>FE161*VLOOKUP('Données projet'!$B$16,Paramètres!$A$1:$I$89,3,0)*VLOOKUP('Données projet'!$B$16,Paramètres!$A$1:$I$89,5,0)</f>
        <v>1.064108801074326E-13</v>
      </c>
      <c r="FG161" s="14">
        <f t="shared" si="182"/>
        <v>1.5870730813698654E-12</v>
      </c>
      <c r="FH161" s="22">
        <f t="shared" si="183"/>
        <v>2.9494845662396269E-12</v>
      </c>
      <c r="FI161" s="58">
        <f t="shared" si="131"/>
        <v>293.33333333333627</v>
      </c>
      <c r="FJ161" s="58">
        <f ca="1">AVERAGE(OFFSET($FI$3,0,0,'Données projet'!$E$16+1,1))-AVERAGE(OFFSET($H$3,0,0,'Données projet'!$E$16+1,1))</f>
        <v>294.31042006404056</v>
      </c>
      <c r="FK161" s="58">
        <f t="shared" si="156"/>
        <v>260.93767498478502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2.8421709430404007E-13</v>
      </c>
      <c r="GA161" s="18">
        <f>FZ161*VLOOKUP('Données projet'!$B$17,Paramètres!$A$1:$I$89,3,0)*VLOOKUP('Données projet'!$B$17,Paramètres!$A$1:$I$89,5,0)</f>
        <v>1.9065282685915009E-13</v>
      </c>
      <c r="GB161" s="14">
        <f t="shared" si="185"/>
        <v>2.6568987209435707E-12</v>
      </c>
      <c r="GC161" s="22">
        <f t="shared" si="186"/>
        <v>4.959485612423072E-12</v>
      </c>
      <c r="GD161" s="58">
        <f t="shared" si="134"/>
        <v>293.33333333333826</v>
      </c>
      <c r="GE161" s="58">
        <f ca="1">AVERAGE(OFFSET($GD$3,0,0,'Données projet'!$E$17+1,1))-AVERAGE(OFFSET($H$3,0,0,'Données projet'!$E$17+1,1))</f>
        <v>362.1372269575329</v>
      </c>
      <c r="GF161" s="58">
        <f t="shared" si="158"/>
        <v>308.1559670593121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58" t="e">
        <f t="shared" si="137"/>
        <v>#N/A</v>
      </c>
      <c r="GZ161" s="58" t="e">
        <f ca="1">AVERAGE(OFFSET($GY$3,0,0,'Données projet'!$E$18+1,1))-AVERAGE(OFFSET($H$3,0,0,'Données projet'!$E$18+1,1))</f>
        <v>#N/A</v>
      </c>
      <c r="HA161" s="58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0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3">
        <f t="shared" si="110"/>
        <v>256.66666666666669</v>
      </c>
      <c r="I162" s="6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-2.8421709430404007E-13</v>
      </c>
      <c r="O162" s="14">
        <f>N162*VLOOKUP('Données projet'!$B$9,Paramètres!$A$1:$I$89,3,0)*VLOOKUP('Données projet'!$B$9,Paramètres!$A$1:$I$89,5,0)</f>
        <v>-2.8819613362429665E-13</v>
      </c>
      <c r="P162" s="14" t="e">
        <f t="shared" si="141"/>
        <v>#NUM!</v>
      </c>
      <c r="Q162" s="22" t="e">
        <f t="shared" si="162"/>
        <v>#NUM!</v>
      </c>
      <c r="R162" s="58" t="e">
        <f t="shared" si="109"/>
        <v>#NUM!</v>
      </c>
      <c r="S162" s="58">
        <f ca="1">AVERAGE(OFFSET($R$3,0,0,'Données projet'!$E$9+1,1))-AVERAGE(OFFSET($H$3,0,0,'Données projet'!$E$9+1,1))</f>
        <v>483.15009705023641</v>
      </c>
      <c r="T162" s="58">
        <f t="shared" si="142"/>
        <v>254.25036207346591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-2.8421709430404007E-13</v>
      </c>
      <c r="AJ162" s="14">
        <f>AI162*VLOOKUP('Données projet'!$B$10,Paramètres!$A$1:$I$89,3,0)*VLOOKUP('Données projet'!$B$10,Paramètres!$A$1:$I$89,5,0)</f>
        <v>-2.5715962692629546E-13</v>
      </c>
      <c r="AK162" s="14" t="e">
        <f t="shared" si="164"/>
        <v>#NUM!</v>
      </c>
      <c r="AL162" s="22" t="e">
        <f t="shared" si="165"/>
        <v>#NUM!</v>
      </c>
      <c r="AM162" s="58" t="e">
        <f t="shared" si="113"/>
        <v>#NUM!</v>
      </c>
      <c r="AN162" s="58">
        <f ca="1">AVERAGE(OFFSET($AM$3,0,0,'Données projet'!$E$10+1,1))-AVERAGE(OFFSET($H$3,0,0,'Données projet'!$E$10+1,1))</f>
        <v>435.7095890216213</v>
      </c>
      <c r="AO162" s="58">
        <f t="shared" si="144"/>
        <v>231.36959598460686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-4.9658410716801891E-14</v>
      </c>
      <c r="BF162" s="14" t="e">
        <f t="shared" si="167"/>
        <v>#NUM!</v>
      </c>
      <c r="BG162" s="22" t="e">
        <f t="shared" si="168"/>
        <v>#NUM!</v>
      </c>
      <c r="BH162" s="58" t="e">
        <f t="shared" si="116"/>
        <v>#NUM!</v>
      </c>
      <c r="BI162" s="58">
        <f ca="1">AVERAGE(OFFSET($BH$3,0,0,'Données projet'!$E$11+1,1))-AVERAGE(OFFSET($H$3,0,0,'Données projet'!$E$11+1,1))</f>
        <v>218.76424742311815</v>
      </c>
      <c r="BJ162" s="58">
        <f t="shared" si="146"/>
        <v>264.34598683038593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0.18204372339426342</v>
      </c>
      <c r="BQ162" s="23">
        <f>EXP(-LN(2)/25)*BQ161+(1-EXP(-LN(2)/25))/(LN(2)/25)*Calculateur!BL162*Calculateur!BN162*VLOOKUP('Données projet'!$B$11,Paramètres!$A$1:$I$89,3,0)*0.475*44/12</f>
        <v>0.1220752385343371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0.30411896192860055</v>
      </c>
      <c r="BT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58" t="e">
        <f t="shared" si="119"/>
        <v>#NUM!</v>
      </c>
      <c r="CD162" s="58">
        <f ca="1">AVERAGE(OFFSET($CC$3,0,0,'Données projet'!$E$12+1,1))-AVERAGE(OFFSET($H$3,0,0,'Données projet'!$E$12+1,1))</f>
        <v>343.86347628565426</v>
      </c>
      <c r="CE162" s="58">
        <f t="shared" si="148"/>
        <v>129.28196646107097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58" t="e">
        <f t="shared" si="122"/>
        <v>#N/A</v>
      </c>
      <c r="CY162" s="58" t="e">
        <f ca="1">AVERAGE(OFFSET($CX$3,0,0,'Données projet'!$E$13+1,1))-AVERAGE(OFFSET($H$3,0,0,'Données projet'!$E$13+1,1))</f>
        <v>#N/A</v>
      </c>
      <c r="CZ162" s="58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5.4092197387944907E-14</v>
      </c>
      <c r="DQ162" s="14">
        <f t="shared" si="176"/>
        <v>8.7287050538073676E-13</v>
      </c>
      <c r="DR162" s="22">
        <f t="shared" si="177"/>
        <v>1.6144600406554537E-12</v>
      </c>
      <c r="DS162" s="58">
        <f t="shared" si="125"/>
        <v>293.33333333333491</v>
      </c>
      <c r="DT162" s="58">
        <f ca="1">AVERAGE(OFFSET($DS$3,0,0,'Données projet'!$E$14+1,1))-AVERAGE(OFFSET($H$3,0,0,'Données projet'!$E$14+1,1))</f>
        <v>332.49889399440514</v>
      </c>
      <c r="DU162" s="58">
        <f t="shared" si="152"/>
        <v>256.06044006790529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5.1159076974727213E-13</v>
      </c>
      <c r="EK162" s="18">
        <f>EJ162*VLOOKUP('Données projet'!$B$15,Paramètres!$A$1:$I$89,3,0)*VLOOKUP('Données projet'!$B$15,Paramètres!$A$1:$I$89,5,0)</f>
        <v>5.3471467253984886E-13</v>
      </c>
      <c r="EL162" s="14">
        <f t="shared" si="179"/>
        <v>6.6087717628803869E-12</v>
      </c>
      <c r="EM162" s="22">
        <f t="shared" si="180"/>
        <v>1.244157220835691E-11</v>
      </c>
      <c r="EN162" s="58">
        <f t="shared" si="128"/>
        <v>293.33333333334576</v>
      </c>
      <c r="EO162" s="58">
        <f ca="1">AVERAGE(OFFSET($EN$3,0,0,'Données projet'!$E$15+1,1))-AVERAGE(OFFSET($H$3,0,0,'Données projet'!$E$15+1,1))</f>
        <v>596.00698505207174</v>
      </c>
      <c r="EP162" s="58">
        <f t="shared" si="154"/>
        <v>378.16197659288338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2.2737367544323206E-13</v>
      </c>
      <c r="FF162" s="18">
        <f>FE162*VLOOKUP('Données projet'!$B$16,Paramètres!$A$1:$I$89,3,0)*VLOOKUP('Données projet'!$B$16,Paramètres!$A$1:$I$89,5,0)</f>
        <v>1.064108801074326E-13</v>
      </c>
      <c r="FG162" s="14">
        <f t="shared" si="182"/>
        <v>1.5870730813698654E-12</v>
      </c>
      <c r="FH162" s="22">
        <f t="shared" si="183"/>
        <v>2.9494845662396269E-12</v>
      </c>
      <c r="FI162" s="58">
        <f t="shared" si="131"/>
        <v>293.33333333333627</v>
      </c>
      <c r="FJ162" s="58">
        <f ca="1">AVERAGE(OFFSET($FI$3,0,0,'Données projet'!$E$16+1,1))-AVERAGE(OFFSET($H$3,0,0,'Données projet'!$E$16+1,1))</f>
        <v>294.31042006404056</v>
      </c>
      <c r="FK162" s="58">
        <f t="shared" si="156"/>
        <v>260.93767498478502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2.8421709430404007E-13</v>
      </c>
      <c r="GA162" s="18">
        <f>FZ162*VLOOKUP('Données projet'!$B$17,Paramètres!$A$1:$I$89,3,0)*VLOOKUP('Données projet'!$B$17,Paramètres!$A$1:$I$89,5,0)</f>
        <v>1.9065282685915009E-13</v>
      </c>
      <c r="GB162" s="14">
        <f t="shared" si="185"/>
        <v>2.6568987209435707E-12</v>
      </c>
      <c r="GC162" s="22">
        <f t="shared" si="186"/>
        <v>4.959485612423072E-12</v>
      </c>
      <c r="GD162" s="58">
        <f t="shared" si="134"/>
        <v>293.33333333333826</v>
      </c>
      <c r="GE162" s="58">
        <f ca="1">AVERAGE(OFFSET($GD$3,0,0,'Données projet'!$E$17+1,1))-AVERAGE(OFFSET($H$3,0,0,'Données projet'!$E$17+1,1))</f>
        <v>362.1372269575329</v>
      </c>
      <c r="GF162" s="58">
        <f t="shared" si="158"/>
        <v>308.1559670593121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58" t="e">
        <f t="shared" si="137"/>
        <v>#N/A</v>
      </c>
      <c r="GZ162" s="58" t="e">
        <f ca="1">AVERAGE(OFFSET($GY$3,0,0,'Données projet'!$E$18+1,1))-AVERAGE(OFFSET($H$3,0,0,'Données projet'!$E$18+1,1))</f>
        <v>#N/A</v>
      </c>
      <c r="HA162" s="58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0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3">
        <f t="shared" si="110"/>
        <v>256.66666666666669</v>
      </c>
      <c r="I163" s="6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-2.8421709430404007E-13</v>
      </c>
      <c r="O163" s="14">
        <f>N163*VLOOKUP('Données projet'!$B$9,Paramètres!$A$1:$I$89,3,0)*VLOOKUP('Données projet'!$B$9,Paramètres!$A$1:$I$89,5,0)</f>
        <v>-2.8819613362429665E-13</v>
      </c>
      <c r="P163" s="14" t="e">
        <f t="shared" si="141"/>
        <v>#NUM!</v>
      </c>
      <c r="Q163" s="22" t="e">
        <f t="shared" si="162"/>
        <v>#NUM!</v>
      </c>
      <c r="R163" s="58" t="e">
        <f t="shared" si="109"/>
        <v>#NUM!</v>
      </c>
      <c r="S163" s="58">
        <f ca="1">AVERAGE(OFFSET($R$3,0,0,'Données projet'!$E$9+1,1))-AVERAGE(OFFSET($H$3,0,0,'Données projet'!$E$9+1,1))</f>
        <v>483.15009705023641</v>
      </c>
      <c r="T163" s="58">
        <f t="shared" si="142"/>
        <v>254.25036207346591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-2.8421709430404007E-13</v>
      </c>
      <c r="AJ163" s="14">
        <f>AI163*VLOOKUP('Données projet'!$B$10,Paramètres!$A$1:$I$89,3,0)*VLOOKUP('Données projet'!$B$10,Paramètres!$A$1:$I$89,5,0)</f>
        <v>-2.5715962692629546E-13</v>
      </c>
      <c r="AK163" s="14" t="e">
        <f t="shared" si="164"/>
        <v>#NUM!</v>
      </c>
      <c r="AL163" s="22" t="e">
        <f t="shared" si="165"/>
        <v>#NUM!</v>
      </c>
      <c r="AM163" s="58" t="e">
        <f t="shared" si="113"/>
        <v>#NUM!</v>
      </c>
      <c r="AN163" s="58">
        <f ca="1">AVERAGE(OFFSET($AM$3,0,0,'Données projet'!$E$10+1,1))-AVERAGE(OFFSET($H$3,0,0,'Données projet'!$E$10+1,1))</f>
        <v>435.7095890216213</v>
      </c>
      <c r="AO163" s="58">
        <f t="shared" si="144"/>
        <v>231.36959598460686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-4.9658410716801891E-14</v>
      </c>
      <c r="BF163" s="14" t="e">
        <f t="shared" si="167"/>
        <v>#NUM!</v>
      </c>
      <c r="BG163" s="22" t="e">
        <f t="shared" si="168"/>
        <v>#NUM!</v>
      </c>
      <c r="BH163" s="58" t="e">
        <f t="shared" si="116"/>
        <v>#NUM!</v>
      </c>
      <c r="BI163" s="58">
        <f ca="1">AVERAGE(OFFSET($BH$3,0,0,'Données projet'!$E$11+1,1))-AVERAGE(OFFSET($H$3,0,0,'Données projet'!$E$11+1,1))</f>
        <v>218.76424742311815</v>
      </c>
      <c r="BJ163" s="58">
        <f t="shared" si="146"/>
        <v>264.34598683038593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0.17847395701420932</v>
      </c>
      <c r="BQ163" s="23">
        <f>EXP(-LN(2)/25)*BQ162+(1-EXP(-LN(2)/25))/(LN(2)/25)*Calculateur!BL163*Calculateur!BN163*VLOOKUP('Données projet'!$B$11,Paramètres!$A$1:$I$89,3,0)*0.475*44/12</f>
        <v>0.11873708471695787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0.29721104173116719</v>
      </c>
      <c r="BT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58" t="e">
        <f t="shared" si="119"/>
        <v>#NUM!</v>
      </c>
      <c r="CD163" s="58">
        <f ca="1">AVERAGE(OFFSET($CC$3,0,0,'Données projet'!$E$12+1,1))-AVERAGE(OFFSET($H$3,0,0,'Données projet'!$E$12+1,1))</f>
        <v>343.86347628565426</v>
      </c>
      <c r="CE163" s="58">
        <f t="shared" si="148"/>
        <v>129.28196646107097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58" t="e">
        <f t="shared" si="122"/>
        <v>#N/A</v>
      </c>
      <c r="CY163" s="58" t="e">
        <f ca="1">AVERAGE(OFFSET($CX$3,0,0,'Données projet'!$E$13+1,1))-AVERAGE(OFFSET($H$3,0,0,'Données projet'!$E$13+1,1))</f>
        <v>#N/A</v>
      </c>
      <c r="CZ163" s="58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5.4092197387944907E-14</v>
      </c>
      <c r="DQ163" s="14">
        <f t="shared" si="176"/>
        <v>8.7287050538073676E-13</v>
      </c>
      <c r="DR163" s="22">
        <f t="shared" si="177"/>
        <v>1.6144600406554537E-12</v>
      </c>
      <c r="DS163" s="58">
        <f t="shared" si="125"/>
        <v>293.33333333333491</v>
      </c>
      <c r="DT163" s="58">
        <f ca="1">AVERAGE(OFFSET($DS$3,0,0,'Données projet'!$E$14+1,1))-AVERAGE(OFFSET($H$3,0,0,'Données projet'!$E$14+1,1))</f>
        <v>332.49889399440514</v>
      </c>
      <c r="DU163" s="58">
        <f t="shared" si="152"/>
        <v>256.06044006790529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5.1159076974727213E-13</v>
      </c>
      <c r="EK163" s="18">
        <f>EJ163*VLOOKUP('Données projet'!$B$15,Paramètres!$A$1:$I$89,3,0)*VLOOKUP('Données projet'!$B$15,Paramètres!$A$1:$I$89,5,0)</f>
        <v>5.3471467253984886E-13</v>
      </c>
      <c r="EL163" s="14">
        <f t="shared" si="179"/>
        <v>6.6087717628803869E-12</v>
      </c>
      <c r="EM163" s="22">
        <f t="shared" si="180"/>
        <v>1.244157220835691E-11</v>
      </c>
      <c r="EN163" s="58">
        <f t="shared" si="128"/>
        <v>293.33333333334576</v>
      </c>
      <c r="EO163" s="58">
        <f ca="1">AVERAGE(OFFSET($EN$3,0,0,'Données projet'!$E$15+1,1))-AVERAGE(OFFSET($H$3,0,0,'Données projet'!$E$15+1,1))</f>
        <v>596.00698505207174</v>
      </c>
      <c r="EP163" s="58">
        <f t="shared" si="154"/>
        <v>378.16197659288338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2.2737367544323206E-13</v>
      </c>
      <c r="FF163" s="18">
        <f>FE163*VLOOKUP('Données projet'!$B$16,Paramètres!$A$1:$I$89,3,0)*VLOOKUP('Données projet'!$B$16,Paramètres!$A$1:$I$89,5,0)</f>
        <v>1.064108801074326E-13</v>
      </c>
      <c r="FG163" s="14">
        <f t="shared" si="182"/>
        <v>1.5870730813698654E-12</v>
      </c>
      <c r="FH163" s="22">
        <f t="shared" si="183"/>
        <v>2.9494845662396269E-12</v>
      </c>
      <c r="FI163" s="58">
        <f t="shared" si="131"/>
        <v>293.33333333333627</v>
      </c>
      <c r="FJ163" s="58">
        <f ca="1">AVERAGE(OFFSET($FI$3,0,0,'Données projet'!$E$16+1,1))-AVERAGE(OFFSET($H$3,0,0,'Données projet'!$E$16+1,1))</f>
        <v>294.31042006404056</v>
      </c>
      <c r="FK163" s="58">
        <f t="shared" si="156"/>
        <v>260.93767498478502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2.8421709430404007E-13</v>
      </c>
      <c r="GA163" s="18">
        <f>FZ163*VLOOKUP('Données projet'!$B$17,Paramètres!$A$1:$I$89,3,0)*VLOOKUP('Données projet'!$B$17,Paramètres!$A$1:$I$89,5,0)</f>
        <v>1.9065282685915009E-13</v>
      </c>
      <c r="GB163" s="14">
        <f t="shared" si="185"/>
        <v>2.6568987209435707E-12</v>
      </c>
      <c r="GC163" s="22">
        <f t="shared" si="186"/>
        <v>4.959485612423072E-12</v>
      </c>
      <c r="GD163" s="58">
        <f t="shared" si="134"/>
        <v>293.33333333333826</v>
      </c>
      <c r="GE163" s="58">
        <f ca="1">AVERAGE(OFFSET($GD$3,0,0,'Données projet'!$E$17+1,1))-AVERAGE(OFFSET($H$3,0,0,'Données projet'!$E$17+1,1))</f>
        <v>362.1372269575329</v>
      </c>
      <c r="GF163" s="58">
        <f t="shared" si="158"/>
        <v>308.1559670593121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58" t="e">
        <f t="shared" si="137"/>
        <v>#N/A</v>
      </c>
      <c r="GZ163" s="58" t="e">
        <f ca="1">AVERAGE(OFFSET($GY$3,0,0,'Données projet'!$E$18+1,1))-AVERAGE(OFFSET($H$3,0,0,'Données projet'!$E$18+1,1))</f>
        <v>#N/A</v>
      </c>
      <c r="HA163" s="58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0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3">
        <f t="shared" si="110"/>
        <v>256.66666666666669</v>
      </c>
      <c r="I164" s="6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-2.8421709430404007E-13</v>
      </c>
      <c r="O164" s="14">
        <f>N164*VLOOKUP('Données projet'!$B$9,Paramètres!$A$1:$I$89,3,0)*VLOOKUP('Données projet'!$B$9,Paramètres!$A$1:$I$89,5,0)</f>
        <v>-2.8819613362429665E-13</v>
      </c>
      <c r="P164" s="14" t="e">
        <f t="shared" si="141"/>
        <v>#NUM!</v>
      </c>
      <c r="Q164" s="22" t="e">
        <f t="shared" si="162"/>
        <v>#NUM!</v>
      </c>
      <c r="R164" s="58" t="e">
        <f t="shared" si="109"/>
        <v>#NUM!</v>
      </c>
      <c r="S164" s="58">
        <f ca="1">AVERAGE(OFFSET($R$3,0,0,'Données projet'!$E$9+1,1))-AVERAGE(OFFSET($H$3,0,0,'Données projet'!$E$9+1,1))</f>
        <v>483.15009705023641</v>
      </c>
      <c r="T164" s="58">
        <f t="shared" si="142"/>
        <v>254.25036207346591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-2.8421709430404007E-13</v>
      </c>
      <c r="AJ164" s="14">
        <f>AI164*VLOOKUP('Données projet'!$B$10,Paramètres!$A$1:$I$89,3,0)*VLOOKUP('Données projet'!$B$10,Paramètres!$A$1:$I$89,5,0)</f>
        <v>-2.5715962692629546E-13</v>
      </c>
      <c r="AK164" s="14" t="e">
        <f t="shared" si="164"/>
        <v>#NUM!</v>
      </c>
      <c r="AL164" s="22" t="e">
        <f t="shared" si="165"/>
        <v>#NUM!</v>
      </c>
      <c r="AM164" s="58" t="e">
        <f t="shared" si="113"/>
        <v>#NUM!</v>
      </c>
      <c r="AN164" s="58">
        <f ca="1">AVERAGE(OFFSET($AM$3,0,0,'Données projet'!$E$10+1,1))-AVERAGE(OFFSET($H$3,0,0,'Données projet'!$E$10+1,1))</f>
        <v>435.7095890216213</v>
      </c>
      <c r="AO164" s="58">
        <f t="shared" si="144"/>
        <v>231.36959598460686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-4.9658410716801891E-14</v>
      </c>
      <c r="BF164" s="14" t="e">
        <f t="shared" si="167"/>
        <v>#NUM!</v>
      </c>
      <c r="BG164" s="22" t="e">
        <f t="shared" si="168"/>
        <v>#NUM!</v>
      </c>
      <c r="BH164" s="58" t="e">
        <f t="shared" si="116"/>
        <v>#NUM!</v>
      </c>
      <c r="BI164" s="58">
        <f ca="1">AVERAGE(OFFSET($BH$3,0,0,'Données projet'!$E$11+1,1))-AVERAGE(OFFSET($H$3,0,0,'Données projet'!$E$11+1,1))</f>
        <v>218.76424742311815</v>
      </c>
      <c r="BJ164" s="58">
        <f t="shared" si="146"/>
        <v>264.34598683038593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0.17497419157552557</v>
      </c>
      <c r="BQ164" s="23">
        <f>EXP(-LN(2)/25)*BQ163+(1-EXP(-LN(2)/25))/(LN(2)/25)*Calculateur!BL164*Calculateur!BN164*VLOOKUP('Données projet'!$B$11,Paramètres!$A$1:$I$89,3,0)*0.475*44/12</f>
        <v>0.11549021289126075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0.29046440446678634</v>
      </c>
      <c r="BT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58" t="e">
        <f t="shared" si="119"/>
        <v>#NUM!</v>
      </c>
      <c r="CD164" s="58">
        <f ca="1">AVERAGE(OFFSET($CC$3,0,0,'Données projet'!$E$12+1,1))-AVERAGE(OFFSET($H$3,0,0,'Données projet'!$E$12+1,1))</f>
        <v>343.86347628565426</v>
      </c>
      <c r="CE164" s="58">
        <f t="shared" si="148"/>
        <v>129.28196646107097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58" t="e">
        <f t="shared" si="122"/>
        <v>#N/A</v>
      </c>
      <c r="CY164" s="58" t="e">
        <f ca="1">AVERAGE(OFFSET($CX$3,0,0,'Données projet'!$E$13+1,1))-AVERAGE(OFFSET($H$3,0,0,'Données projet'!$E$13+1,1))</f>
        <v>#N/A</v>
      </c>
      <c r="CZ164" s="58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5.4092197387944907E-14</v>
      </c>
      <c r="DQ164" s="14">
        <f t="shared" si="176"/>
        <v>8.7287050538073676E-13</v>
      </c>
      <c r="DR164" s="22">
        <f t="shared" si="177"/>
        <v>1.6144600406554537E-12</v>
      </c>
      <c r="DS164" s="58">
        <f t="shared" si="125"/>
        <v>293.33333333333491</v>
      </c>
      <c r="DT164" s="58">
        <f ca="1">AVERAGE(OFFSET($DS$3,0,0,'Données projet'!$E$14+1,1))-AVERAGE(OFFSET($H$3,0,0,'Données projet'!$E$14+1,1))</f>
        <v>332.49889399440514</v>
      </c>
      <c r="DU164" s="58">
        <f t="shared" si="152"/>
        <v>256.06044006790529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5.1159076974727213E-13</v>
      </c>
      <c r="EK164" s="18">
        <f>EJ164*VLOOKUP('Données projet'!$B$15,Paramètres!$A$1:$I$89,3,0)*VLOOKUP('Données projet'!$B$15,Paramètres!$A$1:$I$89,5,0)</f>
        <v>5.3471467253984886E-13</v>
      </c>
      <c r="EL164" s="14">
        <f t="shared" si="179"/>
        <v>6.6087717628803869E-12</v>
      </c>
      <c r="EM164" s="22">
        <f t="shared" si="180"/>
        <v>1.244157220835691E-11</v>
      </c>
      <c r="EN164" s="58">
        <f t="shared" si="128"/>
        <v>293.33333333334576</v>
      </c>
      <c r="EO164" s="58">
        <f ca="1">AVERAGE(OFFSET($EN$3,0,0,'Données projet'!$E$15+1,1))-AVERAGE(OFFSET($H$3,0,0,'Données projet'!$E$15+1,1))</f>
        <v>596.00698505207174</v>
      </c>
      <c r="EP164" s="58">
        <f t="shared" si="154"/>
        <v>378.16197659288338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2.2737367544323206E-13</v>
      </c>
      <c r="FF164" s="18">
        <f>FE164*VLOOKUP('Données projet'!$B$16,Paramètres!$A$1:$I$89,3,0)*VLOOKUP('Données projet'!$B$16,Paramètres!$A$1:$I$89,5,0)</f>
        <v>1.064108801074326E-13</v>
      </c>
      <c r="FG164" s="14">
        <f t="shared" si="182"/>
        <v>1.5870730813698654E-12</v>
      </c>
      <c r="FH164" s="22">
        <f t="shared" si="183"/>
        <v>2.9494845662396269E-12</v>
      </c>
      <c r="FI164" s="58">
        <f t="shared" si="131"/>
        <v>293.33333333333627</v>
      </c>
      <c r="FJ164" s="58">
        <f ca="1">AVERAGE(OFFSET($FI$3,0,0,'Données projet'!$E$16+1,1))-AVERAGE(OFFSET($H$3,0,0,'Données projet'!$E$16+1,1))</f>
        <v>294.31042006404056</v>
      </c>
      <c r="FK164" s="58">
        <f t="shared" si="156"/>
        <v>260.93767498478502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2.8421709430404007E-13</v>
      </c>
      <c r="GA164" s="18">
        <f>FZ164*VLOOKUP('Données projet'!$B$17,Paramètres!$A$1:$I$89,3,0)*VLOOKUP('Données projet'!$B$17,Paramètres!$A$1:$I$89,5,0)</f>
        <v>1.9065282685915009E-13</v>
      </c>
      <c r="GB164" s="14">
        <f t="shared" si="185"/>
        <v>2.6568987209435707E-12</v>
      </c>
      <c r="GC164" s="22">
        <f t="shared" si="186"/>
        <v>4.959485612423072E-12</v>
      </c>
      <c r="GD164" s="58">
        <f t="shared" si="134"/>
        <v>293.33333333333826</v>
      </c>
      <c r="GE164" s="58">
        <f ca="1">AVERAGE(OFFSET($GD$3,0,0,'Données projet'!$E$17+1,1))-AVERAGE(OFFSET($H$3,0,0,'Données projet'!$E$17+1,1))</f>
        <v>362.1372269575329</v>
      </c>
      <c r="GF164" s="58">
        <f t="shared" si="158"/>
        <v>308.1559670593121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58" t="e">
        <f t="shared" si="137"/>
        <v>#N/A</v>
      </c>
      <c r="GZ164" s="58" t="e">
        <f ca="1">AVERAGE(OFFSET($GY$3,0,0,'Données projet'!$E$18+1,1))-AVERAGE(OFFSET($H$3,0,0,'Données projet'!$E$18+1,1))</f>
        <v>#N/A</v>
      </c>
      <c r="HA164" s="58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0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3">
        <f t="shared" si="110"/>
        <v>256.66666666666669</v>
      </c>
      <c r="I165" s="6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-2.8421709430404007E-13</v>
      </c>
      <c r="O165" s="14">
        <f>N165*VLOOKUP('Données projet'!$B$9,Paramètres!$A$1:$I$89,3,0)*VLOOKUP('Données projet'!$B$9,Paramètres!$A$1:$I$89,5,0)</f>
        <v>-2.8819613362429665E-13</v>
      </c>
      <c r="P165" s="14" t="e">
        <f t="shared" si="141"/>
        <v>#NUM!</v>
      </c>
      <c r="Q165" s="22" t="e">
        <f t="shared" si="162"/>
        <v>#NUM!</v>
      </c>
      <c r="R165" s="58" t="e">
        <f t="shared" si="109"/>
        <v>#NUM!</v>
      </c>
      <c r="S165" s="58">
        <f ca="1">AVERAGE(OFFSET($R$3,0,0,'Données projet'!$E$9+1,1))-AVERAGE(OFFSET($H$3,0,0,'Données projet'!$E$9+1,1))</f>
        <v>483.15009705023641</v>
      </c>
      <c r="T165" s="58">
        <f t="shared" si="142"/>
        <v>254.25036207346591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-2.8421709430404007E-13</v>
      </c>
      <c r="AJ165" s="14">
        <f>AI165*VLOOKUP('Données projet'!$B$10,Paramètres!$A$1:$I$89,3,0)*VLOOKUP('Données projet'!$B$10,Paramètres!$A$1:$I$89,5,0)</f>
        <v>-2.5715962692629546E-13</v>
      </c>
      <c r="AK165" s="14" t="e">
        <f t="shared" si="164"/>
        <v>#NUM!</v>
      </c>
      <c r="AL165" s="22" t="e">
        <f t="shared" si="165"/>
        <v>#NUM!</v>
      </c>
      <c r="AM165" s="58" t="e">
        <f t="shared" si="113"/>
        <v>#NUM!</v>
      </c>
      <c r="AN165" s="58">
        <f ca="1">AVERAGE(OFFSET($AM$3,0,0,'Données projet'!$E$10+1,1))-AVERAGE(OFFSET($H$3,0,0,'Données projet'!$E$10+1,1))</f>
        <v>435.7095890216213</v>
      </c>
      <c r="AO165" s="58">
        <f t="shared" si="144"/>
        <v>231.36959598460686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-4.9658410716801891E-14</v>
      </c>
      <c r="BF165" s="14" t="e">
        <f t="shared" si="167"/>
        <v>#NUM!</v>
      </c>
      <c r="BG165" s="22" t="e">
        <f t="shared" si="168"/>
        <v>#NUM!</v>
      </c>
      <c r="BH165" s="58" t="e">
        <f t="shared" si="116"/>
        <v>#NUM!</v>
      </c>
      <c r="BI165" s="58">
        <f ca="1">AVERAGE(OFFSET($BH$3,0,0,'Données projet'!$E$11+1,1))-AVERAGE(OFFSET($H$3,0,0,'Données projet'!$E$11+1,1))</f>
        <v>218.76424742311815</v>
      </c>
      <c r="BJ165" s="58">
        <f t="shared" si="146"/>
        <v>264.34598683038593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0.1715430544024483</v>
      </c>
      <c r="BQ165" s="23">
        <f>EXP(-LN(2)/25)*BQ164+(1-EXP(-LN(2)/25))/(LN(2)/25)*Calculateur!BL165*Calculateur!BN165*VLOOKUP('Données projet'!$B$11,Paramètres!$A$1:$I$89,3,0)*0.475*44/12</f>
        <v>0.11233212694638289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0.28387518134883116</v>
      </c>
      <c r="BT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58" t="e">
        <f t="shared" si="119"/>
        <v>#NUM!</v>
      </c>
      <c r="CD165" s="58">
        <f ca="1">AVERAGE(OFFSET($CC$3,0,0,'Données projet'!$E$12+1,1))-AVERAGE(OFFSET($H$3,0,0,'Données projet'!$E$12+1,1))</f>
        <v>343.86347628565426</v>
      </c>
      <c r="CE165" s="58">
        <f t="shared" si="148"/>
        <v>129.28196646107097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58" t="e">
        <f t="shared" si="122"/>
        <v>#N/A</v>
      </c>
      <c r="CY165" s="58" t="e">
        <f ca="1">AVERAGE(OFFSET($CX$3,0,0,'Données projet'!$E$13+1,1))-AVERAGE(OFFSET($H$3,0,0,'Données projet'!$E$13+1,1))</f>
        <v>#N/A</v>
      </c>
      <c r="CZ165" s="58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5.4092197387944907E-14</v>
      </c>
      <c r="DQ165" s="14">
        <f t="shared" si="176"/>
        <v>8.7287050538073676E-13</v>
      </c>
      <c r="DR165" s="22">
        <f t="shared" si="177"/>
        <v>1.6144600406554537E-12</v>
      </c>
      <c r="DS165" s="58">
        <f t="shared" si="125"/>
        <v>293.33333333333491</v>
      </c>
      <c r="DT165" s="58">
        <f ca="1">AVERAGE(OFFSET($DS$3,0,0,'Données projet'!$E$14+1,1))-AVERAGE(OFFSET($H$3,0,0,'Données projet'!$E$14+1,1))</f>
        <v>332.49889399440514</v>
      </c>
      <c r="DU165" s="58">
        <f t="shared" si="152"/>
        <v>256.06044006790529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5.1159076974727213E-13</v>
      </c>
      <c r="EK165" s="18">
        <f>EJ165*VLOOKUP('Données projet'!$B$15,Paramètres!$A$1:$I$89,3,0)*VLOOKUP('Données projet'!$B$15,Paramètres!$A$1:$I$89,5,0)</f>
        <v>5.3471467253984886E-13</v>
      </c>
      <c r="EL165" s="14">
        <f t="shared" si="179"/>
        <v>6.6087717628803869E-12</v>
      </c>
      <c r="EM165" s="22">
        <f t="shared" si="180"/>
        <v>1.244157220835691E-11</v>
      </c>
      <c r="EN165" s="58">
        <f t="shared" si="128"/>
        <v>293.33333333334576</v>
      </c>
      <c r="EO165" s="58">
        <f ca="1">AVERAGE(OFFSET($EN$3,0,0,'Données projet'!$E$15+1,1))-AVERAGE(OFFSET($H$3,0,0,'Données projet'!$E$15+1,1))</f>
        <v>596.00698505207174</v>
      </c>
      <c r="EP165" s="58">
        <f t="shared" si="154"/>
        <v>378.16197659288338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2.2737367544323206E-13</v>
      </c>
      <c r="FF165" s="18">
        <f>FE165*VLOOKUP('Données projet'!$B$16,Paramètres!$A$1:$I$89,3,0)*VLOOKUP('Données projet'!$B$16,Paramètres!$A$1:$I$89,5,0)</f>
        <v>1.064108801074326E-13</v>
      </c>
      <c r="FG165" s="14">
        <f t="shared" si="182"/>
        <v>1.5870730813698654E-12</v>
      </c>
      <c r="FH165" s="22">
        <f t="shared" si="183"/>
        <v>2.9494845662396269E-12</v>
      </c>
      <c r="FI165" s="58">
        <f t="shared" si="131"/>
        <v>293.33333333333627</v>
      </c>
      <c r="FJ165" s="58">
        <f ca="1">AVERAGE(OFFSET($FI$3,0,0,'Données projet'!$E$16+1,1))-AVERAGE(OFFSET($H$3,0,0,'Données projet'!$E$16+1,1))</f>
        <v>294.31042006404056</v>
      </c>
      <c r="FK165" s="58">
        <f t="shared" si="156"/>
        <v>260.93767498478502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2.8421709430404007E-13</v>
      </c>
      <c r="GA165" s="18">
        <f>FZ165*VLOOKUP('Données projet'!$B$17,Paramètres!$A$1:$I$89,3,0)*VLOOKUP('Données projet'!$B$17,Paramètres!$A$1:$I$89,5,0)</f>
        <v>1.9065282685915009E-13</v>
      </c>
      <c r="GB165" s="14">
        <f t="shared" si="185"/>
        <v>2.6568987209435707E-12</v>
      </c>
      <c r="GC165" s="22">
        <f t="shared" si="186"/>
        <v>4.959485612423072E-12</v>
      </c>
      <c r="GD165" s="58">
        <f t="shared" si="134"/>
        <v>293.33333333333826</v>
      </c>
      <c r="GE165" s="58">
        <f ca="1">AVERAGE(OFFSET($GD$3,0,0,'Données projet'!$E$17+1,1))-AVERAGE(OFFSET($H$3,0,0,'Données projet'!$E$17+1,1))</f>
        <v>362.1372269575329</v>
      </c>
      <c r="GF165" s="58">
        <f t="shared" si="158"/>
        <v>308.1559670593121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58" t="e">
        <f t="shared" si="137"/>
        <v>#N/A</v>
      </c>
      <c r="GZ165" s="58" t="e">
        <f ca="1">AVERAGE(OFFSET($GY$3,0,0,'Données projet'!$E$18+1,1))-AVERAGE(OFFSET($H$3,0,0,'Données projet'!$E$18+1,1))</f>
        <v>#N/A</v>
      </c>
      <c r="HA165" s="58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0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3">
        <f t="shared" si="110"/>
        <v>256.66666666666669</v>
      </c>
      <c r="I166" s="6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-2.8421709430404007E-13</v>
      </c>
      <c r="O166" s="14">
        <f>N166*VLOOKUP('Données projet'!$B$9,Paramètres!$A$1:$I$89,3,0)*VLOOKUP('Données projet'!$B$9,Paramètres!$A$1:$I$89,5,0)</f>
        <v>-2.8819613362429665E-13</v>
      </c>
      <c r="P166" s="14" t="e">
        <f t="shared" si="141"/>
        <v>#NUM!</v>
      </c>
      <c r="Q166" s="22" t="e">
        <f t="shared" si="162"/>
        <v>#NUM!</v>
      </c>
      <c r="R166" s="58" t="e">
        <f t="shared" si="109"/>
        <v>#NUM!</v>
      </c>
      <c r="S166" s="58">
        <f ca="1">AVERAGE(OFFSET($R$3,0,0,'Données projet'!$E$9+1,1))-AVERAGE(OFFSET($H$3,0,0,'Données projet'!$E$9+1,1))</f>
        <v>483.15009705023641</v>
      </c>
      <c r="T166" s="58">
        <f t="shared" si="142"/>
        <v>254.25036207346591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-2.8421709430404007E-13</v>
      </c>
      <c r="AJ166" s="14">
        <f>AI166*VLOOKUP('Données projet'!$B$10,Paramètres!$A$1:$I$89,3,0)*VLOOKUP('Données projet'!$B$10,Paramètres!$A$1:$I$89,5,0)</f>
        <v>-2.5715962692629546E-13</v>
      </c>
      <c r="AK166" s="14" t="e">
        <f t="shared" si="164"/>
        <v>#NUM!</v>
      </c>
      <c r="AL166" s="22" t="e">
        <f t="shared" si="165"/>
        <v>#NUM!</v>
      </c>
      <c r="AM166" s="58" t="e">
        <f t="shared" si="113"/>
        <v>#NUM!</v>
      </c>
      <c r="AN166" s="58">
        <f ca="1">AVERAGE(OFFSET($AM$3,0,0,'Données projet'!$E$10+1,1))-AVERAGE(OFFSET($H$3,0,0,'Données projet'!$E$10+1,1))</f>
        <v>435.7095890216213</v>
      </c>
      <c r="AO166" s="58">
        <f t="shared" si="144"/>
        <v>231.36959598460686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-4.9658410716801891E-14</v>
      </c>
      <c r="BF166" s="14" t="e">
        <f t="shared" si="167"/>
        <v>#NUM!</v>
      </c>
      <c r="BG166" s="22" t="e">
        <f t="shared" si="168"/>
        <v>#NUM!</v>
      </c>
      <c r="BH166" s="58" t="e">
        <f t="shared" si="116"/>
        <v>#NUM!</v>
      </c>
      <c r="BI166" s="58">
        <f ca="1">AVERAGE(OFFSET($BH$3,0,0,'Données projet'!$E$11+1,1))-AVERAGE(OFFSET($H$3,0,0,'Données projet'!$E$11+1,1))</f>
        <v>218.76424742311815</v>
      </c>
      <c r="BJ166" s="58">
        <f t="shared" si="146"/>
        <v>264.34598683038593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0.16817919973654802</v>
      </c>
      <c r="BQ166" s="23">
        <f>EXP(-LN(2)/25)*BQ165+(1-EXP(-LN(2)/25))/(LN(2)/25)*Calculateur!BL166*Calculateur!BN166*VLOOKUP('Données projet'!$B$11,Paramètres!$A$1:$I$89,3,0)*0.475*44/12</f>
        <v>0.10926039902774423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0.27743959876429225</v>
      </c>
      <c r="BT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58" t="e">
        <f t="shared" si="119"/>
        <v>#NUM!</v>
      </c>
      <c r="CD166" s="58">
        <f ca="1">AVERAGE(OFFSET($CC$3,0,0,'Données projet'!$E$12+1,1))-AVERAGE(OFFSET($H$3,0,0,'Données projet'!$E$12+1,1))</f>
        <v>343.86347628565426</v>
      </c>
      <c r="CE166" s="58">
        <f t="shared" si="148"/>
        <v>129.28196646107097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58" t="e">
        <f t="shared" si="122"/>
        <v>#N/A</v>
      </c>
      <c r="CY166" s="58" t="e">
        <f ca="1">AVERAGE(OFFSET($CX$3,0,0,'Données projet'!$E$13+1,1))-AVERAGE(OFFSET($H$3,0,0,'Données projet'!$E$13+1,1))</f>
        <v>#N/A</v>
      </c>
      <c r="CZ166" s="58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5.4092197387944907E-14</v>
      </c>
      <c r="DQ166" s="14">
        <f t="shared" si="176"/>
        <v>8.7287050538073676E-13</v>
      </c>
      <c r="DR166" s="22">
        <f t="shared" si="177"/>
        <v>1.6144600406554537E-12</v>
      </c>
      <c r="DS166" s="58">
        <f t="shared" si="125"/>
        <v>293.33333333333491</v>
      </c>
      <c r="DT166" s="58">
        <f ca="1">AVERAGE(OFFSET($DS$3,0,0,'Données projet'!$E$14+1,1))-AVERAGE(OFFSET($H$3,0,0,'Données projet'!$E$14+1,1))</f>
        <v>332.49889399440514</v>
      </c>
      <c r="DU166" s="58">
        <f t="shared" si="152"/>
        <v>256.06044006790529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5.1159076974727213E-13</v>
      </c>
      <c r="EK166" s="18">
        <f>EJ166*VLOOKUP('Données projet'!$B$15,Paramètres!$A$1:$I$89,3,0)*VLOOKUP('Données projet'!$B$15,Paramètres!$A$1:$I$89,5,0)</f>
        <v>5.3471467253984886E-13</v>
      </c>
      <c r="EL166" s="14">
        <f t="shared" si="179"/>
        <v>6.6087717628803869E-12</v>
      </c>
      <c r="EM166" s="22">
        <f t="shared" si="180"/>
        <v>1.244157220835691E-11</v>
      </c>
      <c r="EN166" s="58">
        <f t="shared" si="128"/>
        <v>293.33333333334576</v>
      </c>
      <c r="EO166" s="58">
        <f ca="1">AVERAGE(OFFSET($EN$3,0,0,'Données projet'!$E$15+1,1))-AVERAGE(OFFSET($H$3,0,0,'Données projet'!$E$15+1,1))</f>
        <v>596.00698505207174</v>
      </c>
      <c r="EP166" s="58">
        <f t="shared" si="154"/>
        <v>378.16197659288338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2.2737367544323206E-13</v>
      </c>
      <c r="FF166" s="18">
        <f>FE166*VLOOKUP('Données projet'!$B$16,Paramètres!$A$1:$I$89,3,0)*VLOOKUP('Données projet'!$B$16,Paramètres!$A$1:$I$89,5,0)</f>
        <v>1.064108801074326E-13</v>
      </c>
      <c r="FG166" s="14">
        <f t="shared" si="182"/>
        <v>1.5870730813698654E-12</v>
      </c>
      <c r="FH166" s="22">
        <f t="shared" si="183"/>
        <v>2.9494845662396269E-12</v>
      </c>
      <c r="FI166" s="58">
        <f t="shared" si="131"/>
        <v>293.33333333333627</v>
      </c>
      <c r="FJ166" s="58">
        <f ca="1">AVERAGE(OFFSET($FI$3,0,0,'Données projet'!$E$16+1,1))-AVERAGE(OFFSET($H$3,0,0,'Données projet'!$E$16+1,1))</f>
        <v>294.31042006404056</v>
      </c>
      <c r="FK166" s="58">
        <f t="shared" si="156"/>
        <v>260.93767498478502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2.8421709430404007E-13</v>
      </c>
      <c r="GA166" s="18">
        <f>FZ166*VLOOKUP('Données projet'!$B$17,Paramètres!$A$1:$I$89,3,0)*VLOOKUP('Données projet'!$B$17,Paramètres!$A$1:$I$89,5,0)</f>
        <v>1.9065282685915009E-13</v>
      </c>
      <c r="GB166" s="14">
        <f t="shared" si="185"/>
        <v>2.6568987209435707E-12</v>
      </c>
      <c r="GC166" s="22">
        <f t="shared" si="186"/>
        <v>4.959485612423072E-12</v>
      </c>
      <c r="GD166" s="58">
        <f t="shared" si="134"/>
        <v>293.33333333333826</v>
      </c>
      <c r="GE166" s="58">
        <f ca="1">AVERAGE(OFFSET($GD$3,0,0,'Données projet'!$E$17+1,1))-AVERAGE(OFFSET($H$3,0,0,'Données projet'!$E$17+1,1))</f>
        <v>362.1372269575329</v>
      </c>
      <c r="GF166" s="58">
        <f t="shared" si="158"/>
        <v>308.1559670593121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58" t="e">
        <f t="shared" si="137"/>
        <v>#N/A</v>
      </c>
      <c r="GZ166" s="58" t="e">
        <f ca="1">AVERAGE(OFFSET($GY$3,0,0,'Données projet'!$E$18+1,1))-AVERAGE(OFFSET($H$3,0,0,'Données projet'!$E$18+1,1))</f>
        <v>#N/A</v>
      </c>
      <c r="HA166" s="58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0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3">
        <f t="shared" si="110"/>
        <v>256.66666666666669</v>
      </c>
      <c r="I167" s="6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-2.8421709430404007E-13</v>
      </c>
      <c r="O167" s="14">
        <f>N167*VLOOKUP('Données projet'!$B$9,Paramètres!$A$1:$I$89,3,0)*VLOOKUP('Données projet'!$B$9,Paramètres!$A$1:$I$89,5,0)</f>
        <v>-2.8819613362429665E-13</v>
      </c>
      <c r="P167" s="14" t="e">
        <f t="shared" si="141"/>
        <v>#NUM!</v>
      </c>
      <c r="Q167" s="22" t="e">
        <f t="shared" si="162"/>
        <v>#NUM!</v>
      </c>
      <c r="R167" s="58" t="e">
        <f t="shared" si="109"/>
        <v>#NUM!</v>
      </c>
      <c r="S167" s="58">
        <f ca="1">AVERAGE(OFFSET($R$3,0,0,'Données projet'!$E$9+1,1))-AVERAGE(OFFSET($H$3,0,0,'Données projet'!$E$9+1,1))</f>
        <v>483.15009705023641</v>
      </c>
      <c r="T167" s="58">
        <f t="shared" si="142"/>
        <v>254.25036207346591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-2.8421709430404007E-13</v>
      </c>
      <c r="AJ167" s="14">
        <f>AI167*VLOOKUP('Données projet'!$B$10,Paramètres!$A$1:$I$89,3,0)*VLOOKUP('Données projet'!$B$10,Paramètres!$A$1:$I$89,5,0)</f>
        <v>-2.5715962692629546E-13</v>
      </c>
      <c r="AK167" s="14" t="e">
        <f t="shared" si="164"/>
        <v>#NUM!</v>
      </c>
      <c r="AL167" s="22" t="e">
        <f t="shared" si="165"/>
        <v>#NUM!</v>
      </c>
      <c r="AM167" s="58" t="e">
        <f t="shared" si="113"/>
        <v>#NUM!</v>
      </c>
      <c r="AN167" s="58">
        <f ca="1">AVERAGE(OFFSET($AM$3,0,0,'Données projet'!$E$10+1,1))-AVERAGE(OFFSET($H$3,0,0,'Données projet'!$E$10+1,1))</f>
        <v>435.7095890216213</v>
      </c>
      <c r="AO167" s="58">
        <f t="shared" si="144"/>
        <v>231.36959598460686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-4.9658410716801891E-14</v>
      </c>
      <c r="BF167" s="14" t="e">
        <f t="shared" si="167"/>
        <v>#NUM!</v>
      </c>
      <c r="BG167" s="22" t="e">
        <f t="shared" si="168"/>
        <v>#NUM!</v>
      </c>
      <c r="BH167" s="58" t="e">
        <f t="shared" si="116"/>
        <v>#NUM!</v>
      </c>
      <c r="BI167" s="58">
        <f ca="1">AVERAGE(OFFSET($BH$3,0,0,'Données projet'!$E$11+1,1))-AVERAGE(OFFSET($H$3,0,0,'Données projet'!$E$11+1,1))</f>
        <v>218.76424742311815</v>
      </c>
      <c r="BJ167" s="58">
        <f t="shared" si="146"/>
        <v>264.34598683038593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0.16488130820889729</v>
      </c>
      <c r="BQ167" s="23">
        <f>EXP(-LN(2)/25)*BQ166+(1-EXP(-LN(2)/25))/(LN(2)/25)*Calculateur!BL167*Calculateur!BN167*VLOOKUP('Données projet'!$B$11,Paramètres!$A$1:$I$89,3,0)*0.475*44/12</f>
        <v>0.1062726676705759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0.27115397587947321</v>
      </c>
      <c r="BT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58" t="e">
        <f t="shared" si="119"/>
        <v>#NUM!</v>
      </c>
      <c r="CD167" s="58">
        <f ca="1">AVERAGE(OFFSET($CC$3,0,0,'Données projet'!$E$12+1,1))-AVERAGE(OFFSET($H$3,0,0,'Données projet'!$E$12+1,1))</f>
        <v>343.86347628565426</v>
      </c>
      <c r="CE167" s="58">
        <f t="shared" si="148"/>
        <v>129.28196646107097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58" t="e">
        <f t="shared" si="122"/>
        <v>#N/A</v>
      </c>
      <c r="CY167" s="58" t="e">
        <f ca="1">AVERAGE(OFFSET($CX$3,0,0,'Données projet'!$E$13+1,1))-AVERAGE(OFFSET($H$3,0,0,'Données projet'!$E$13+1,1))</f>
        <v>#N/A</v>
      </c>
      <c r="CZ167" s="58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5.4092197387944907E-14</v>
      </c>
      <c r="DQ167" s="14">
        <f t="shared" si="176"/>
        <v>8.7287050538073676E-13</v>
      </c>
      <c r="DR167" s="22">
        <f t="shared" si="177"/>
        <v>1.6144600406554537E-12</v>
      </c>
      <c r="DS167" s="58">
        <f t="shared" si="125"/>
        <v>293.33333333333491</v>
      </c>
      <c r="DT167" s="58">
        <f ca="1">AVERAGE(OFFSET($DS$3,0,0,'Données projet'!$E$14+1,1))-AVERAGE(OFFSET($H$3,0,0,'Données projet'!$E$14+1,1))</f>
        <v>332.49889399440514</v>
      </c>
      <c r="DU167" s="58">
        <f t="shared" si="152"/>
        <v>256.06044006790529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5.1159076974727213E-13</v>
      </c>
      <c r="EK167" s="18">
        <f>EJ167*VLOOKUP('Données projet'!$B$15,Paramètres!$A$1:$I$89,3,0)*VLOOKUP('Données projet'!$B$15,Paramètres!$A$1:$I$89,5,0)</f>
        <v>5.3471467253984886E-13</v>
      </c>
      <c r="EL167" s="14">
        <f t="shared" si="179"/>
        <v>6.6087717628803869E-12</v>
      </c>
      <c r="EM167" s="22">
        <f t="shared" si="180"/>
        <v>1.244157220835691E-11</v>
      </c>
      <c r="EN167" s="58">
        <f t="shared" si="128"/>
        <v>293.33333333334576</v>
      </c>
      <c r="EO167" s="58">
        <f ca="1">AVERAGE(OFFSET($EN$3,0,0,'Données projet'!$E$15+1,1))-AVERAGE(OFFSET($H$3,0,0,'Données projet'!$E$15+1,1))</f>
        <v>596.00698505207174</v>
      </c>
      <c r="EP167" s="58">
        <f t="shared" si="154"/>
        <v>378.16197659288338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2.2737367544323206E-13</v>
      </c>
      <c r="FF167" s="18">
        <f>FE167*VLOOKUP('Données projet'!$B$16,Paramètres!$A$1:$I$89,3,0)*VLOOKUP('Données projet'!$B$16,Paramètres!$A$1:$I$89,5,0)</f>
        <v>1.064108801074326E-13</v>
      </c>
      <c r="FG167" s="14">
        <f t="shared" si="182"/>
        <v>1.5870730813698654E-12</v>
      </c>
      <c r="FH167" s="22">
        <f t="shared" si="183"/>
        <v>2.9494845662396269E-12</v>
      </c>
      <c r="FI167" s="58">
        <f t="shared" si="131"/>
        <v>293.33333333333627</v>
      </c>
      <c r="FJ167" s="58">
        <f ca="1">AVERAGE(OFFSET($FI$3,0,0,'Données projet'!$E$16+1,1))-AVERAGE(OFFSET($H$3,0,0,'Données projet'!$E$16+1,1))</f>
        <v>294.31042006404056</v>
      </c>
      <c r="FK167" s="58">
        <f t="shared" si="156"/>
        <v>260.93767498478502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2.8421709430404007E-13</v>
      </c>
      <c r="GA167" s="18">
        <f>FZ167*VLOOKUP('Données projet'!$B$17,Paramètres!$A$1:$I$89,3,0)*VLOOKUP('Données projet'!$B$17,Paramètres!$A$1:$I$89,5,0)</f>
        <v>1.9065282685915009E-13</v>
      </c>
      <c r="GB167" s="14">
        <f t="shared" si="185"/>
        <v>2.6568987209435707E-12</v>
      </c>
      <c r="GC167" s="22">
        <f t="shared" si="186"/>
        <v>4.959485612423072E-12</v>
      </c>
      <c r="GD167" s="58">
        <f t="shared" si="134"/>
        <v>293.33333333333826</v>
      </c>
      <c r="GE167" s="58">
        <f ca="1">AVERAGE(OFFSET($GD$3,0,0,'Données projet'!$E$17+1,1))-AVERAGE(OFFSET($H$3,0,0,'Données projet'!$E$17+1,1))</f>
        <v>362.1372269575329</v>
      </c>
      <c r="GF167" s="58">
        <f t="shared" si="158"/>
        <v>308.1559670593121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58" t="e">
        <f t="shared" si="137"/>
        <v>#N/A</v>
      </c>
      <c r="GZ167" s="58" t="e">
        <f ca="1">AVERAGE(OFFSET($GY$3,0,0,'Données projet'!$E$18+1,1))-AVERAGE(OFFSET($H$3,0,0,'Données projet'!$E$18+1,1))</f>
        <v>#N/A</v>
      </c>
      <c r="HA167" s="58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0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3">
        <f t="shared" si="110"/>
        <v>256.66666666666669</v>
      </c>
      <c r="I168" s="6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-2.8421709430404007E-13</v>
      </c>
      <c r="O168" s="14">
        <f>N168*VLOOKUP('Données projet'!$B$9,Paramètres!$A$1:$I$89,3,0)*VLOOKUP('Données projet'!$B$9,Paramètres!$A$1:$I$89,5,0)</f>
        <v>-2.8819613362429665E-13</v>
      </c>
      <c r="P168" s="14" t="e">
        <f t="shared" si="141"/>
        <v>#NUM!</v>
      </c>
      <c r="Q168" s="22" t="e">
        <f t="shared" si="162"/>
        <v>#NUM!</v>
      </c>
      <c r="R168" s="58" t="e">
        <f t="shared" si="109"/>
        <v>#NUM!</v>
      </c>
      <c r="S168" s="58">
        <f ca="1">AVERAGE(OFFSET($R$3,0,0,'Données projet'!$E$9+1,1))-AVERAGE(OFFSET($H$3,0,0,'Données projet'!$E$9+1,1))</f>
        <v>483.15009705023641</v>
      </c>
      <c r="T168" s="58">
        <f t="shared" si="142"/>
        <v>254.25036207346591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-2.8421709430404007E-13</v>
      </c>
      <c r="AJ168" s="14">
        <f>AI168*VLOOKUP('Données projet'!$B$10,Paramètres!$A$1:$I$89,3,0)*VLOOKUP('Données projet'!$B$10,Paramètres!$A$1:$I$89,5,0)</f>
        <v>-2.5715962692629546E-13</v>
      </c>
      <c r="AK168" s="14" t="e">
        <f t="shared" si="164"/>
        <v>#NUM!</v>
      </c>
      <c r="AL168" s="22" t="e">
        <f t="shared" si="165"/>
        <v>#NUM!</v>
      </c>
      <c r="AM168" s="58" t="e">
        <f t="shared" si="113"/>
        <v>#NUM!</v>
      </c>
      <c r="AN168" s="58">
        <f ca="1">AVERAGE(OFFSET($AM$3,0,0,'Données projet'!$E$10+1,1))-AVERAGE(OFFSET($H$3,0,0,'Données projet'!$E$10+1,1))</f>
        <v>435.7095890216213</v>
      </c>
      <c r="AO168" s="58">
        <f t="shared" si="144"/>
        <v>231.36959598460686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-4.9658410716801891E-14</v>
      </c>
      <c r="BF168" s="14" t="e">
        <f t="shared" si="167"/>
        <v>#NUM!</v>
      </c>
      <c r="BG168" s="22" t="e">
        <f t="shared" si="168"/>
        <v>#NUM!</v>
      </c>
      <c r="BH168" s="58" t="e">
        <f t="shared" si="116"/>
        <v>#NUM!</v>
      </c>
      <c r="BI168" s="58">
        <f ca="1">AVERAGE(OFFSET($BH$3,0,0,'Données projet'!$E$11+1,1))-AVERAGE(OFFSET($H$3,0,0,'Données projet'!$E$11+1,1))</f>
        <v>218.76424742311815</v>
      </c>
      <c r="BJ168" s="58">
        <f t="shared" si="146"/>
        <v>264.34598683038593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0.16164808632258859</v>
      </c>
      <c r="BQ168" s="23">
        <f>EXP(-LN(2)/25)*BQ167+(1-EXP(-LN(2)/25))/(LN(2)/25)*Calculateur!BL168*Calculateur!BN168*VLOOKUP('Données projet'!$B$11,Paramètres!$A$1:$I$89,3,0)*0.475*44/12</f>
        <v>0.1033666359844873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0.2650147223070759</v>
      </c>
      <c r="BT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58" t="e">
        <f t="shared" si="119"/>
        <v>#NUM!</v>
      </c>
      <c r="CD168" s="58">
        <f ca="1">AVERAGE(OFFSET($CC$3,0,0,'Données projet'!$E$12+1,1))-AVERAGE(OFFSET($H$3,0,0,'Données projet'!$E$12+1,1))</f>
        <v>343.86347628565426</v>
      </c>
      <c r="CE168" s="58">
        <f t="shared" si="148"/>
        <v>129.28196646107097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58" t="e">
        <f t="shared" si="122"/>
        <v>#N/A</v>
      </c>
      <c r="CY168" s="58" t="e">
        <f ca="1">AVERAGE(OFFSET($CX$3,0,0,'Données projet'!$E$13+1,1))-AVERAGE(OFFSET($H$3,0,0,'Données projet'!$E$13+1,1))</f>
        <v>#N/A</v>
      </c>
      <c r="CZ168" s="58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5.4092197387944907E-14</v>
      </c>
      <c r="DQ168" s="14">
        <f t="shared" si="176"/>
        <v>8.7287050538073676E-13</v>
      </c>
      <c r="DR168" s="22">
        <f t="shared" si="177"/>
        <v>1.6144600406554537E-12</v>
      </c>
      <c r="DS168" s="58">
        <f t="shared" si="125"/>
        <v>293.33333333333491</v>
      </c>
      <c r="DT168" s="58">
        <f ca="1">AVERAGE(OFFSET($DS$3,0,0,'Données projet'!$E$14+1,1))-AVERAGE(OFFSET($H$3,0,0,'Données projet'!$E$14+1,1))</f>
        <v>332.49889399440514</v>
      </c>
      <c r="DU168" s="58">
        <f t="shared" si="152"/>
        <v>256.06044006790529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5.1159076974727213E-13</v>
      </c>
      <c r="EK168" s="18">
        <f>EJ168*VLOOKUP('Données projet'!$B$15,Paramètres!$A$1:$I$89,3,0)*VLOOKUP('Données projet'!$B$15,Paramètres!$A$1:$I$89,5,0)</f>
        <v>5.3471467253984886E-13</v>
      </c>
      <c r="EL168" s="14">
        <f t="shared" si="179"/>
        <v>6.6087717628803869E-12</v>
      </c>
      <c r="EM168" s="22">
        <f t="shared" si="180"/>
        <v>1.244157220835691E-11</v>
      </c>
      <c r="EN168" s="58">
        <f t="shared" si="128"/>
        <v>293.33333333334576</v>
      </c>
      <c r="EO168" s="58">
        <f ca="1">AVERAGE(OFFSET($EN$3,0,0,'Données projet'!$E$15+1,1))-AVERAGE(OFFSET($H$3,0,0,'Données projet'!$E$15+1,1))</f>
        <v>596.00698505207174</v>
      </c>
      <c r="EP168" s="58">
        <f t="shared" si="154"/>
        <v>378.16197659288338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2.2737367544323206E-13</v>
      </c>
      <c r="FF168" s="18">
        <f>FE168*VLOOKUP('Données projet'!$B$16,Paramètres!$A$1:$I$89,3,0)*VLOOKUP('Données projet'!$B$16,Paramètres!$A$1:$I$89,5,0)</f>
        <v>1.064108801074326E-13</v>
      </c>
      <c r="FG168" s="14">
        <f t="shared" si="182"/>
        <v>1.5870730813698654E-12</v>
      </c>
      <c r="FH168" s="22">
        <f t="shared" si="183"/>
        <v>2.9494845662396269E-12</v>
      </c>
      <c r="FI168" s="58">
        <f t="shared" si="131"/>
        <v>293.33333333333627</v>
      </c>
      <c r="FJ168" s="58">
        <f ca="1">AVERAGE(OFFSET($FI$3,0,0,'Données projet'!$E$16+1,1))-AVERAGE(OFFSET($H$3,0,0,'Données projet'!$E$16+1,1))</f>
        <v>294.31042006404056</v>
      </c>
      <c r="FK168" s="58">
        <f t="shared" si="156"/>
        <v>260.93767498478502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2.8421709430404007E-13</v>
      </c>
      <c r="GA168" s="18">
        <f>FZ168*VLOOKUP('Données projet'!$B$17,Paramètres!$A$1:$I$89,3,0)*VLOOKUP('Données projet'!$B$17,Paramètres!$A$1:$I$89,5,0)</f>
        <v>1.9065282685915009E-13</v>
      </c>
      <c r="GB168" s="14">
        <f t="shared" si="185"/>
        <v>2.6568987209435707E-12</v>
      </c>
      <c r="GC168" s="22">
        <f t="shared" si="186"/>
        <v>4.959485612423072E-12</v>
      </c>
      <c r="GD168" s="58">
        <f t="shared" si="134"/>
        <v>293.33333333333826</v>
      </c>
      <c r="GE168" s="58">
        <f ca="1">AVERAGE(OFFSET($GD$3,0,0,'Données projet'!$E$17+1,1))-AVERAGE(OFFSET($H$3,0,0,'Données projet'!$E$17+1,1))</f>
        <v>362.1372269575329</v>
      </c>
      <c r="GF168" s="58">
        <f t="shared" si="158"/>
        <v>308.1559670593121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58" t="e">
        <f t="shared" si="137"/>
        <v>#N/A</v>
      </c>
      <c r="GZ168" s="58" t="e">
        <f ca="1">AVERAGE(OFFSET($GY$3,0,0,'Données projet'!$E$18+1,1))-AVERAGE(OFFSET($H$3,0,0,'Données projet'!$E$18+1,1))</f>
        <v>#N/A</v>
      </c>
      <c r="HA168" s="58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0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3">
        <f t="shared" si="110"/>
        <v>256.66666666666669</v>
      </c>
      <c r="I169" s="6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-2.8421709430404007E-13</v>
      </c>
      <c r="O169" s="14">
        <f>N169*VLOOKUP('Données projet'!$B$9,Paramètres!$A$1:$I$89,3,0)*VLOOKUP('Données projet'!$B$9,Paramètres!$A$1:$I$89,5,0)</f>
        <v>-2.8819613362429665E-13</v>
      </c>
      <c r="P169" s="14" t="e">
        <f t="shared" si="141"/>
        <v>#NUM!</v>
      </c>
      <c r="Q169" s="22" t="e">
        <f t="shared" si="162"/>
        <v>#NUM!</v>
      </c>
      <c r="R169" s="58" t="e">
        <f t="shared" si="109"/>
        <v>#NUM!</v>
      </c>
      <c r="S169" s="58">
        <f ca="1">AVERAGE(OFFSET($R$3,0,0,'Données projet'!$E$9+1,1))-AVERAGE(OFFSET($H$3,0,0,'Données projet'!$E$9+1,1))</f>
        <v>483.15009705023641</v>
      </c>
      <c r="T169" s="58">
        <f t="shared" si="142"/>
        <v>254.25036207346591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-2.8421709430404007E-13</v>
      </c>
      <c r="AJ169" s="14">
        <f>AI169*VLOOKUP('Données projet'!$B$10,Paramètres!$A$1:$I$89,3,0)*VLOOKUP('Données projet'!$B$10,Paramètres!$A$1:$I$89,5,0)</f>
        <v>-2.5715962692629546E-13</v>
      </c>
      <c r="AK169" s="14" t="e">
        <f t="shared" si="164"/>
        <v>#NUM!</v>
      </c>
      <c r="AL169" s="22" t="e">
        <f t="shared" si="165"/>
        <v>#NUM!</v>
      </c>
      <c r="AM169" s="58" t="e">
        <f t="shared" si="113"/>
        <v>#NUM!</v>
      </c>
      <c r="AN169" s="58">
        <f ca="1">AVERAGE(OFFSET($AM$3,0,0,'Données projet'!$E$10+1,1))-AVERAGE(OFFSET($H$3,0,0,'Données projet'!$E$10+1,1))</f>
        <v>435.7095890216213</v>
      </c>
      <c r="AO169" s="58">
        <f t="shared" si="144"/>
        <v>231.36959598460686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-4.9658410716801891E-14</v>
      </c>
      <c r="BF169" s="14" t="e">
        <f t="shared" si="167"/>
        <v>#NUM!</v>
      </c>
      <c r="BG169" s="22" t="e">
        <f t="shared" si="168"/>
        <v>#NUM!</v>
      </c>
      <c r="BH169" s="58" t="e">
        <f t="shared" si="116"/>
        <v>#NUM!</v>
      </c>
      <c r="BI169" s="58">
        <f ca="1">AVERAGE(OFFSET($BH$3,0,0,'Données projet'!$E$11+1,1))-AVERAGE(OFFSET($H$3,0,0,'Données projet'!$E$11+1,1))</f>
        <v>218.76424742311815</v>
      </c>
      <c r="BJ169" s="58">
        <f t="shared" si="146"/>
        <v>264.34598683038593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0.15847826594539977</v>
      </c>
      <c r="BQ169" s="23">
        <f>EXP(-LN(2)/25)*BQ168+(1-EXP(-LN(2)/25))/(LN(2)/25)*Calculateur!BL169*Calculateur!BN169*VLOOKUP('Données projet'!$B$11,Paramètres!$A$1:$I$89,3,0)*0.475*44/12</f>
        <v>0.10054006988767634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0.2590183358330761</v>
      </c>
      <c r="BT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58" t="e">
        <f t="shared" si="119"/>
        <v>#NUM!</v>
      </c>
      <c r="CD169" s="58">
        <f ca="1">AVERAGE(OFFSET($CC$3,0,0,'Données projet'!$E$12+1,1))-AVERAGE(OFFSET($H$3,0,0,'Données projet'!$E$12+1,1))</f>
        <v>343.86347628565426</v>
      </c>
      <c r="CE169" s="58">
        <f t="shared" si="148"/>
        <v>129.28196646107097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58" t="e">
        <f t="shared" si="122"/>
        <v>#N/A</v>
      </c>
      <c r="CY169" s="58" t="e">
        <f ca="1">AVERAGE(OFFSET($CX$3,0,0,'Données projet'!$E$13+1,1))-AVERAGE(OFFSET($H$3,0,0,'Données projet'!$E$13+1,1))</f>
        <v>#N/A</v>
      </c>
      <c r="CZ169" s="58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5.4092197387944907E-14</v>
      </c>
      <c r="DQ169" s="14">
        <f t="shared" si="176"/>
        <v>8.7287050538073676E-13</v>
      </c>
      <c r="DR169" s="22">
        <f t="shared" si="177"/>
        <v>1.6144600406554537E-12</v>
      </c>
      <c r="DS169" s="58">
        <f t="shared" si="125"/>
        <v>293.33333333333491</v>
      </c>
      <c r="DT169" s="58">
        <f ca="1">AVERAGE(OFFSET($DS$3,0,0,'Données projet'!$E$14+1,1))-AVERAGE(OFFSET($H$3,0,0,'Données projet'!$E$14+1,1))</f>
        <v>332.49889399440514</v>
      </c>
      <c r="DU169" s="58">
        <f t="shared" si="152"/>
        <v>256.06044006790529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5.1159076974727213E-13</v>
      </c>
      <c r="EK169" s="18">
        <f>EJ169*VLOOKUP('Données projet'!$B$15,Paramètres!$A$1:$I$89,3,0)*VLOOKUP('Données projet'!$B$15,Paramètres!$A$1:$I$89,5,0)</f>
        <v>5.3471467253984886E-13</v>
      </c>
      <c r="EL169" s="14">
        <f t="shared" si="179"/>
        <v>6.6087717628803869E-12</v>
      </c>
      <c r="EM169" s="22">
        <f t="shared" si="180"/>
        <v>1.244157220835691E-11</v>
      </c>
      <c r="EN169" s="58">
        <f t="shared" si="128"/>
        <v>293.33333333334576</v>
      </c>
      <c r="EO169" s="58">
        <f ca="1">AVERAGE(OFFSET($EN$3,0,0,'Données projet'!$E$15+1,1))-AVERAGE(OFFSET($H$3,0,0,'Données projet'!$E$15+1,1))</f>
        <v>596.00698505207174</v>
      </c>
      <c r="EP169" s="58">
        <f t="shared" si="154"/>
        <v>378.16197659288338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2.2737367544323206E-13</v>
      </c>
      <c r="FF169" s="18">
        <f>FE169*VLOOKUP('Données projet'!$B$16,Paramètres!$A$1:$I$89,3,0)*VLOOKUP('Données projet'!$B$16,Paramètres!$A$1:$I$89,5,0)</f>
        <v>1.064108801074326E-13</v>
      </c>
      <c r="FG169" s="14">
        <f t="shared" si="182"/>
        <v>1.5870730813698654E-12</v>
      </c>
      <c r="FH169" s="22">
        <f t="shared" si="183"/>
        <v>2.9494845662396269E-12</v>
      </c>
      <c r="FI169" s="58">
        <f t="shared" si="131"/>
        <v>293.33333333333627</v>
      </c>
      <c r="FJ169" s="58">
        <f ca="1">AVERAGE(OFFSET($FI$3,0,0,'Données projet'!$E$16+1,1))-AVERAGE(OFFSET($H$3,0,0,'Données projet'!$E$16+1,1))</f>
        <v>294.31042006404056</v>
      </c>
      <c r="FK169" s="58">
        <f t="shared" si="156"/>
        <v>260.93767498478502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2.8421709430404007E-13</v>
      </c>
      <c r="GA169" s="18">
        <f>FZ169*VLOOKUP('Données projet'!$B$17,Paramètres!$A$1:$I$89,3,0)*VLOOKUP('Données projet'!$B$17,Paramètres!$A$1:$I$89,5,0)</f>
        <v>1.9065282685915009E-13</v>
      </c>
      <c r="GB169" s="14">
        <f t="shared" si="185"/>
        <v>2.6568987209435707E-12</v>
      </c>
      <c r="GC169" s="22">
        <f t="shared" si="186"/>
        <v>4.959485612423072E-12</v>
      </c>
      <c r="GD169" s="58">
        <f t="shared" si="134"/>
        <v>293.33333333333826</v>
      </c>
      <c r="GE169" s="58">
        <f ca="1">AVERAGE(OFFSET($GD$3,0,0,'Données projet'!$E$17+1,1))-AVERAGE(OFFSET($H$3,0,0,'Données projet'!$E$17+1,1))</f>
        <v>362.1372269575329</v>
      </c>
      <c r="GF169" s="58">
        <f t="shared" si="158"/>
        <v>308.1559670593121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58" t="e">
        <f t="shared" si="137"/>
        <v>#N/A</v>
      </c>
      <c r="GZ169" s="58" t="e">
        <f ca="1">AVERAGE(OFFSET($GY$3,0,0,'Données projet'!$E$18+1,1))-AVERAGE(OFFSET($H$3,0,0,'Données projet'!$E$18+1,1))</f>
        <v>#N/A</v>
      </c>
      <c r="HA169" s="58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0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3">
        <f t="shared" si="110"/>
        <v>256.66666666666669</v>
      </c>
      <c r="I170" s="6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-2.8421709430404007E-13</v>
      </c>
      <c r="O170" s="14">
        <f>N170*VLOOKUP('Données projet'!$B$9,Paramètres!$A$1:$I$89,3,0)*VLOOKUP('Données projet'!$B$9,Paramètres!$A$1:$I$89,5,0)</f>
        <v>-2.8819613362429665E-13</v>
      </c>
      <c r="P170" s="14" t="e">
        <f t="shared" si="141"/>
        <v>#NUM!</v>
      </c>
      <c r="Q170" s="22" t="e">
        <f t="shared" si="162"/>
        <v>#NUM!</v>
      </c>
      <c r="R170" s="58" t="e">
        <f t="shared" si="109"/>
        <v>#NUM!</v>
      </c>
      <c r="S170" s="58">
        <f ca="1">AVERAGE(OFFSET($R$3,0,0,'Données projet'!$E$9+1,1))-AVERAGE(OFFSET($H$3,0,0,'Données projet'!$E$9+1,1))</f>
        <v>483.15009705023641</v>
      </c>
      <c r="T170" s="58">
        <f t="shared" si="142"/>
        <v>254.25036207346591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-2.8421709430404007E-13</v>
      </c>
      <c r="AJ170" s="14">
        <f>AI170*VLOOKUP('Données projet'!$B$10,Paramètres!$A$1:$I$89,3,0)*VLOOKUP('Données projet'!$B$10,Paramètres!$A$1:$I$89,5,0)</f>
        <v>-2.5715962692629546E-13</v>
      </c>
      <c r="AK170" s="14" t="e">
        <f t="shared" si="164"/>
        <v>#NUM!</v>
      </c>
      <c r="AL170" s="22" t="e">
        <f t="shared" si="165"/>
        <v>#NUM!</v>
      </c>
      <c r="AM170" s="58" t="e">
        <f t="shared" si="113"/>
        <v>#NUM!</v>
      </c>
      <c r="AN170" s="58">
        <f ca="1">AVERAGE(OFFSET($AM$3,0,0,'Données projet'!$E$10+1,1))-AVERAGE(OFFSET($H$3,0,0,'Données projet'!$E$10+1,1))</f>
        <v>435.7095890216213</v>
      </c>
      <c r="AO170" s="58">
        <f t="shared" si="144"/>
        <v>231.36959598460686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-4.9658410716801891E-14</v>
      </c>
      <c r="BF170" s="14" t="e">
        <f t="shared" si="167"/>
        <v>#NUM!</v>
      </c>
      <c r="BG170" s="22" t="e">
        <f t="shared" si="168"/>
        <v>#NUM!</v>
      </c>
      <c r="BH170" s="58" t="e">
        <f t="shared" si="116"/>
        <v>#NUM!</v>
      </c>
      <c r="BI170" s="58">
        <f ca="1">AVERAGE(OFFSET($BH$3,0,0,'Données projet'!$E$11+1,1))-AVERAGE(OFFSET($H$3,0,0,'Données projet'!$E$11+1,1))</f>
        <v>218.76424742311815</v>
      </c>
      <c r="BJ170" s="58">
        <f t="shared" si="146"/>
        <v>264.34598683038593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0.15537060381240811</v>
      </c>
      <c r="BQ170" s="23">
        <f>EXP(-LN(2)/25)*BQ169+(1-EXP(-LN(2)/25))/(LN(2)/25)*Calculateur!BL170*Calculateur!BN170*VLOOKUP('Données projet'!$B$11,Paramètres!$A$1:$I$89,3,0)*0.475*44/12</f>
        <v>9.7790796389425352E-2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0.25316140020183348</v>
      </c>
      <c r="BT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58" t="e">
        <f t="shared" si="119"/>
        <v>#NUM!</v>
      </c>
      <c r="CD170" s="58">
        <f ca="1">AVERAGE(OFFSET($CC$3,0,0,'Données projet'!$E$12+1,1))-AVERAGE(OFFSET($H$3,0,0,'Données projet'!$E$12+1,1))</f>
        <v>343.86347628565426</v>
      </c>
      <c r="CE170" s="58">
        <f t="shared" si="148"/>
        <v>129.28196646107097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58" t="e">
        <f t="shared" si="122"/>
        <v>#N/A</v>
      </c>
      <c r="CY170" s="58" t="e">
        <f ca="1">AVERAGE(OFFSET($CX$3,0,0,'Données projet'!$E$13+1,1))-AVERAGE(OFFSET($H$3,0,0,'Données projet'!$E$13+1,1))</f>
        <v>#N/A</v>
      </c>
      <c r="CZ170" s="58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5.4092197387944907E-14</v>
      </c>
      <c r="DQ170" s="14">
        <f t="shared" si="176"/>
        <v>8.7287050538073676E-13</v>
      </c>
      <c r="DR170" s="22">
        <f t="shared" si="177"/>
        <v>1.6144600406554537E-12</v>
      </c>
      <c r="DS170" s="58">
        <f t="shared" si="125"/>
        <v>293.33333333333491</v>
      </c>
      <c r="DT170" s="58">
        <f ca="1">AVERAGE(OFFSET($DS$3,0,0,'Données projet'!$E$14+1,1))-AVERAGE(OFFSET($H$3,0,0,'Données projet'!$E$14+1,1))</f>
        <v>332.49889399440514</v>
      </c>
      <c r="DU170" s="58">
        <f t="shared" si="152"/>
        <v>256.06044006790529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5.1159076974727213E-13</v>
      </c>
      <c r="EK170" s="18">
        <f>EJ170*VLOOKUP('Données projet'!$B$15,Paramètres!$A$1:$I$89,3,0)*VLOOKUP('Données projet'!$B$15,Paramètres!$A$1:$I$89,5,0)</f>
        <v>5.3471467253984886E-13</v>
      </c>
      <c r="EL170" s="14">
        <f t="shared" si="179"/>
        <v>6.6087717628803869E-12</v>
      </c>
      <c r="EM170" s="22">
        <f t="shared" si="180"/>
        <v>1.244157220835691E-11</v>
      </c>
      <c r="EN170" s="58">
        <f t="shared" si="128"/>
        <v>293.33333333334576</v>
      </c>
      <c r="EO170" s="58">
        <f ca="1">AVERAGE(OFFSET($EN$3,0,0,'Données projet'!$E$15+1,1))-AVERAGE(OFFSET($H$3,0,0,'Données projet'!$E$15+1,1))</f>
        <v>596.00698505207174</v>
      </c>
      <c r="EP170" s="58">
        <f t="shared" si="154"/>
        <v>378.16197659288338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2.2737367544323206E-13</v>
      </c>
      <c r="FF170" s="18">
        <f>FE170*VLOOKUP('Données projet'!$B$16,Paramètres!$A$1:$I$89,3,0)*VLOOKUP('Données projet'!$B$16,Paramètres!$A$1:$I$89,5,0)</f>
        <v>1.064108801074326E-13</v>
      </c>
      <c r="FG170" s="14">
        <f t="shared" si="182"/>
        <v>1.5870730813698654E-12</v>
      </c>
      <c r="FH170" s="22">
        <f t="shared" si="183"/>
        <v>2.9494845662396269E-12</v>
      </c>
      <c r="FI170" s="58">
        <f t="shared" si="131"/>
        <v>293.33333333333627</v>
      </c>
      <c r="FJ170" s="58">
        <f ca="1">AVERAGE(OFFSET($FI$3,0,0,'Données projet'!$E$16+1,1))-AVERAGE(OFFSET($H$3,0,0,'Données projet'!$E$16+1,1))</f>
        <v>294.31042006404056</v>
      </c>
      <c r="FK170" s="58">
        <f t="shared" si="156"/>
        <v>260.93767498478502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2.8421709430404007E-13</v>
      </c>
      <c r="GA170" s="18">
        <f>FZ170*VLOOKUP('Données projet'!$B$17,Paramètres!$A$1:$I$89,3,0)*VLOOKUP('Données projet'!$B$17,Paramètres!$A$1:$I$89,5,0)</f>
        <v>1.9065282685915009E-13</v>
      </c>
      <c r="GB170" s="14">
        <f t="shared" si="185"/>
        <v>2.6568987209435707E-12</v>
      </c>
      <c r="GC170" s="22">
        <f t="shared" si="186"/>
        <v>4.959485612423072E-12</v>
      </c>
      <c r="GD170" s="58">
        <f t="shared" si="134"/>
        <v>293.33333333333826</v>
      </c>
      <c r="GE170" s="58">
        <f ca="1">AVERAGE(OFFSET($GD$3,0,0,'Données projet'!$E$17+1,1))-AVERAGE(OFFSET($H$3,0,0,'Données projet'!$E$17+1,1))</f>
        <v>362.1372269575329</v>
      </c>
      <c r="GF170" s="58">
        <f t="shared" si="158"/>
        <v>308.1559670593121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58" t="e">
        <f t="shared" si="137"/>
        <v>#N/A</v>
      </c>
      <c r="GZ170" s="58" t="e">
        <f ca="1">AVERAGE(OFFSET($GY$3,0,0,'Données projet'!$E$18+1,1))-AVERAGE(OFFSET($H$3,0,0,'Données projet'!$E$18+1,1))</f>
        <v>#N/A</v>
      </c>
      <c r="HA170" s="58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0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3">
        <f t="shared" si="110"/>
        <v>256.66666666666669</v>
      </c>
      <c r="I171" s="6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-2.8421709430404007E-13</v>
      </c>
      <c r="O171" s="14">
        <f>N171*VLOOKUP('Données projet'!$B$9,Paramètres!$A$1:$I$89,3,0)*VLOOKUP('Données projet'!$B$9,Paramètres!$A$1:$I$89,5,0)</f>
        <v>-2.8819613362429665E-13</v>
      </c>
      <c r="P171" s="14" t="e">
        <f t="shared" si="141"/>
        <v>#NUM!</v>
      </c>
      <c r="Q171" s="22" t="e">
        <f t="shared" si="162"/>
        <v>#NUM!</v>
      </c>
      <c r="R171" s="58" t="e">
        <f t="shared" si="109"/>
        <v>#NUM!</v>
      </c>
      <c r="S171" s="58">
        <f ca="1">AVERAGE(OFFSET($R$3,0,0,'Données projet'!$E$9+1,1))-AVERAGE(OFFSET($H$3,0,0,'Données projet'!$E$9+1,1))</f>
        <v>483.15009705023641</v>
      </c>
      <c r="T171" s="58">
        <f t="shared" si="142"/>
        <v>254.25036207346591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-2.8421709430404007E-13</v>
      </c>
      <c r="AJ171" s="14">
        <f>AI171*VLOOKUP('Données projet'!$B$10,Paramètres!$A$1:$I$89,3,0)*VLOOKUP('Données projet'!$B$10,Paramètres!$A$1:$I$89,5,0)</f>
        <v>-2.5715962692629546E-13</v>
      </c>
      <c r="AK171" s="14" t="e">
        <f t="shared" si="164"/>
        <v>#NUM!</v>
      </c>
      <c r="AL171" s="22" t="e">
        <f t="shared" si="165"/>
        <v>#NUM!</v>
      </c>
      <c r="AM171" s="58" t="e">
        <f t="shared" si="113"/>
        <v>#NUM!</v>
      </c>
      <c r="AN171" s="58">
        <f ca="1">AVERAGE(OFFSET($AM$3,0,0,'Données projet'!$E$10+1,1))-AVERAGE(OFFSET($H$3,0,0,'Données projet'!$E$10+1,1))</f>
        <v>435.7095890216213</v>
      </c>
      <c r="AO171" s="58">
        <f t="shared" si="144"/>
        <v>231.36959598460686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-4.9658410716801891E-14</v>
      </c>
      <c r="BF171" s="14" t="e">
        <f t="shared" si="167"/>
        <v>#NUM!</v>
      </c>
      <c r="BG171" s="22" t="e">
        <f t="shared" si="168"/>
        <v>#NUM!</v>
      </c>
      <c r="BH171" s="58" t="e">
        <f t="shared" si="116"/>
        <v>#NUM!</v>
      </c>
      <c r="BI171" s="58">
        <f ca="1">AVERAGE(OFFSET($BH$3,0,0,'Données projet'!$E$11+1,1))-AVERAGE(OFFSET($H$3,0,0,'Données projet'!$E$11+1,1))</f>
        <v>218.76424742311815</v>
      </c>
      <c r="BJ171" s="58">
        <f t="shared" si="146"/>
        <v>264.34598683038593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0.15232388103835767</v>
      </c>
      <c r="BQ171" s="23">
        <f>EXP(-LN(2)/25)*BQ170+(1-EXP(-LN(2)/25))/(LN(2)/25)*Calculateur!BL171*Calculateur!BN171*VLOOKUP('Données projet'!$B$11,Paramètres!$A$1:$I$89,3,0)*0.475*44/12</f>
        <v>9.5116701919562036E-2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0.24744058295791971</v>
      </c>
      <c r="BT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58" t="e">
        <f t="shared" si="119"/>
        <v>#NUM!</v>
      </c>
      <c r="CD171" s="58">
        <f ca="1">AVERAGE(OFFSET($CC$3,0,0,'Données projet'!$E$12+1,1))-AVERAGE(OFFSET($H$3,0,0,'Données projet'!$E$12+1,1))</f>
        <v>343.86347628565426</v>
      </c>
      <c r="CE171" s="58">
        <f t="shared" si="148"/>
        <v>129.28196646107097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58" t="e">
        <f t="shared" si="122"/>
        <v>#N/A</v>
      </c>
      <c r="CY171" s="58" t="e">
        <f ca="1">AVERAGE(OFFSET($CX$3,0,0,'Données projet'!$E$13+1,1))-AVERAGE(OFFSET($H$3,0,0,'Données projet'!$E$13+1,1))</f>
        <v>#N/A</v>
      </c>
      <c r="CZ171" s="58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5.4092197387944907E-14</v>
      </c>
      <c r="DQ171" s="14">
        <f t="shared" si="176"/>
        <v>8.7287050538073676E-13</v>
      </c>
      <c r="DR171" s="22">
        <f t="shared" si="177"/>
        <v>1.6144600406554537E-12</v>
      </c>
      <c r="DS171" s="58">
        <f t="shared" si="125"/>
        <v>293.33333333333491</v>
      </c>
      <c r="DT171" s="58">
        <f ca="1">AVERAGE(OFFSET($DS$3,0,0,'Données projet'!$E$14+1,1))-AVERAGE(OFFSET($H$3,0,0,'Données projet'!$E$14+1,1))</f>
        <v>332.49889399440514</v>
      </c>
      <c r="DU171" s="58">
        <f t="shared" si="152"/>
        <v>256.06044006790529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5.1159076974727213E-13</v>
      </c>
      <c r="EK171" s="18">
        <f>EJ171*VLOOKUP('Données projet'!$B$15,Paramètres!$A$1:$I$89,3,0)*VLOOKUP('Données projet'!$B$15,Paramètres!$A$1:$I$89,5,0)</f>
        <v>5.3471467253984886E-13</v>
      </c>
      <c r="EL171" s="14">
        <f t="shared" si="179"/>
        <v>6.6087717628803869E-12</v>
      </c>
      <c r="EM171" s="22">
        <f t="shared" si="180"/>
        <v>1.244157220835691E-11</v>
      </c>
      <c r="EN171" s="58">
        <f t="shared" si="128"/>
        <v>293.33333333334576</v>
      </c>
      <c r="EO171" s="58">
        <f ca="1">AVERAGE(OFFSET($EN$3,0,0,'Données projet'!$E$15+1,1))-AVERAGE(OFFSET($H$3,0,0,'Données projet'!$E$15+1,1))</f>
        <v>596.00698505207174</v>
      </c>
      <c r="EP171" s="58">
        <f t="shared" si="154"/>
        <v>378.16197659288338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2.2737367544323206E-13</v>
      </c>
      <c r="FF171" s="18">
        <f>FE171*VLOOKUP('Données projet'!$B$16,Paramètres!$A$1:$I$89,3,0)*VLOOKUP('Données projet'!$B$16,Paramètres!$A$1:$I$89,5,0)</f>
        <v>1.064108801074326E-13</v>
      </c>
      <c r="FG171" s="14">
        <f t="shared" si="182"/>
        <v>1.5870730813698654E-12</v>
      </c>
      <c r="FH171" s="22">
        <f t="shared" si="183"/>
        <v>2.9494845662396269E-12</v>
      </c>
      <c r="FI171" s="58">
        <f t="shared" si="131"/>
        <v>293.33333333333627</v>
      </c>
      <c r="FJ171" s="58">
        <f ca="1">AVERAGE(OFFSET($FI$3,0,0,'Données projet'!$E$16+1,1))-AVERAGE(OFFSET($H$3,0,0,'Données projet'!$E$16+1,1))</f>
        <v>294.31042006404056</v>
      </c>
      <c r="FK171" s="58">
        <f t="shared" si="156"/>
        <v>260.93767498478502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2.8421709430404007E-13</v>
      </c>
      <c r="GA171" s="18">
        <f>FZ171*VLOOKUP('Données projet'!$B$17,Paramètres!$A$1:$I$89,3,0)*VLOOKUP('Données projet'!$B$17,Paramètres!$A$1:$I$89,5,0)</f>
        <v>1.9065282685915009E-13</v>
      </c>
      <c r="GB171" s="14">
        <f t="shared" si="185"/>
        <v>2.6568987209435707E-12</v>
      </c>
      <c r="GC171" s="22">
        <f t="shared" si="186"/>
        <v>4.959485612423072E-12</v>
      </c>
      <c r="GD171" s="58">
        <f t="shared" si="134"/>
        <v>293.33333333333826</v>
      </c>
      <c r="GE171" s="58">
        <f ca="1">AVERAGE(OFFSET($GD$3,0,0,'Données projet'!$E$17+1,1))-AVERAGE(OFFSET($H$3,0,0,'Données projet'!$E$17+1,1))</f>
        <v>362.1372269575329</v>
      </c>
      <c r="GF171" s="58">
        <f t="shared" si="158"/>
        <v>308.1559670593121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58" t="e">
        <f t="shared" si="137"/>
        <v>#N/A</v>
      </c>
      <c r="GZ171" s="58" t="e">
        <f ca="1">AVERAGE(OFFSET($GY$3,0,0,'Données projet'!$E$18+1,1))-AVERAGE(OFFSET($H$3,0,0,'Données projet'!$E$18+1,1))</f>
        <v>#N/A</v>
      </c>
      <c r="HA171" s="58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0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3">
        <f t="shared" si="110"/>
        <v>256.66666666666669</v>
      </c>
      <c r="I172" s="6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-2.8421709430404007E-13</v>
      </c>
      <c r="O172" s="14">
        <f>N172*VLOOKUP('Données projet'!$B$9,Paramètres!$A$1:$I$89,3,0)*VLOOKUP('Données projet'!$B$9,Paramètres!$A$1:$I$89,5,0)</f>
        <v>-2.8819613362429665E-13</v>
      </c>
      <c r="P172" s="14" t="e">
        <f t="shared" si="141"/>
        <v>#NUM!</v>
      </c>
      <c r="Q172" s="22" t="e">
        <f t="shared" si="162"/>
        <v>#NUM!</v>
      </c>
      <c r="R172" s="58" t="e">
        <f t="shared" si="109"/>
        <v>#NUM!</v>
      </c>
      <c r="S172" s="58">
        <f ca="1">AVERAGE(OFFSET($R$3,0,0,'Données projet'!$E$9+1,1))-AVERAGE(OFFSET($H$3,0,0,'Données projet'!$E$9+1,1))</f>
        <v>483.15009705023641</v>
      </c>
      <c r="T172" s="58">
        <f t="shared" si="142"/>
        <v>254.25036207346591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-2.8421709430404007E-13</v>
      </c>
      <c r="AJ172" s="14">
        <f>AI172*VLOOKUP('Données projet'!$B$10,Paramètres!$A$1:$I$89,3,0)*VLOOKUP('Données projet'!$B$10,Paramètres!$A$1:$I$89,5,0)</f>
        <v>-2.5715962692629546E-13</v>
      </c>
      <c r="AK172" s="14" t="e">
        <f t="shared" si="164"/>
        <v>#NUM!</v>
      </c>
      <c r="AL172" s="22" t="e">
        <f t="shared" si="165"/>
        <v>#NUM!</v>
      </c>
      <c r="AM172" s="58" t="e">
        <f t="shared" si="113"/>
        <v>#NUM!</v>
      </c>
      <c r="AN172" s="58">
        <f ca="1">AVERAGE(OFFSET($AM$3,0,0,'Données projet'!$E$10+1,1))-AVERAGE(OFFSET($H$3,0,0,'Données projet'!$E$10+1,1))</f>
        <v>435.7095890216213</v>
      </c>
      <c r="AO172" s="58">
        <f t="shared" si="144"/>
        <v>231.36959598460686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-4.9658410716801891E-14</v>
      </c>
      <c r="BF172" s="14" t="e">
        <f t="shared" si="167"/>
        <v>#NUM!</v>
      </c>
      <c r="BG172" s="22" t="e">
        <f t="shared" si="168"/>
        <v>#NUM!</v>
      </c>
      <c r="BH172" s="58" t="e">
        <f t="shared" si="116"/>
        <v>#NUM!</v>
      </c>
      <c r="BI172" s="58">
        <f ca="1">AVERAGE(OFFSET($BH$3,0,0,'Données projet'!$E$11+1,1))-AVERAGE(OFFSET($H$3,0,0,'Données projet'!$E$11+1,1))</f>
        <v>218.76424742311815</v>
      </c>
      <c r="BJ172" s="58">
        <f t="shared" si="146"/>
        <v>264.34598683038593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0.14933690263958896</v>
      </c>
      <c r="BQ172" s="23">
        <f>EXP(-LN(2)/25)*BQ171+(1-EXP(-LN(2)/25))/(LN(2)/25)*Calculateur!BL172*Calculateur!BN172*VLOOKUP('Données projet'!$B$11,Paramètres!$A$1:$I$89,3,0)*0.475*44/12</f>
        <v>9.2515730703601654E-2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0.24185263334319063</v>
      </c>
      <c r="BT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58" t="e">
        <f t="shared" si="119"/>
        <v>#NUM!</v>
      </c>
      <c r="CD172" s="58">
        <f ca="1">AVERAGE(OFFSET($CC$3,0,0,'Données projet'!$E$12+1,1))-AVERAGE(OFFSET($H$3,0,0,'Données projet'!$E$12+1,1))</f>
        <v>343.86347628565426</v>
      </c>
      <c r="CE172" s="58">
        <f t="shared" si="148"/>
        <v>129.28196646107097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58" t="e">
        <f t="shared" si="122"/>
        <v>#N/A</v>
      </c>
      <c r="CY172" s="58" t="e">
        <f ca="1">AVERAGE(OFFSET($CX$3,0,0,'Données projet'!$E$13+1,1))-AVERAGE(OFFSET($H$3,0,0,'Données projet'!$E$13+1,1))</f>
        <v>#N/A</v>
      </c>
      <c r="CZ172" s="58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5.4092197387944907E-14</v>
      </c>
      <c r="DQ172" s="14">
        <f t="shared" si="176"/>
        <v>8.7287050538073676E-13</v>
      </c>
      <c r="DR172" s="22">
        <f t="shared" si="177"/>
        <v>1.6144600406554537E-12</v>
      </c>
      <c r="DS172" s="58">
        <f t="shared" si="125"/>
        <v>293.33333333333491</v>
      </c>
      <c r="DT172" s="58">
        <f ca="1">AVERAGE(OFFSET($DS$3,0,0,'Données projet'!$E$14+1,1))-AVERAGE(OFFSET($H$3,0,0,'Données projet'!$E$14+1,1))</f>
        <v>332.49889399440514</v>
      </c>
      <c r="DU172" s="58">
        <f t="shared" si="152"/>
        <v>256.06044006790529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5.1159076974727213E-13</v>
      </c>
      <c r="EK172" s="18">
        <f>EJ172*VLOOKUP('Données projet'!$B$15,Paramètres!$A$1:$I$89,3,0)*VLOOKUP('Données projet'!$B$15,Paramètres!$A$1:$I$89,5,0)</f>
        <v>5.3471467253984886E-13</v>
      </c>
      <c r="EL172" s="14">
        <f t="shared" si="179"/>
        <v>6.6087717628803869E-12</v>
      </c>
      <c r="EM172" s="22">
        <f t="shared" si="180"/>
        <v>1.244157220835691E-11</v>
      </c>
      <c r="EN172" s="58">
        <f t="shared" si="128"/>
        <v>293.33333333334576</v>
      </c>
      <c r="EO172" s="58">
        <f ca="1">AVERAGE(OFFSET($EN$3,0,0,'Données projet'!$E$15+1,1))-AVERAGE(OFFSET($H$3,0,0,'Données projet'!$E$15+1,1))</f>
        <v>596.00698505207174</v>
      </c>
      <c r="EP172" s="58">
        <f t="shared" si="154"/>
        <v>378.16197659288338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2.2737367544323206E-13</v>
      </c>
      <c r="FF172" s="18">
        <f>FE172*VLOOKUP('Données projet'!$B$16,Paramètres!$A$1:$I$89,3,0)*VLOOKUP('Données projet'!$B$16,Paramètres!$A$1:$I$89,5,0)</f>
        <v>1.064108801074326E-13</v>
      </c>
      <c r="FG172" s="14">
        <f t="shared" si="182"/>
        <v>1.5870730813698654E-12</v>
      </c>
      <c r="FH172" s="22">
        <f t="shared" si="183"/>
        <v>2.9494845662396269E-12</v>
      </c>
      <c r="FI172" s="58">
        <f t="shared" si="131"/>
        <v>293.33333333333627</v>
      </c>
      <c r="FJ172" s="58">
        <f ca="1">AVERAGE(OFFSET($FI$3,0,0,'Données projet'!$E$16+1,1))-AVERAGE(OFFSET($H$3,0,0,'Données projet'!$E$16+1,1))</f>
        <v>294.31042006404056</v>
      </c>
      <c r="FK172" s="58">
        <f t="shared" si="156"/>
        <v>260.93767498478502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2.8421709430404007E-13</v>
      </c>
      <c r="GA172" s="18">
        <f>FZ172*VLOOKUP('Données projet'!$B$17,Paramètres!$A$1:$I$89,3,0)*VLOOKUP('Données projet'!$B$17,Paramètres!$A$1:$I$89,5,0)</f>
        <v>1.9065282685915009E-13</v>
      </c>
      <c r="GB172" s="14">
        <f t="shared" si="185"/>
        <v>2.6568987209435707E-12</v>
      </c>
      <c r="GC172" s="22">
        <f t="shared" si="186"/>
        <v>4.959485612423072E-12</v>
      </c>
      <c r="GD172" s="58">
        <f t="shared" si="134"/>
        <v>293.33333333333826</v>
      </c>
      <c r="GE172" s="58">
        <f ca="1">AVERAGE(OFFSET($GD$3,0,0,'Données projet'!$E$17+1,1))-AVERAGE(OFFSET($H$3,0,0,'Données projet'!$E$17+1,1))</f>
        <v>362.1372269575329</v>
      </c>
      <c r="GF172" s="58">
        <f t="shared" si="158"/>
        <v>308.1559670593121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58" t="e">
        <f t="shared" si="137"/>
        <v>#N/A</v>
      </c>
      <c r="GZ172" s="58" t="e">
        <f ca="1">AVERAGE(OFFSET($GY$3,0,0,'Données projet'!$E$18+1,1))-AVERAGE(OFFSET($H$3,0,0,'Données projet'!$E$18+1,1))</f>
        <v>#N/A</v>
      </c>
      <c r="HA172" s="58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0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3">
        <f t="shared" si="110"/>
        <v>256.66666666666669</v>
      </c>
      <c r="I173" s="6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-2.8421709430404007E-13</v>
      </c>
      <c r="O173" s="14">
        <f>N173*VLOOKUP('Données projet'!$B$9,Paramètres!$A$1:$I$89,3,0)*VLOOKUP('Données projet'!$B$9,Paramètres!$A$1:$I$89,5,0)</f>
        <v>-2.8819613362429665E-13</v>
      </c>
      <c r="P173" s="14" t="e">
        <f t="shared" si="141"/>
        <v>#NUM!</v>
      </c>
      <c r="Q173" s="22" t="e">
        <f t="shared" si="162"/>
        <v>#NUM!</v>
      </c>
      <c r="R173" s="58" t="e">
        <f t="shared" si="109"/>
        <v>#NUM!</v>
      </c>
      <c r="S173" s="58">
        <f ca="1">AVERAGE(OFFSET($R$3,0,0,'Données projet'!$E$9+1,1))-AVERAGE(OFFSET($H$3,0,0,'Données projet'!$E$9+1,1))</f>
        <v>483.15009705023641</v>
      </c>
      <c r="T173" s="58">
        <f t="shared" si="142"/>
        <v>254.25036207346591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-2.8421709430404007E-13</v>
      </c>
      <c r="AJ173" s="14">
        <f>AI173*VLOOKUP('Données projet'!$B$10,Paramètres!$A$1:$I$89,3,0)*VLOOKUP('Données projet'!$B$10,Paramètres!$A$1:$I$89,5,0)</f>
        <v>-2.5715962692629546E-13</v>
      </c>
      <c r="AK173" s="14" t="e">
        <f t="shared" si="164"/>
        <v>#NUM!</v>
      </c>
      <c r="AL173" s="22" t="e">
        <f t="shared" si="165"/>
        <v>#NUM!</v>
      </c>
      <c r="AM173" s="58" t="e">
        <f t="shared" si="113"/>
        <v>#NUM!</v>
      </c>
      <c r="AN173" s="58">
        <f ca="1">AVERAGE(OFFSET($AM$3,0,0,'Données projet'!$E$10+1,1))-AVERAGE(OFFSET($H$3,0,0,'Données projet'!$E$10+1,1))</f>
        <v>435.7095890216213</v>
      </c>
      <c r="AO173" s="58">
        <f t="shared" si="144"/>
        <v>231.36959598460686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-4.9658410716801891E-14</v>
      </c>
      <c r="BF173" s="14" t="e">
        <f t="shared" si="167"/>
        <v>#NUM!</v>
      </c>
      <c r="BG173" s="22" t="e">
        <f t="shared" si="168"/>
        <v>#NUM!</v>
      </c>
      <c r="BH173" s="58" t="e">
        <f t="shared" si="116"/>
        <v>#NUM!</v>
      </c>
      <c r="BI173" s="58">
        <f ca="1">AVERAGE(OFFSET($BH$3,0,0,'Données projet'!$E$11+1,1))-AVERAGE(OFFSET($H$3,0,0,'Données projet'!$E$11+1,1))</f>
        <v>218.76424742311815</v>
      </c>
      <c r="BJ173" s="58">
        <f t="shared" si="146"/>
        <v>264.34598683038593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0.14640849706534317</v>
      </c>
      <c r="BQ173" s="23">
        <f>EXP(-LN(2)/25)*BQ172+(1-EXP(-LN(2)/25))/(LN(2)/25)*Calculateur!BL173*Calculateur!BN173*VLOOKUP('Données projet'!$B$11,Paramètres!$A$1:$I$89,3,0)*0.475*44/12</f>
        <v>8.9985883182320842E-2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0.23639438024766402</v>
      </c>
      <c r="BT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58" t="e">
        <f t="shared" si="119"/>
        <v>#NUM!</v>
      </c>
      <c r="CD173" s="58">
        <f ca="1">AVERAGE(OFFSET($CC$3,0,0,'Données projet'!$E$12+1,1))-AVERAGE(OFFSET($H$3,0,0,'Données projet'!$E$12+1,1))</f>
        <v>343.86347628565426</v>
      </c>
      <c r="CE173" s="58">
        <f t="shared" si="148"/>
        <v>129.28196646107097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58" t="e">
        <f t="shared" si="122"/>
        <v>#N/A</v>
      </c>
      <c r="CY173" s="58" t="e">
        <f ca="1">AVERAGE(OFFSET($CX$3,0,0,'Données projet'!$E$13+1,1))-AVERAGE(OFFSET($H$3,0,0,'Données projet'!$E$13+1,1))</f>
        <v>#N/A</v>
      </c>
      <c r="CZ173" s="58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5.4092197387944907E-14</v>
      </c>
      <c r="DQ173" s="14">
        <f t="shared" si="176"/>
        <v>8.7287050538073676E-13</v>
      </c>
      <c r="DR173" s="22">
        <f t="shared" si="177"/>
        <v>1.6144600406554537E-12</v>
      </c>
      <c r="DS173" s="58">
        <f t="shared" si="125"/>
        <v>293.33333333333491</v>
      </c>
      <c r="DT173" s="58">
        <f ca="1">AVERAGE(OFFSET($DS$3,0,0,'Données projet'!$E$14+1,1))-AVERAGE(OFFSET($H$3,0,0,'Données projet'!$E$14+1,1))</f>
        <v>332.49889399440514</v>
      </c>
      <c r="DU173" s="58">
        <f t="shared" si="152"/>
        <v>256.06044006790529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5.1159076974727213E-13</v>
      </c>
      <c r="EK173" s="18">
        <f>EJ173*VLOOKUP('Données projet'!$B$15,Paramètres!$A$1:$I$89,3,0)*VLOOKUP('Données projet'!$B$15,Paramètres!$A$1:$I$89,5,0)</f>
        <v>5.3471467253984886E-13</v>
      </c>
      <c r="EL173" s="14">
        <f t="shared" si="179"/>
        <v>6.6087717628803869E-12</v>
      </c>
      <c r="EM173" s="22">
        <f t="shared" si="180"/>
        <v>1.244157220835691E-11</v>
      </c>
      <c r="EN173" s="58">
        <f t="shared" si="128"/>
        <v>293.33333333334576</v>
      </c>
      <c r="EO173" s="58">
        <f ca="1">AVERAGE(OFFSET($EN$3,0,0,'Données projet'!$E$15+1,1))-AVERAGE(OFFSET($H$3,0,0,'Données projet'!$E$15+1,1))</f>
        <v>596.00698505207174</v>
      </c>
      <c r="EP173" s="58">
        <f t="shared" si="154"/>
        <v>378.16197659288338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2.2737367544323206E-13</v>
      </c>
      <c r="FF173" s="18">
        <f>FE173*VLOOKUP('Données projet'!$B$16,Paramètres!$A$1:$I$89,3,0)*VLOOKUP('Données projet'!$B$16,Paramètres!$A$1:$I$89,5,0)</f>
        <v>1.064108801074326E-13</v>
      </c>
      <c r="FG173" s="14">
        <f t="shared" si="182"/>
        <v>1.5870730813698654E-12</v>
      </c>
      <c r="FH173" s="22">
        <f t="shared" si="183"/>
        <v>2.9494845662396269E-12</v>
      </c>
      <c r="FI173" s="58">
        <f t="shared" si="131"/>
        <v>293.33333333333627</v>
      </c>
      <c r="FJ173" s="58">
        <f ca="1">AVERAGE(OFFSET($FI$3,0,0,'Données projet'!$E$16+1,1))-AVERAGE(OFFSET($H$3,0,0,'Données projet'!$E$16+1,1))</f>
        <v>294.31042006404056</v>
      </c>
      <c r="FK173" s="58">
        <f t="shared" si="156"/>
        <v>260.93767498478502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2.8421709430404007E-13</v>
      </c>
      <c r="GA173" s="18">
        <f>FZ173*VLOOKUP('Données projet'!$B$17,Paramètres!$A$1:$I$89,3,0)*VLOOKUP('Données projet'!$B$17,Paramètres!$A$1:$I$89,5,0)</f>
        <v>1.9065282685915009E-13</v>
      </c>
      <c r="GB173" s="14">
        <f t="shared" si="185"/>
        <v>2.6568987209435707E-12</v>
      </c>
      <c r="GC173" s="22">
        <f t="shared" si="186"/>
        <v>4.959485612423072E-12</v>
      </c>
      <c r="GD173" s="58">
        <f t="shared" si="134"/>
        <v>293.33333333333826</v>
      </c>
      <c r="GE173" s="58">
        <f ca="1">AVERAGE(OFFSET($GD$3,0,0,'Données projet'!$E$17+1,1))-AVERAGE(OFFSET($H$3,0,0,'Données projet'!$E$17+1,1))</f>
        <v>362.1372269575329</v>
      </c>
      <c r="GF173" s="58">
        <f t="shared" si="158"/>
        <v>308.1559670593121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58" t="e">
        <f t="shared" si="137"/>
        <v>#N/A</v>
      </c>
      <c r="GZ173" s="58" t="e">
        <f ca="1">AVERAGE(OFFSET($GY$3,0,0,'Données projet'!$E$18+1,1))-AVERAGE(OFFSET($H$3,0,0,'Données projet'!$E$18+1,1))</f>
        <v>#N/A</v>
      </c>
      <c r="HA173" s="58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0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3">
        <f t="shared" si="110"/>
        <v>256.66666666666669</v>
      </c>
      <c r="I174" s="6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-2.8421709430404007E-13</v>
      </c>
      <c r="O174" s="14">
        <f>N174*VLOOKUP('Données projet'!$B$9,Paramètres!$A$1:$I$89,3,0)*VLOOKUP('Données projet'!$B$9,Paramètres!$A$1:$I$89,5,0)</f>
        <v>-2.8819613362429665E-13</v>
      </c>
      <c r="P174" s="14" t="e">
        <f t="shared" si="141"/>
        <v>#NUM!</v>
      </c>
      <c r="Q174" s="22" t="e">
        <f t="shared" si="162"/>
        <v>#NUM!</v>
      </c>
      <c r="R174" s="58" t="e">
        <f t="shared" si="109"/>
        <v>#NUM!</v>
      </c>
      <c r="S174" s="58">
        <f ca="1">AVERAGE(OFFSET($R$3,0,0,'Données projet'!$E$9+1,1))-AVERAGE(OFFSET($H$3,0,0,'Données projet'!$E$9+1,1))</f>
        <v>483.15009705023641</v>
      </c>
      <c r="T174" s="58">
        <f t="shared" si="142"/>
        <v>254.25036207346591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-2.8421709430404007E-13</v>
      </c>
      <c r="AJ174" s="14">
        <f>AI174*VLOOKUP('Données projet'!$B$10,Paramètres!$A$1:$I$89,3,0)*VLOOKUP('Données projet'!$B$10,Paramètres!$A$1:$I$89,5,0)</f>
        <v>-2.5715962692629546E-13</v>
      </c>
      <c r="AK174" s="14" t="e">
        <f t="shared" si="164"/>
        <v>#NUM!</v>
      </c>
      <c r="AL174" s="22" t="e">
        <f t="shared" si="165"/>
        <v>#NUM!</v>
      </c>
      <c r="AM174" s="58" t="e">
        <f t="shared" si="113"/>
        <v>#NUM!</v>
      </c>
      <c r="AN174" s="58">
        <f ca="1">AVERAGE(OFFSET($AM$3,0,0,'Données projet'!$E$10+1,1))-AVERAGE(OFFSET($H$3,0,0,'Données projet'!$E$10+1,1))</f>
        <v>435.7095890216213</v>
      </c>
      <c r="AO174" s="58">
        <f t="shared" si="144"/>
        <v>231.36959598460686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-4.9658410716801891E-14</v>
      </c>
      <c r="BF174" s="14" t="e">
        <f t="shared" si="167"/>
        <v>#NUM!</v>
      </c>
      <c r="BG174" s="22" t="e">
        <f t="shared" si="168"/>
        <v>#NUM!</v>
      </c>
      <c r="BH174" s="58" t="e">
        <f t="shared" si="116"/>
        <v>#NUM!</v>
      </c>
      <c r="BI174" s="58">
        <f ca="1">AVERAGE(OFFSET($BH$3,0,0,'Données projet'!$E$11+1,1))-AVERAGE(OFFSET($H$3,0,0,'Données projet'!$E$11+1,1))</f>
        <v>218.76424742311815</v>
      </c>
      <c r="BJ174" s="58">
        <f t="shared" si="146"/>
        <v>264.34598683038593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0.14353751573825732</v>
      </c>
      <c r="BQ174" s="23">
        <f>EXP(-LN(2)/25)*BQ173+(1-EXP(-LN(2)/25))/(LN(2)/25)*Calculateur!BL174*Calculateur!BN174*VLOOKUP('Données projet'!$B$11,Paramètres!$A$1:$I$89,3,0)*0.475*44/12</f>
        <v>8.7525214474548349E-2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0.23106273021280566</v>
      </c>
      <c r="BT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58" t="e">
        <f t="shared" si="119"/>
        <v>#NUM!</v>
      </c>
      <c r="CD174" s="58">
        <f ca="1">AVERAGE(OFFSET($CC$3,0,0,'Données projet'!$E$12+1,1))-AVERAGE(OFFSET($H$3,0,0,'Données projet'!$E$12+1,1))</f>
        <v>343.86347628565426</v>
      </c>
      <c r="CE174" s="58">
        <f t="shared" si="148"/>
        <v>129.28196646107097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58" t="e">
        <f t="shared" si="122"/>
        <v>#N/A</v>
      </c>
      <c r="CY174" s="58" t="e">
        <f ca="1">AVERAGE(OFFSET($CX$3,0,0,'Données projet'!$E$13+1,1))-AVERAGE(OFFSET($H$3,0,0,'Données projet'!$E$13+1,1))</f>
        <v>#N/A</v>
      </c>
      <c r="CZ174" s="58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5.4092197387944907E-14</v>
      </c>
      <c r="DQ174" s="14">
        <f t="shared" si="176"/>
        <v>8.7287050538073676E-13</v>
      </c>
      <c r="DR174" s="22">
        <f t="shared" si="177"/>
        <v>1.6144600406554537E-12</v>
      </c>
      <c r="DS174" s="58">
        <f t="shared" si="125"/>
        <v>293.33333333333491</v>
      </c>
      <c r="DT174" s="58">
        <f ca="1">AVERAGE(OFFSET($DS$3,0,0,'Données projet'!$E$14+1,1))-AVERAGE(OFFSET($H$3,0,0,'Données projet'!$E$14+1,1))</f>
        <v>332.49889399440514</v>
      </c>
      <c r="DU174" s="58">
        <f t="shared" si="152"/>
        <v>256.06044006790529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5.1159076974727213E-13</v>
      </c>
      <c r="EK174" s="18">
        <f>EJ174*VLOOKUP('Données projet'!$B$15,Paramètres!$A$1:$I$89,3,0)*VLOOKUP('Données projet'!$B$15,Paramètres!$A$1:$I$89,5,0)</f>
        <v>5.3471467253984886E-13</v>
      </c>
      <c r="EL174" s="14">
        <f t="shared" si="179"/>
        <v>6.6087717628803869E-12</v>
      </c>
      <c r="EM174" s="22">
        <f t="shared" si="180"/>
        <v>1.244157220835691E-11</v>
      </c>
      <c r="EN174" s="58">
        <f t="shared" si="128"/>
        <v>293.33333333334576</v>
      </c>
      <c r="EO174" s="58">
        <f ca="1">AVERAGE(OFFSET($EN$3,0,0,'Données projet'!$E$15+1,1))-AVERAGE(OFFSET($H$3,0,0,'Données projet'!$E$15+1,1))</f>
        <v>596.00698505207174</v>
      </c>
      <c r="EP174" s="58">
        <f t="shared" si="154"/>
        <v>378.16197659288338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2.2737367544323206E-13</v>
      </c>
      <c r="FF174" s="18">
        <f>FE174*VLOOKUP('Données projet'!$B$16,Paramètres!$A$1:$I$89,3,0)*VLOOKUP('Données projet'!$B$16,Paramètres!$A$1:$I$89,5,0)</f>
        <v>1.064108801074326E-13</v>
      </c>
      <c r="FG174" s="14">
        <f t="shared" si="182"/>
        <v>1.5870730813698654E-12</v>
      </c>
      <c r="FH174" s="22">
        <f t="shared" si="183"/>
        <v>2.9494845662396269E-12</v>
      </c>
      <c r="FI174" s="58">
        <f t="shared" si="131"/>
        <v>293.33333333333627</v>
      </c>
      <c r="FJ174" s="58">
        <f ca="1">AVERAGE(OFFSET($FI$3,0,0,'Données projet'!$E$16+1,1))-AVERAGE(OFFSET($H$3,0,0,'Données projet'!$E$16+1,1))</f>
        <v>294.31042006404056</v>
      </c>
      <c r="FK174" s="58">
        <f t="shared" si="156"/>
        <v>260.93767498478502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2.8421709430404007E-13</v>
      </c>
      <c r="GA174" s="18">
        <f>FZ174*VLOOKUP('Données projet'!$B$17,Paramètres!$A$1:$I$89,3,0)*VLOOKUP('Données projet'!$B$17,Paramètres!$A$1:$I$89,5,0)</f>
        <v>1.9065282685915009E-13</v>
      </c>
      <c r="GB174" s="14">
        <f t="shared" si="185"/>
        <v>2.6568987209435707E-12</v>
      </c>
      <c r="GC174" s="22">
        <f t="shared" si="186"/>
        <v>4.959485612423072E-12</v>
      </c>
      <c r="GD174" s="58">
        <f t="shared" si="134"/>
        <v>293.33333333333826</v>
      </c>
      <c r="GE174" s="58">
        <f ca="1">AVERAGE(OFFSET($GD$3,0,0,'Données projet'!$E$17+1,1))-AVERAGE(OFFSET($H$3,0,0,'Données projet'!$E$17+1,1))</f>
        <v>362.1372269575329</v>
      </c>
      <c r="GF174" s="58">
        <f t="shared" si="158"/>
        <v>308.1559670593121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58" t="e">
        <f t="shared" si="137"/>
        <v>#N/A</v>
      </c>
      <c r="GZ174" s="58" t="e">
        <f ca="1">AVERAGE(OFFSET($GY$3,0,0,'Données projet'!$E$18+1,1))-AVERAGE(OFFSET($H$3,0,0,'Données projet'!$E$18+1,1))</f>
        <v>#N/A</v>
      </c>
      <c r="HA174" s="58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0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3">
        <f t="shared" si="110"/>
        <v>256.66666666666669</v>
      </c>
      <c r="I175" s="6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-2.8421709430404007E-13</v>
      </c>
      <c r="O175" s="14">
        <f>N175*VLOOKUP('Données projet'!$B$9,Paramètres!$A$1:$I$89,3,0)*VLOOKUP('Données projet'!$B$9,Paramètres!$A$1:$I$89,5,0)</f>
        <v>-2.8819613362429665E-13</v>
      </c>
      <c r="P175" s="14" t="e">
        <f t="shared" si="141"/>
        <v>#NUM!</v>
      </c>
      <c r="Q175" s="22" t="e">
        <f t="shared" si="162"/>
        <v>#NUM!</v>
      </c>
      <c r="R175" s="58" t="e">
        <f t="shared" si="109"/>
        <v>#NUM!</v>
      </c>
      <c r="S175" s="58">
        <f ca="1">AVERAGE(OFFSET($R$3,0,0,'Données projet'!$E$9+1,1))-AVERAGE(OFFSET($H$3,0,0,'Données projet'!$E$9+1,1))</f>
        <v>483.15009705023641</v>
      </c>
      <c r="T175" s="58">
        <f t="shared" si="142"/>
        <v>254.25036207346591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-2.8421709430404007E-13</v>
      </c>
      <c r="AJ175" s="14">
        <f>AI175*VLOOKUP('Données projet'!$B$10,Paramètres!$A$1:$I$89,3,0)*VLOOKUP('Données projet'!$B$10,Paramètres!$A$1:$I$89,5,0)</f>
        <v>-2.5715962692629546E-13</v>
      </c>
      <c r="AK175" s="14" t="e">
        <f t="shared" si="164"/>
        <v>#NUM!</v>
      </c>
      <c r="AL175" s="22" t="e">
        <f t="shared" si="165"/>
        <v>#NUM!</v>
      </c>
      <c r="AM175" s="58" t="e">
        <f t="shared" si="113"/>
        <v>#NUM!</v>
      </c>
      <c r="AN175" s="58">
        <f ca="1">AVERAGE(OFFSET($AM$3,0,0,'Données projet'!$E$10+1,1))-AVERAGE(OFFSET($H$3,0,0,'Données projet'!$E$10+1,1))</f>
        <v>435.7095890216213</v>
      </c>
      <c r="AO175" s="58">
        <f t="shared" si="144"/>
        <v>231.36959598460686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-4.9658410716801891E-14</v>
      </c>
      <c r="BF175" s="14" t="e">
        <f t="shared" si="167"/>
        <v>#NUM!</v>
      </c>
      <c r="BG175" s="22" t="e">
        <f t="shared" si="168"/>
        <v>#NUM!</v>
      </c>
      <c r="BH175" s="58" t="e">
        <f t="shared" si="116"/>
        <v>#NUM!</v>
      </c>
      <c r="BI175" s="58">
        <f ca="1">AVERAGE(OFFSET($BH$3,0,0,'Données projet'!$E$11+1,1))-AVERAGE(OFFSET($H$3,0,0,'Données projet'!$E$11+1,1))</f>
        <v>218.76424742311815</v>
      </c>
      <c r="BJ175" s="58">
        <f t="shared" si="146"/>
        <v>264.34598683038593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0.14072283260386992</v>
      </c>
      <c r="BQ175" s="23">
        <f>EXP(-LN(2)/25)*BQ174+(1-EXP(-LN(2)/25))/(LN(2)/25)*Calculateur!BL175*Calculateur!BN175*VLOOKUP('Données projet'!$B$11,Paramètres!$A$1:$I$89,3,0)*0.475*44/12</f>
        <v>8.5131832881990832E-2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0.22585466548586075</v>
      </c>
      <c r="BT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58" t="e">
        <f t="shared" si="119"/>
        <v>#NUM!</v>
      </c>
      <c r="CD175" s="58">
        <f ca="1">AVERAGE(OFFSET($CC$3,0,0,'Données projet'!$E$12+1,1))-AVERAGE(OFFSET($H$3,0,0,'Données projet'!$E$12+1,1))</f>
        <v>343.86347628565426</v>
      </c>
      <c r="CE175" s="58">
        <f t="shared" si="148"/>
        <v>129.28196646107097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58" t="e">
        <f t="shared" si="122"/>
        <v>#N/A</v>
      </c>
      <c r="CY175" s="58" t="e">
        <f ca="1">AVERAGE(OFFSET($CX$3,0,0,'Données projet'!$E$13+1,1))-AVERAGE(OFFSET($H$3,0,0,'Données projet'!$E$13+1,1))</f>
        <v>#N/A</v>
      </c>
      <c r="CZ175" s="58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5.4092197387944907E-14</v>
      </c>
      <c r="DQ175" s="14">
        <f t="shared" si="176"/>
        <v>8.7287050538073676E-13</v>
      </c>
      <c r="DR175" s="22">
        <f t="shared" si="177"/>
        <v>1.6144600406554537E-12</v>
      </c>
      <c r="DS175" s="58">
        <f t="shared" si="125"/>
        <v>293.33333333333491</v>
      </c>
      <c r="DT175" s="58">
        <f ca="1">AVERAGE(OFFSET($DS$3,0,0,'Données projet'!$E$14+1,1))-AVERAGE(OFFSET($H$3,0,0,'Données projet'!$E$14+1,1))</f>
        <v>332.49889399440514</v>
      </c>
      <c r="DU175" s="58">
        <f t="shared" si="152"/>
        <v>256.06044006790529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5.1159076974727213E-13</v>
      </c>
      <c r="EK175" s="18">
        <f>EJ175*VLOOKUP('Données projet'!$B$15,Paramètres!$A$1:$I$89,3,0)*VLOOKUP('Données projet'!$B$15,Paramètres!$A$1:$I$89,5,0)</f>
        <v>5.3471467253984886E-13</v>
      </c>
      <c r="EL175" s="14">
        <f t="shared" si="179"/>
        <v>6.6087717628803869E-12</v>
      </c>
      <c r="EM175" s="22">
        <f t="shared" si="180"/>
        <v>1.244157220835691E-11</v>
      </c>
      <c r="EN175" s="58">
        <f t="shared" si="128"/>
        <v>293.33333333334576</v>
      </c>
      <c r="EO175" s="58">
        <f ca="1">AVERAGE(OFFSET($EN$3,0,0,'Données projet'!$E$15+1,1))-AVERAGE(OFFSET($H$3,0,0,'Données projet'!$E$15+1,1))</f>
        <v>596.00698505207174</v>
      </c>
      <c r="EP175" s="58">
        <f t="shared" si="154"/>
        <v>378.16197659288338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2.2737367544323206E-13</v>
      </c>
      <c r="FF175" s="18">
        <f>FE175*VLOOKUP('Données projet'!$B$16,Paramètres!$A$1:$I$89,3,0)*VLOOKUP('Données projet'!$B$16,Paramètres!$A$1:$I$89,5,0)</f>
        <v>1.064108801074326E-13</v>
      </c>
      <c r="FG175" s="14">
        <f t="shared" si="182"/>
        <v>1.5870730813698654E-12</v>
      </c>
      <c r="FH175" s="22">
        <f t="shared" si="183"/>
        <v>2.9494845662396269E-12</v>
      </c>
      <c r="FI175" s="58">
        <f t="shared" si="131"/>
        <v>293.33333333333627</v>
      </c>
      <c r="FJ175" s="58">
        <f ca="1">AVERAGE(OFFSET($FI$3,0,0,'Données projet'!$E$16+1,1))-AVERAGE(OFFSET($H$3,0,0,'Données projet'!$E$16+1,1))</f>
        <v>294.31042006404056</v>
      </c>
      <c r="FK175" s="58">
        <f t="shared" si="156"/>
        <v>260.93767498478502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2.8421709430404007E-13</v>
      </c>
      <c r="GA175" s="18">
        <f>FZ175*VLOOKUP('Données projet'!$B$17,Paramètres!$A$1:$I$89,3,0)*VLOOKUP('Données projet'!$B$17,Paramètres!$A$1:$I$89,5,0)</f>
        <v>1.9065282685915009E-13</v>
      </c>
      <c r="GB175" s="14">
        <f t="shared" si="185"/>
        <v>2.6568987209435707E-12</v>
      </c>
      <c r="GC175" s="22">
        <f t="shared" si="186"/>
        <v>4.959485612423072E-12</v>
      </c>
      <c r="GD175" s="58">
        <f t="shared" si="134"/>
        <v>293.33333333333826</v>
      </c>
      <c r="GE175" s="58">
        <f ca="1">AVERAGE(OFFSET($GD$3,0,0,'Données projet'!$E$17+1,1))-AVERAGE(OFFSET($H$3,0,0,'Données projet'!$E$17+1,1))</f>
        <v>362.1372269575329</v>
      </c>
      <c r="GF175" s="58">
        <f t="shared" si="158"/>
        <v>308.1559670593121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58" t="e">
        <f t="shared" si="137"/>
        <v>#N/A</v>
      </c>
      <c r="GZ175" s="58" t="e">
        <f ca="1">AVERAGE(OFFSET($GY$3,0,0,'Données projet'!$E$18+1,1))-AVERAGE(OFFSET($H$3,0,0,'Données projet'!$E$18+1,1))</f>
        <v>#N/A</v>
      </c>
      <c r="HA175" s="58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0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3">
        <f t="shared" si="110"/>
        <v>256.66666666666669</v>
      </c>
      <c r="I176" s="6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-2.8421709430404007E-13</v>
      </c>
      <c r="O176" s="14">
        <f>N176*VLOOKUP('Données projet'!$B$9,Paramètres!$A$1:$I$89,3,0)*VLOOKUP('Données projet'!$B$9,Paramètres!$A$1:$I$89,5,0)</f>
        <v>-2.8819613362429665E-13</v>
      </c>
      <c r="P176" s="14" t="e">
        <f t="shared" si="141"/>
        <v>#NUM!</v>
      </c>
      <c r="Q176" s="22" t="e">
        <f t="shared" si="162"/>
        <v>#NUM!</v>
      </c>
      <c r="R176" s="58" t="e">
        <f t="shared" si="109"/>
        <v>#NUM!</v>
      </c>
      <c r="S176" s="58">
        <f ca="1">AVERAGE(OFFSET($R$3,0,0,'Données projet'!$E$9+1,1))-AVERAGE(OFFSET($H$3,0,0,'Données projet'!$E$9+1,1))</f>
        <v>483.15009705023641</v>
      </c>
      <c r="T176" s="58">
        <f t="shared" si="142"/>
        <v>254.25036207346591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-2.8421709430404007E-13</v>
      </c>
      <c r="AJ176" s="14">
        <f>AI176*VLOOKUP('Données projet'!$B$10,Paramètres!$A$1:$I$89,3,0)*VLOOKUP('Données projet'!$B$10,Paramètres!$A$1:$I$89,5,0)</f>
        <v>-2.5715962692629546E-13</v>
      </c>
      <c r="AK176" s="14" t="e">
        <f t="shared" si="164"/>
        <v>#NUM!</v>
      </c>
      <c r="AL176" s="22" t="e">
        <f t="shared" si="165"/>
        <v>#NUM!</v>
      </c>
      <c r="AM176" s="58" t="e">
        <f t="shared" si="113"/>
        <v>#NUM!</v>
      </c>
      <c r="AN176" s="58">
        <f ca="1">AVERAGE(OFFSET($AM$3,0,0,'Données projet'!$E$10+1,1))-AVERAGE(OFFSET($H$3,0,0,'Données projet'!$E$10+1,1))</f>
        <v>435.7095890216213</v>
      </c>
      <c r="AO176" s="58">
        <f t="shared" si="144"/>
        <v>231.36959598460686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-4.9658410716801891E-14</v>
      </c>
      <c r="BF176" s="14" t="e">
        <f t="shared" si="167"/>
        <v>#NUM!</v>
      </c>
      <c r="BG176" s="22" t="e">
        <f t="shared" si="168"/>
        <v>#NUM!</v>
      </c>
      <c r="BH176" s="58" t="e">
        <f t="shared" si="116"/>
        <v>#NUM!</v>
      </c>
      <c r="BI176" s="58">
        <f ca="1">AVERAGE(OFFSET($BH$3,0,0,'Données projet'!$E$11+1,1))-AVERAGE(OFFSET($H$3,0,0,'Données projet'!$E$11+1,1))</f>
        <v>218.76424742311815</v>
      </c>
      <c r="BJ176" s="58">
        <f t="shared" si="146"/>
        <v>264.34598683038593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0.13796334368896065</v>
      </c>
      <c r="BQ176" s="23">
        <f>EXP(-LN(2)/25)*BQ175+(1-EXP(-LN(2)/25))/(LN(2)/25)*Calculateur!BL176*Calculateur!BN176*VLOOKUP('Données projet'!$B$11,Paramètres!$A$1:$I$89,3,0)*0.475*44/12</f>
        <v>8.2803898434944276E-2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0.22076724212390492</v>
      </c>
      <c r="BT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58" t="e">
        <f t="shared" si="119"/>
        <v>#NUM!</v>
      </c>
      <c r="CD176" s="58">
        <f ca="1">AVERAGE(OFFSET($CC$3,0,0,'Données projet'!$E$12+1,1))-AVERAGE(OFFSET($H$3,0,0,'Données projet'!$E$12+1,1))</f>
        <v>343.86347628565426</v>
      </c>
      <c r="CE176" s="58">
        <f t="shared" si="148"/>
        <v>129.28196646107097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58" t="e">
        <f t="shared" si="122"/>
        <v>#N/A</v>
      </c>
      <c r="CY176" s="58" t="e">
        <f ca="1">AVERAGE(OFFSET($CX$3,0,0,'Données projet'!$E$13+1,1))-AVERAGE(OFFSET($H$3,0,0,'Données projet'!$E$13+1,1))</f>
        <v>#N/A</v>
      </c>
      <c r="CZ176" s="58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5.4092197387944907E-14</v>
      </c>
      <c r="DQ176" s="14">
        <f t="shared" si="176"/>
        <v>8.7287050538073676E-13</v>
      </c>
      <c r="DR176" s="22">
        <f t="shared" si="177"/>
        <v>1.6144600406554537E-12</v>
      </c>
      <c r="DS176" s="58">
        <f t="shared" si="125"/>
        <v>293.33333333333491</v>
      </c>
      <c r="DT176" s="58">
        <f ca="1">AVERAGE(OFFSET($DS$3,0,0,'Données projet'!$E$14+1,1))-AVERAGE(OFFSET($H$3,0,0,'Données projet'!$E$14+1,1))</f>
        <v>332.49889399440514</v>
      </c>
      <c r="DU176" s="58">
        <f t="shared" si="152"/>
        <v>256.06044006790529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5.1159076974727213E-13</v>
      </c>
      <c r="EK176" s="18">
        <f>EJ176*VLOOKUP('Données projet'!$B$15,Paramètres!$A$1:$I$89,3,0)*VLOOKUP('Données projet'!$B$15,Paramètres!$A$1:$I$89,5,0)</f>
        <v>5.3471467253984886E-13</v>
      </c>
      <c r="EL176" s="14">
        <f t="shared" si="179"/>
        <v>6.6087717628803869E-12</v>
      </c>
      <c r="EM176" s="22">
        <f t="shared" si="180"/>
        <v>1.244157220835691E-11</v>
      </c>
      <c r="EN176" s="58">
        <f t="shared" si="128"/>
        <v>293.33333333334576</v>
      </c>
      <c r="EO176" s="58">
        <f ca="1">AVERAGE(OFFSET($EN$3,0,0,'Données projet'!$E$15+1,1))-AVERAGE(OFFSET($H$3,0,0,'Données projet'!$E$15+1,1))</f>
        <v>596.00698505207174</v>
      </c>
      <c r="EP176" s="58">
        <f t="shared" si="154"/>
        <v>378.16197659288338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2.2737367544323206E-13</v>
      </c>
      <c r="FF176" s="18">
        <f>FE176*VLOOKUP('Données projet'!$B$16,Paramètres!$A$1:$I$89,3,0)*VLOOKUP('Données projet'!$B$16,Paramètres!$A$1:$I$89,5,0)</f>
        <v>1.064108801074326E-13</v>
      </c>
      <c r="FG176" s="14">
        <f t="shared" si="182"/>
        <v>1.5870730813698654E-12</v>
      </c>
      <c r="FH176" s="22">
        <f t="shared" si="183"/>
        <v>2.9494845662396269E-12</v>
      </c>
      <c r="FI176" s="58">
        <f t="shared" si="131"/>
        <v>293.33333333333627</v>
      </c>
      <c r="FJ176" s="58">
        <f ca="1">AVERAGE(OFFSET($FI$3,0,0,'Données projet'!$E$16+1,1))-AVERAGE(OFFSET($H$3,0,0,'Données projet'!$E$16+1,1))</f>
        <v>294.31042006404056</v>
      </c>
      <c r="FK176" s="58">
        <f t="shared" si="156"/>
        <v>260.93767498478502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2.8421709430404007E-13</v>
      </c>
      <c r="GA176" s="18">
        <f>FZ176*VLOOKUP('Données projet'!$B$17,Paramètres!$A$1:$I$89,3,0)*VLOOKUP('Données projet'!$B$17,Paramètres!$A$1:$I$89,5,0)</f>
        <v>1.9065282685915009E-13</v>
      </c>
      <c r="GB176" s="14">
        <f t="shared" si="185"/>
        <v>2.6568987209435707E-12</v>
      </c>
      <c r="GC176" s="22">
        <f t="shared" si="186"/>
        <v>4.959485612423072E-12</v>
      </c>
      <c r="GD176" s="58">
        <f t="shared" si="134"/>
        <v>293.33333333333826</v>
      </c>
      <c r="GE176" s="58">
        <f ca="1">AVERAGE(OFFSET($GD$3,0,0,'Données projet'!$E$17+1,1))-AVERAGE(OFFSET($H$3,0,0,'Données projet'!$E$17+1,1))</f>
        <v>362.1372269575329</v>
      </c>
      <c r="GF176" s="58">
        <f t="shared" si="158"/>
        <v>308.1559670593121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58" t="e">
        <f t="shared" si="137"/>
        <v>#N/A</v>
      </c>
      <c r="GZ176" s="58" t="e">
        <f ca="1">AVERAGE(OFFSET($GY$3,0,0,'Données projet'!$E$18+1,1))-AVERAGE(OFFSET($H$3,0,0,'Données projet'!$E$18+1,1))</f>
        <v>#N/A</v>
      </c>
      <c r="HA176" s="58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0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3">
        <f t="shared" si="110"/>
        <v>256.66666666666669</v>
      </c>
      <c r="I177" s="6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-2.8421709430404007E-13</v>
      </c>
      <c r="O177" s="14">
        <f>N177*VLOOKUP('Données projet'!$B$9,Paramètres!$A$1:$I$89,3,0)*VLOOKUP('Données projet'!$B$9,Paramètres!$A$1:$I$89,5,0)</f>
        <v>-2.8819613362429665E-13</v>
      </c>
      <c r="P177" s="14" t="e">
        <f t="shared" si="141"/>
        <v>#NUM!</v>
      </c>
      <c r="Q177" s="22" t="e">
        <f t="shared" si="162"/>
        <v>#NUM!</v>
      </c>
      <c r="R177" s="58" t="e">
        <f t="shared" si="109"/>
        <v>#NUM!</v>
      </c>
      <c r="S177" s="58">
        <f ca="1">AVERAGE(OFFSET($R$3,0,0,'Données projet'!$E$9+1,1))-AVERAGE(OFFSET($H$3,0,0,'Données projet'!$E$9+1,1))</f>
        <v>483.15009705023641</v>
      </c>
      <c r="T177" s="58">
        <f t="shared" si="142"/>
        <v>254.25036207346591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-2.8421709430404007E-13</v>
      </c>
      <c r="AJ177" s="14">
        <f>AI177*VLOOKUP('Données projet'!$B$10,Paramètres!$A$1:$I$89,3,0)*VLOOKUP('Données projet'!$B$10,Paramètres!$A$1:$I$89,5,0)</f>
        <v>-2.5715962692629546E-13</v>
      </c>
      <c r="AK177" s="14" t="e">
        <f t="shared" si="164"/>
        <v>#NUM!</v>
      </c>
      <c r="AL177" s="22" t="e">
        <f t="shared" si="165"/>
        <v>#NUM!</v>
      </c>
      <c r="AM177" s="58" t="e">
        <f t="shared" si="113"/>
        <v>#NUM!</v>
      </c>
      <c r="AN177" s="58">
        <f ca="1">AVERAGE(OFFSET($AM$3,0,0,'Données projet'!$E$10+1,1))-AVERAGE(OFFSET($H$3,0,0,'Données projet'!$E$10+1,1))</f>
        <v>435.7095890216213</v>
      </c>
      <c r="AO177" s="58">
        <f t="shared" si="144"/>
        <v>231.36959598460686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-4.9658410716801891E-14</v>
      </c>
      <c r="BF177" s="14" t="e">
        <f t="shared" si="167"/>
        <v>#NUM!</v>
      </c>
      <c r="BG177" s="22" t="e">
        <f t="shared" si="168"/>
        <v>#NUM!</v>
      </c>
      <c r="BH177" s="58" t="e">
        <f t="shared" si="116"/>
        <v>#NUM!</v>
      </c>
      <c r="BI177" s="58">
        <f ca="1">AVERAGE(OFFSET($BH$3,0,0,'Données projet'!$E$11+1,1))-AVERAGE(OFFSET($H$3,0,0,'Données projet'!$E$11+1,1))</f>
        <v>218.76424742311815</v>
      </c>
      <c r="BJ177" s="58">
        <f t="shared" si="146"/>
        <v>264.34598683038593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0.13525796666855072</v>
      </c>
      <c r="BQ177" s="23">
        <f>EXP(-LN(2)/25)*BQ176+(1-EXP(-LN(2)/25))/(LN(2)/25)*Calculateur!BL177*Calculateur!BN177*VLOOKUP('Données projet'!$B$11,Paramètres!$A$1:$I$89,3,0)*0.475*44/12</f>
        <v>8.0539621477772952E-2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0.21579758814632366</v>
      </c>
      <c r="BT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58" t="e">
        <f t="shared" si="119"/>
        <v>#NUM!</v>
      </c>
      <c r="CD177" s="58">
        <f ca="1">AVERAGE(OFFSET($CC$3,0,0,'Données projet'!$E$12+1,1))-AVERAGE(OFFSET($H$3,0,0,'Données projet'!$E$12+1,1))</f>
        <v>343.86347628565426</v>
      </c>
      <c r="CE177" s="58">
        <f t="shared" si="148"/>
        <v>129.28196646107097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58" t="e">
        <f t="shared" si="122"/>
        <v>#N/A</v>
      </c>
      <c r="CY177" s="58" t="e">
        <f ca="1">AVERAGE(OFFSET($CX$3,0,0,'Données projet'!$E$13+1,1))-AVERAGE(OFFSET($H$3,0,0,'Données projet'!$E$13+1,1))</f>
        <v>#N/A</v>
      </c>
      <c r="CZ177" s="58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5.4092197387944907E-14</v>
      </c>
      <c r="DQ177" s="14">
        <f t="shared" si="176"/>
        <v>8.7287050538073676E-13</v>
      </c>
      <c r="DR177" s="22">
        <f t="shared" si="177"/>
        <v>1.6144600406554537E-12</v>
      </c>
      <c r="DS177" s="58">
        <f t="shared" si="125"/>
        <v>293.33333333333491</v>
      </c>
      <c r="DT177" s="58">
        <f ca="1">AVERAGE(OFFSET($DS$3,0,0,'Données projet'!$E$14+1,1))-AVERAGE(OFFSET($H$3,0,0,'Données projet'!$E$14+1,1))</f>
        <v>332.49889399440514</v>
      </c>
      <c r="DU177" s="58">
        <f t="shared" si="152"/>
        <v>256.06044006790529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5.1159076974727213E-13</v>
      </c>
      <c r="EK177" s="18">
        <f>EJ177*VLOOKUP('Données projet'!$B$15,Paramètres!$A$1:$I$89,3,0)*VLOOKUP('Données projet'!$B$15,Paramètres!$A$1:$I$89,5,0)</f>
        <v>5.3471467253984886E-13</v>
      </c>
      <c r="EL177" s="14">
        <f t="shared" si="179"/>
        <v>6.6087717628803869E-12</v>
      </c>
      <c r="EM177" s="22">
        <f t="shared" si="180"/>
        <v>1.244157220835691E-11</v>
      </c>
      <c r="EN177" s="58">
        <f t="shared" si="128"/>
        <v>293.33333333334576</v>
      </c>
      <c r="EO177" s="58">
        <f ca="1">AVERAGE(OFFSET($EN$3,0,0,'Données projet'!$E$15+1,1))-AVERAGE(OFFSET($H$3,0,0,'Données projet'!$E$15+1,1))</f>
        <v>596.00698505207174</v>
      </c>
      <c r="EP177" s="58">
        <f t="shared" si="154"/>
        <v>378.16197659288338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2.2737367544323206E-13</v>
      </c>
      <c r="FF177" s="18">
        <f>FE177*VLOOKUP('Données projet'!$B$16,Paramètres!$A$1:$I$89,3,0)*VLOOKUP('Données projet'!$B$16,Paramètres!$A$1:$I$89,5,0)</f>
        <v>1.064108801074326E-13</v>
      </c>
      <c r="FG177" s="14">
        <f t="shared" si="182"/>
        <v>1.5870730813698654E-12</v>
      </c>
      <c r="FH177" s="22">
        <f t="shared" si="183"/>
        <v>2.9494845662396269E-12</v>
      </c>
      <c r="FI177" s="58">
        <f t="shared" si="131"/>
        <v>293.33333333333627</v>
      </c>
      <c r="FJ177" s="58">
        <f ca="1">AVERAGE(OFFSET($FI$3,0,0,'Données projet'!$E$16+1,1))-AVERAGE(OFFSET($H$3,0,0,'Données projet'!$E$16+1,1))</f>
        <v>294.31042006404056</v>
      </c>
      <c r="FK177" s="58">
        <f t="shared" si="156"/>
        <v>260.93767498478502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2.8421709430404007E-13</v>
      </c>
      <c r="GA177" s="18">
        <f>FZ177*VLOOKUP('Données projet'!$B$17,Paramètres!$A$1:$I$89,3,0)*VLOOKUP('Données projet'!$B$17,Paramètres!$A$1:$I$89,5,0)</f>
        <v>1.9065282685915009E-13</v>
      </c>
      <c r="GB177" s="14">
        <f t="shared" si="185"/>
        <v>2.6568987209435707E-12</v>
      </c>
      <c r="GC177" s="22">
        <f t="shared" si="186"/>
        <v>4.959485612423072E-12</v>
      </c>
      <c r="GD177" s="58">
        <f t="shared" si="134"/>
        <v>293.33333333333826</v>
      </c>
      <c r="GE177" s="58">
        <f ca="1">AVERAGE(OFFSET($GD$3,0,0,'Données projet'!$E$17+1,1))-AVERAGE(OFFSET($H$3,0,0,'Données projet'!$E$17+1,1))</f>
        <v>362.1372269575329</v>
      </c>
      <c r="GF177" s="58">
        <f t="shared" si="158"/>
        <v>308.1559670593121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58" t="e">
        <f t="shared" si="137"/>
        <v>#N/A</v>
      </c>
      <c r="GZ177" s="58" t="e">
        <f ca="1">AVERAGE(OFFSET($GY$3,0,0,'Données projet'!$E$18+1,1))-AVERAGE(OFFSET($H$3,0,0,'Données projet'!$E$18+1,1))</f>
        <v>#N/A</v>
      </c>
      <c r="HA177" s="58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0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3">
        <f t="shared" si="110"/>
        <v>256.66666666666669</v>
      </c>
      <c r="I178" s="6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-2.8421709430404007E-13</v>
      </c>
      <c r="O178" s="14">
        <f>N178*VLOOKUP('Données projet'!$B$9,Paramètres!$A$1:$I$89,3,0)*VLOOKUP('Données projet'!$B$9,Paramètres!$A$1:$I$89,5,0)</f>
        <v>-2.8819613362429665E-13</v>
      </c>
      <c r="P178" s="14" t="e">
        <f t="shared" si="141"/>
        <v>#NUM!</v>
      </c>
      <c r="Q178" s="22" t="e">
        <f t="shared" si="162"/>
        <v>#NUM!</v>
      </c>
      <c r="R178" s="58" t="e">
        <f t="shared" si="109"/>
        <v>#NUM!</v>
      </c>
      <c r="S178" s="58">
        <f ca="1">AVERAGE(OFFSET($R$3,0,0,'Données projet'!$E$9+1,1))-AVERAGE(OFFSET($H$3,0,0,'Données projet'!$E$9+1,1))</f>
        <v>483.15009705023641</v>
      </c>
      <c r="T178" s="58">
        <f t="shared" si="142"/>
        <v>254.25036207346591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-2.8421709430404007E-13</v>
      </c>
      <c r="AJ178" s="14">
        <f>AI178*VLOOKUP('Données projet'!$B$10,Paramètres!$A$1:$I$89,3,0)*VLOOKUP('Données projet'!$B$10,Paramètres!$A$1:$I$89,5,0)</f>
        <v>-2.5715962692629546E-13</v>
      </c>
      <c r="AK178" s="14" t="e">
        <f t="shared" si="164"/>
        <v>#NUM!</v>
      </c>
      <c r="AL178" s="22" t="e">
        <f t="shared" si="165"/>
        <v>#NUM!</v>
      </c>
      <c r="AM178" s="58" t="e">
        <f t="shared" si="113"/>
        <v>#NUM!</v>
      </c>
      <c r="AN178" s="58">
        <f ca="1">AVERAGE(OFFSET($AM$3,0,0,'Données projet'!$E$10+1,1))-AVERAGE(OFFSET($H$3,0,0,'Données projet'!$E$10+1,1))</f>
        <v>435.7095890216213</v>
      </c>
      <c r="AO178" s="58">
        <f t="shared" si="144"/>
        <v>231.36959598460686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-4.9658410716801891E-14</v>
      </c>
      <c r="BF178" s="14" t="e">
        <f t="shared" si="167"/>
        <v>#NUM!</v>
      </c>
      <c r="BG178" s="22" t="e">
        <f t="shared" si="168"/>
        <v>#NUM!</v>
      </c>
      <c r="BH178" s="58" t="e">
        <f t="shared" si="116"/>
        <v>#NUM!</v>
      </c>
      <c r="BI178" s="58">
        <f ca="1">AVERAGE(OFFSET($BH$3,0,0,'Données projet'!$E$11+1,1))-AVERAGE(OFFSET($H$3,0,0,'Données projet'!$E$11+1,1))</f>
        <v>218.76424742311815</v>
      </c>
      <c r="BJ178" s="58">
        <f t="shared" si="146"/>
        <v>264.34598683038593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0.132605640441394</v>
      </c>
      <c r="BQ178" s="23">
        <f>EXP(-LN(2)/25)*BQ177+(1-EXP(-LN(2)/25))/(LN(2)/25)*Calculateur!BL178*Calculateur!BN178*VLOOKUP('Données projet'!$B$11,Paramètres!$A$1:$I$89,3,0)*0.475*44/12</f>
        <v>7.833726129306863E-2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0.21094290173446262</v>
      </c>
      <c r="BT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58" t="e">
        <f t="shared" si="119"/>
        <v>#NUM!</v>
      </c>
      <c r="CD178" s="58">
        <f ca="1">AVERAGE(OFFSET($CC$3,0,0,'Données projet'!$E$12+1,1))-AVERAGE(OFFSET($H$3,0,0,'Données projet'!$E$12+1,1))</f>
        <v>343.86347628565426</v>
      </c>
      <c r="CE178" s="58">
        <f t="shared" si="148"/>
        <v>129.28196646107097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58" t="e">
        <f t="shared" si="122"/>
        <v>#N/A</v>
      </c>
      <c r="CY178" s="58" t="e">
        <f ca="1">AVERAGE(OFFSET($CX$3,0,0,'Données projet'!$E$13+1,1))-AVERAGE(OFFSET($H$3,0,0,'Données projet'!$E$13+1,1))</f>
        <v>#N/A</v>
      </c>
      <c r="CZ178" s="58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5.4092197387944907E-14</v>
      </c>
      <c r="DQ178" s="14">
        <f t="shared" si="176"/>
        <v>8.7287050538073676E-13</v>
      </c>
      <c r="DR178" s="22">
        <f t="shared" si="177"/>
        <v>1.6144600406554537E-12</v>
      </c>
      <c r="DS178" s="58">
        <f t="shared" si="125"/>
        <v>293.33333333333491</v>
      </c>
      <c r="DT178" s="58">
        <f ca="1">AVERAGE(OFFSET($DS$3,0,0,'Données projet'!$E$14+1,1))-AVERAGE(OFFSET($H$3,0,0,'Données projet'!$E$14+1,1))</f>
        <v>332.49889399440514</v>
      </c>
      <c r="DU178" s="58">
        <f t="shared" si="152"/>
        <v>256.06044006790529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5.1159076974727213E-13</v>
      </c>
      <c r="EK178" s="18">
        <f>EJ178*VLOOKUP('Données projet'!$B$15,Paramètres!$A$1:$I$89,3,0)*VLOOKUP('Données projet'!$B$15,Paramètres!$A$1:$I$89,5,0)</f>
        <v>5.3471467253984886E-13</v>
      </c>
      <c r="EL178" s="14">
        <f t="shared" si="179"/>
        <v>6.6087717628803869E-12</v>
      </c>
      <c r="EM178" s="22">
        <f t="shared" si="180"/>
        <v>1.244157220835691E-11</v>
      </c>
      <c r="EN178" s="58">
        <f t="shared" si="128"/>
        <v>293.33333333334576</v>
      </c>
      <c r="EO178" s="58">
        <f ca="1">AVERAGE(OFFSET($EN$3,0,0,'Données projet'!$E$15+1,1))-AVERAGE(OFFSET($H$3,0,0,'Données projet'!$E$15+1,1))</f>
        <v>596.00698505207174</v>
      </c>
      <c r="EP178" s="58">
        <f t="shared" si="154"/>
        <v>378.16197659288338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2.2737367544323206E-13</v>
      </c>
      <c r="FF178" s="18">
        <f>FE178*VLOOKUP('Données projet'!$B$16,Paramètres!$A$1:$I$89,3,0)*VLOOKUP('Données projet'!$B$16,Paramètres!$A$1:$I$89,5,0)</f>
        <v>1.064108801074326E-13</v>
      </c>
      <c r="FG178" s="14">
        <f t="shared" si="182"/>
        <v>1.5870730813698654E-12</v>
      </c>
      <c r="FH178" s="22">
        <f t="shared" si="183"/>
        <v>2.9494845662396269E-12</v>
      </c>
      <c r="FI178" s="58">
        <f t="shared" si="131"/>
        <v>293.33333333333627</v>
      </c>
      <c r="FJ178" s="58">
        <f ca="1">AVERAGE(OFFSET($FI$3,0,0,'Données projet'!$E$16+1,1))-AVERAGE(OFFSET($H$3,0,0,'Données projet'!$E$16+1,1))</f>
        <v>294.31042006404056</v>
      </c>
      <c r="FK178" s="58">
        <f t="shared" si="156"/>
        <v>260.93767498478502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2.8421709430404007E-13</v>
      </c>
      <c r="GA178" s="18">
        <f>FZ178*VLOOKUP('Données projet'!$B$17,Paramètres!$A$1:$I$89,3,0)*VLOOKUP('Données projet'!$B$17,Paramètres!$A$1:$I$89,5,0)</f>
        <v>1.9065282685915009E-13</v>
      </c>
      <c r="GB178" s="14">
        <f t="shared" si="185"/>
        <v>2.6568987209435707E-12</v>
      </c>
      <c r="GC178" s="22">
        <f t="shared" si="186"/>
        <v>4.959485612423072E-12</v>
      </c>
      <c r="GD178" s="58">
        <f t="shared" si="134"/>
        <v>293.33333333333826</v>
      </c>
      <c r="GE178" s="58">
        <f ca="1">AVERAGE(OFFSET($GD$3,0,0,'Données projet'!$E$17+1,1))-AVERAGE(OFFSET($H$3,0,0,'Données projet'!$E$17+1,1))</f>
        <v>362.1372269575329</v>
      </c>
      <c r="GF178" s="58">
        <f t="shared" si="158"/>
        <v>308.1559670593121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58" t="e">
        <f t="shared" si="137"/>
        <v>#N/A</v>
      </c>
      <c r="GZ178" s="58" t="e">
        <f ca="1">AVERAGE(OFFSET($GY$3,0,0,'Données projet'!$E$18+1,1))-AVERAGE(OFFSET($H$3,0,0,'Données projet'!$E$18+1,1))</f>
        <v>#N/A</v>
      </c>
      <c r="HA178" s="58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0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3">
        <f t="shared" si="110"/>
        <v>256.66666666666669</v>
      </c>
      <c r="I179" s="6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-2.8421709430404007E-13</v>
      </c>
      <c r="O179" s="14">
        <f>N179*VLOOKUP('Données projet'!$B$9,Paramètres!$A$1:$I$89,3,0)*VLOOKUP('Données projet'!$B$9,Paramètres!$A$1:$I$89,5,0)</f>
        <v>-2.8819613362429665E-13</v>
      </c>
      <c r="P179" s="14" t="e">
        <f t="shared" si="141"/>
        <v>#NUM!</v>
      </c>
      <c r="Q179" s="22" t="e">
        <f t="shared" si="162"/>
        <v>#NUM!</v>
      </c>
      <c r="R179" s="58" t="e">
        <f t="shared" si="109"/>
        <v>#NUM!</v>
      </c>
      <c r="S179" s="58">
        <f ca="1">AVERAGE(OFFSET($R$3,0,0,'Données projet'!$E$9+1,1))-AVERAGE(OFFSET($H$3,0,0,'Données projet'!$E$9+1,1))</f>
        <v>483.15009705023641</v>
      </c>
      <c r="T179" s="58">
        <f t="shared" si="142"/>
        <v>254.25036207346591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-2.8421709430404007E-13</v>
      </c>
      <c r="AJ179" s="14">
        <f>AI179*VLOOKUP('Données projet'!$B$10,Paramètres!$A$1:$I$89,3,0)*VLOOKUP('Données projet'!$B$10,Paramètres!$A$1:$I$89,5,0)</f>
        <v>-2.5715962692629546E-13</v>
      </c>
      <c r="AK179" s="14" t="e">
        <f t="shared" si="164"/>
        <v>#NUM!</v>
      </c>
      <c r="AL179" s="22" t="e">
        <f t="shared" si="165"/>
        <v>#NUM!</v>
      </c>
      <c r="AM179" s="58" t="e">
        <f t="shared" si="113"/>
        <v>#NUM!</v>
      </c>
      <c r="AN179" s="58">
        <f ca="1">AVERAGE(OFFSET($AM$3,0,0,'Données projet'!$E$10+1,1))-AVERAGE(OFFSET($H$3,0,0,'Données projet'!$E$10+1,1))</f>
        <v>435.7095890216213</v>
      </c>
      <c r="AO179" s="58">
        <f t="shared" si="144"/>
        <v>231.36959598460686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-4.9658410716801891E-14</v>
      </c>
      <c r="BF179" s="14" t="e">
        <f t="shared" si="167"/>
        <v>#NUM!</v>
      </c>
      <c r="BG179" s="22" t="e">
        <f t="shared" si="168"/>
        <v>#NUM!</v>
      </c>
      <c r="BH179" s="58" t="e">
        <f t="shared" si="116"/>
        <v>#NUM!</v>
      </c>
      <c r="BI179" s="58">
        <f ca="1">AVERAGE(OFFSET($BH$3,0,0,'Données projet'!$E$11+1,1))-AVERAGE(OFFSET($H$3,0,0,'Données projet'!$E$11+1,1))</f>
        <v>218.76424742311815</v>
      </c>
      <c r="BJ179" s="58">
        <f t="shared" si="146"/>
        <v>264.34598683038593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0.13000532471379256</v>
      </c>
      <c r="BQ179" s="23">
        <f>EXP(-LN(2)/25)*BQ178+(1-EXP(-LN(2)/25))/(LN(2)/25)*Calculateur!BL179*Calculateur!BN179*VLOOKUP('Données projet'!$B$11,Paramètres!$A$1:$I$89,3,0)*0.475*44/12</f>
        <v>7.619512476343214E-2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0.20620044947722471</v>
      </c>
      <c r="BT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58" t="e">
        <f t="shared" si="119"/>
        <v>#NUM!</v>
      </c>
      <c r="CD179" s="58">
        <f ca="1">AVERAGE(OFFSET($CC$3,0,0,'Données projet'!$E$12+1,1))-AVERAGE(OFFSET($H$3,0,0,'Données projet'!$E$12+1,1))</f>
        <v>343.86347628565426</v>
      </c>
      <c r="CE179" s="58">
        <f t="shared" si="148"/>
        <v>129.28196646107097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58" t="e">
        <f t="shared" si="122"/>
        <v>#N/A</v>
      </c>
      <c r="CY179" s="58" t="e">
        <f ca="1">AVERAGE(OFFSET($CX$3,0,0,'Données projet'!$E$13+1,1))-AVERAGE(OFFSET($H$3,0,0,'Données projet'!$E$13+1,1))</f>
        <v>#N/A</v>
      </c>
      <c r="CZ179" s="58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5.4092197387944907E-14</v>
      </c>
      <c r="DQ179" s="14">
        <f t="shared" si="176"/>
        <v>8.7287050538073676E-13</v>
      </c>
      <c r="DR179" s="22">
        <f t="shared" si="177"/>
        <v>1.6144600406554537E-12</v>
      </c>
      <c r="DS179" s="58">
        <f t="shared" si="125"/>
        <v>293.33333333333491</v>
      </c>
      <c r="DT179" s="58">
        <f ca="1">AVERAGE(OFFSET($DS$3,0,0,'Données projet'!$E$14+1,1))-AVERAGE(OFFSET($H$3,0,0,'Données projet'!$E$14+1,1))</f>
        <v>332.49889399440514</v>
      </c>
      <c r="DU179" s="58">
        <f t="shared" si="152"/>
        <v>256.06044006790529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5.1159076974727213E-13</v>
      </c>
      <c r="EK179" s="18">
        <f>EJ179*VLOOKUP('Données projet'!$B$15,Paramètres!$A$1:$I$89,3,0)*VLOOKUP('Données projet'!$B$15,Paramètres!$A$1:$I$89,5,0)</f>
        <v>5.3471467253984886E-13</v>
      </c>
      <c r="EL179" s="14">
        <f t="shared" si="179"/>
        <v>6.6087717628803869E-12</v>
      </c>
      <c r="EM179" s="22">
        <f t="shared" si="180"/>
        <v>1.244157220835691E-11</v>
      </c>
      <c r="EN179" s="58">
        <f t="shared" si="128"/>
        <v>293.33333333334576</v>
      </c>
      <c r="EO179" s="58">
        <f ca="1">AVERAGE(OFFSET($EN$3,0,0,'Données projet'!$E$15+1,1))-AVERAGE(OFFSET($H$3,0,0,'Données projet'!$E$15+1,1))</f>
        <v>596.00698505207174</v>
      </c>
      <c r="EP179" s="58">
        <f t="shared" si="154"/>
        <v>378.16197659288338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2.2737367544323206E-13</v>
      </c>
      <c r="FF179" s="18">
        <f>FE179*VLOOKUP('Données projet'!$B$16,Paramètres!$A$1:$I$89,3,0)*VLOOKUP('Données projet'!$B$16,Paramètres!$A$1:$I$89,5,0)</f>
        <v>1.064108801074326E-13</v>
      </c>
      <c r="FG179" s="14">
        <f t="shared" si="182"/>
        <v>1.5870730813698654E-12</v>
      </c>
      <c r="FH179" s="22">
        <f t="shared" si="183"/>
        <v>2.9494845662396269E-12</v>
      </c>
      <c r="FI179" s="58">
        <f t="shared" si="131"/>
        <v>293.33333333333627</v>
      </c>
      <c r="FJ179" s="58">
        <f ca="1">AVERAGE(OFFSET($FI$3,0,0,'Données projet'!$E$16+1,1))-AVERAGE(OFFSET($H$3,0,0,'Données projet'!$E$16+1,1))</f>
        <v>294.31042006404056</v>
      </c>
      <c r="FK179" s="58">
        <f t="shared" si="156"/>
        <v>260.93767498478502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2.8421709430404007E-13</v>
      </c>
      <c r="GA179" s="18">
        <f>FZ179*VLOOKUP('Données projet'!$B$17,Paramètres!$A$1:$I$89,3,0)*VLOOKUP('Données projet'!$B$17,Paramètres!$A$1:$I$89,5,0)</f>
        <v>1.9065282685915009E-13</v>
      </c>
      <c r="GB179" s="14">
        <f t="shared" si="185"/>
        <v>2.6568987209435707E-12</v>
      </c>
      <c r="GC179" s="22">
        <f t="shared" si="186"/>
        <v>4.959485612423072E-12</v>
      </c>
      <c r="GD179" s="58">
        <f t="shared" si="134"/>
        <v>293.33333333333826</v>
      </c>
      <c r="GE179" s="58">
        <f ca="1">AVERAGE(OFFSET($GD$3,0,0,'Données projet'!$E$17+1,1))-AVERAGE(OFFSET($H$3,0,0,'Données projet'!$E$17+1,1))</f>
        <v>362.1372269575329</v>
      </c>
      <c r="GF179" s="58">
        <f t="shared" si="158"/>
        <v>308.1559670593121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58" t="e">
        <f t="shared" si="137"/>
        <v>#N/A</v>
      </c>
      <c r="GZ179" s="58" t="e">
        <f ca="1">AVERAGE(OFFSET($GY$3,0,0,'Données projet'!$E$18+1,1))-AVERAGE(OFFSET($H$3,0,0,'Données projet'!$E$18+1,1))</f>
        <v>#N/A</v>
      </c>
      <c r="HA179" s="58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0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3">
        <f t="shared" si="110"/>
        <v>256.66666666666669</v>
      </c>
      <c r="I180" s="6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-2.8421709430404007E-13</v>
      </c>
      <c r="O180" s="14">
        <f>N180*VLOOKUP('Données projet'!$B$9,Paramètres!$A$1:$I$89,3,0)*VLOOKUP('Données projet'!$B$9,Paramètres!$A$1:$I$89,5,0)</f>
        <v>-2.8819613362429665E-13</v>
      </c>
      <c r="P180" s="14" t="e">
        <f t="shared" si="141"/>
        <v>#NUM!</v>
      </c>
      <c r="Q180" s="22" t="e">
        <f t="shared" si="162"/>
        <v>#NUM!</v>
      </c>
      <c r="R180" s="58" t="e">
        <f t="shared" si="109"/>
        <v>#NUM!</v>
      </c>
      <c r="S180" s="58">
        <f ca="1">AVERAGE(OFFSET($R$3,0,0,'Données projet'!$E$9+1,1))-AVERAGE(OFFSET($H$3,0,0,'Données projet'!$E$9+1,1))</f>
        <v>483.15009705023641</v>
      </c>
      <c r="T180" s="58">
        <f t="shared" si="142"/>
        <v>254.25036207346591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-2.8421709430404007E-13</v>
      </c>
      <c r="AJ180" s="14">
        <f>AI180*VLOOKUP('Données projet'!$B$10,Paramètres!$A$1:$I$89,3,0)*VLOOKUP('Données projet'!$B$10,Paramètres!$A$1:$I$89,5,0)</f>
        <v>-2.5715962692629546E-13</v>
      </c>
      <c r="AK180" s="14" t="e">
        <f t="shared" si="164"/>
        <v>#NUM!</v>
      </c>
      <c r="AL180" s="22" t="e">
        <f t="shared" si="165"/>
        <v>#NUM!</v>
      </c>
      <c r="AM180" s="58" t="e">
        <f t="shared" si="113"/>
        <v>#NUM!</v>
      </c>
      <c r="AN180" s="58">
        <f ca="1">AVERAGE(OFFSET($AM$3,0,0,'Données projet'!$E$10+1,1))-AVERAGE(OFFSET($H$3,0,0,'Données projet'!$E$10+1,1))</f>
        <v>435.7095890216213</v>
      </c>
      <c r="AO180" s="58">
        <f t="shared" si="144"/>
        <v>231.36959598460686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-4.9658410716801891E-14</v>
      </c>
      <c r="BF180" s="14" t="e">
        <f t="shared" si="167"/>
        <v>#NUM!</v>
      </c>
      <c r="BG180" s="22" t="e">
        <f t="shared" si="168"/>
        <v>#NUM!</v>
      </c>
      <c r="BH180" s="58" t="e">
        <f t="shared" si="116"/>
        <v>#NUM!</v>
      </c>
      <c r="BI180" s="58">
        <f ca="1">AVERAGE(OFFSET($BH$3,0,0,'Données projet'!$E$11+1,1))-AVERAGE(OFFSET($H$3,0,0,'Données projet'!$E$11+1,1))</f>
        <v>218.76424742311815</v>
      </c>
      <c r="BJ180" s="58">
        <f t="shared" si="146"/>
        <v>264.34598683038593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0.12745599959157339</v>
      </c>
      <c r="BQ180" s="23">
        <f>EXP(-LN(2)/25)*BQ179+(1-EXP(-LN(2)/25))/(LN(2)/25)*Calculateur!BL180*Calculateur!BN180*VLOOKUP('Données projet'!$B$11,Paramètres!$A$1:$I$89,3,0)*0.475*44/12</f>
        <v>7.4111565069848617E-2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0.20156756466142201</v>
      </c>
      <c r="BT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58" t="e">
        <f t="shared" si="119"/>
        <v>#NUM!</v>
      </c>
      <c r="CD180" s="58">
        <f ca="1">AVERAGE(OFFSET($CC$3,0,0,'Données projet'!$E$12+1,1))-AVERAGE(OFFSET($H$3,0,0,'Données projet'!$E$12+1,1))</f>
        <v>343.86347628565426</v>
      </c>
      <c r="CE180" s="58">
        <f t="shared" si="148"/>
        <v>129.28196646107097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58" t="e">
        <f t="shared" si="122"/>
        <v>#N/A</v>
      </c>
      <c r="CY180" s="58" t="e">
        <f ca="1">AVERAGE(OFFSET($CX$3,0,0,'Données projet'!$E$13+1,1))-AVERAGE(OFFSET($H$3,0,0,'Données projet'!$E$13+1,1))</f>
        <v>#N/A</v>
      </c>
      <c r="CZ180" s="58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5.4092197387944907E-14</v>
      </c>
      <c r="DQ180" s="14">
        <f t="shared" si="176"/>
        <v>8.7287050538073676E-13</v>
      </c>
      <c r="DR180" s="22">
        <f t="shared" si="177"/>
        <v>1.6144600406554537E-12</v>
      </c>
      <c r="DS180" s="58">
        <f t="shared" si="125"/>
        <v>293.33333333333491</v>
      </c>
      <c r="DT180" s="58">
        <f ca="1">AVERAGE(OFFSET($DS$3,0,0,'Données projet'!$E$14+1,1))-AVERAGE(OFFSET($H$3,0,0,'Données projet'!$E$14+1,1))</f>
        <v>332.49889399440514</v>
      </c>
      <c r="DU180" s="58">
        <f t="shared" si="152"/>
        <v>256.06044006790529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5.1159076974727213E-13</v>
      </c>
      <c r="EK180" s="18">
        <f>EJ180*VLOOKUP('Données projet'!$B$15,Paramètres!$A$1:$I$89,3,0)*VLOOKUP('Données projet'!$B$15,Paramètres!$A$1:$I$89,5,0)</f>
        <v>5.3471467253984886E-13</v>
      </c>
      <c r="EL180" s="14">
        <f t="shared" si="179"/>
        <v>6.6087717628803869E-12</v>
      </c>
      <c r="EM180" s="22">
        <f t="shared" si="180"/>
        <v>1.244157220835691E-11</v>
      </c>
      <c r="EN180" s="58">
        <f t="shared" si="128"/>
        <v>293.33333333334576</v>
      </c>
      <c r="EO180" s="58">
        <f ca="1">AVERAGE(OFFSET($EN$3,0,0,'Données projet'!$E$15+1,1))-AVERAGE(OFFSET($H$3,0,0,'Données projet'!$E$15+1,1))</f>
        <v>596.00698505207174</v>
      </c>
      <c r="EP180" s="58">
        <f t="shared" si="154"/>
        <v>378.16197659288338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2.2737367544323206E-13</v>
      </c>
      <c r="FF180" s="18">
        <f>FE180*VLOOKUP('Données projet'!$B$16,Paramètres!$A$1:$I$89,3,0)*VLOOKUP('Données projet'!$B$16,Paramètres!$A$1:$I$89,5,0)</f>
        <v>1.064108801074326E-13</v>
      </c>
      <c r="FG180" s="14">
        <f t="shared" si="182"/>
        <v>1.5870730813698654E-12</v>
      </c>
      <c r="FH180" s="22">
        <f t="shared" si="183"/>
        <v>2.9494845662396269E-12</v>
      </c>
      <c r="FI180" s="58">
        <f t="shared" si="131"/>
        <v>293.33333333333627</v>
      </c>
      <c r="FJ180" s="58">
        <f ca="1">AVERAGE(OFFSET($FI$3,0,0,'Données projet'!$E$16+1,1))-AVERAGE(OFFSET($H$3,0,0,'Données projet'!$E$16+1,1))</f>
        <v>294.31042006404056</v>
      </c>
      <c r="FK180" s="58">
        <f t="shared" si="156"/>
        <v>260.93767498478502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2.8421709430404007E-13</v>
      </c>
      <c r="GA180" s="18">
        <f>FZ180*VLOOKUP('Données projet'!$B$17,Paramètres!$A$1:$I$89,3,0)*VLOOKUP('Données projet'!$B$17,Paramètres!$A$1:$I$89,5,0)</f>
        <v>1.9065282685915009E-13</v>
      </c>
      <c r="GB180" s="14">
        <f t="shared" si="185"/>
        <v>2.6568987209435707E-12</v>
      </c>
      <c r="GC180" s="22">
        <f t="shared" si="186"/>
        <v>4.959485612423072E-12</v>
      </c>
      <c r="GD180" s="58">
        <f t="shared" si="134"/>
        <v>293.33333333333826</v>
      </c>
      <c r="GE180" s="58">
        <f ca="1">AVERAGE(OFFSET($GD$3,0,0,'Données projet'!$E$17+1,1))-AVERAGE(OFFSET($H$3,0,0,'Données projet'!$E$17+1,1))</f>
        <v>362.1372269575329</v>
      </c>
      <c r="GF180" s="58">
        <f t="shared" si="158"/>
        <v>308.1559670593121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58" t="e">
        <f t="shared" si="137"/>
        <v>#N/A</v>
      </c>
      <c r="GZ180" s="58" t="e">
        <f ca="1">AVERAGE(OFFSET($GY$3,0,0,'Données projet'!$E$18+1,1))-AVERAGE(OFFSET($H$3,0,0,'Données projet'!$E$18+1,1))</f>
        <v>#N/A</v>
      </c>
      <c r="HA180" s="58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0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3">
        <f t="shared" si="110"/>
        <v>256.66666666666669</v>
      </c>
      <c r="I181" s="6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-2.8421709430404007E-13</v>
      </c>
      <c r="O181" s="14">
        <f>N181*VLOOKUP('Données projet'!$B$9,Paramètres!$A$1:$I$89,3,0)*VLOOKUP('Données projet'!$B$9,Paramètres!$A$1:$I$89,5,0)</f>
        <v>-2.8819613362429665E-13</v>
      </c>
      <c r="P181" s="14" t="e">
        <f t="shared" si="141"/>
        <v>#NUM!</v>
      </c>
      <c r="Q181" s="22" t="e">
        <f t="shared" si="162"/>
        <v>#NUM!</v>
      </c>
      <c r="R181" s="58" t="e">
        <f t="shared" si="109"/>
        <v>#NUM!</v>
      </c>
      <c r="S181" s="58">
        <f ca="1">AVERAGE(OFFSET($R$3,0,0,'Données projet'!$E$9+1,1))-AVERAGE(OFFSET($H$3,0,0,'Données projet'!$E$9+1,1))</f>
        <v>483.15009705023641</v>
      </c>
      <c r="T181" s="58">
        <f t="shared" si="142"/>
        <v>254.25036207346591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-2.8421709430404007E-13</v>
      </c>
      <c r="AJ181" s="14">
        <f>AI181*VLOOKUP('Données projet'!$B$10,Paramètres!$A$1:$I$89,3,0)*VLOOKUP('Données projet'!$B$10,Paramètres!$A$1:$I$89,5,0)</f>
        <v>-2.5715962692629546E-13</v>
      </c>
      <c r="AK181" s="14" t="e">
        <f t="shared" si="164"/>
        <v>#NUM!</v>
      </c>
      <c r="AL181" s="22" t="e">
        <f t="shared" si="165"/>
        <v>#NUM!</v>
      </c>
      <c r="AM181" s="58" t="e">
        <f t="shared" si="113"/>
        <v>#NUM!</v>
      </c>
      <c r="AN181" s="58">
        <f ca="1">AVERAGE(OFFSET($AM$3,0,0,'Données projet'!$E$10+1,1))-AVERAGE(OFFSET($H$3,0,0,'Données projet'!$E$10+1,1))</f>
        <v>435.7095890216213</v>
      </c>
      <c r="AO181" s="58">
        <f t="shared" si="144"/>
        <v>231.36959598460686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-4.9658410716801891E-14</v>
      </c>
      <c r="BF181" s="14" t="e">
        <f t="shared" si="167"/>
        <v>#NUM!</v>
      </c>
      <c r="BG181" s="22" t="e">
        <f t="shared" si="168"/>
        <v>#NUM!</v>
      </c>
      <c r="BH181" s="58" t="e">
        <f t="shared" si="116"/>
        <v>#NUM!</v>
      </c>
      <c r="BI181" s="58">
        <f ca="1">AVERAGE(OFFSET($BH$3,0,0,'Données projet'!$E$11+1,1))-AVERAGE(OFFSET($H$3,0,0,'Données projet'!$E$11+1,1))</f>
        <v>218.76424742311815</v>
      </c>
      <c r="BJ181" s="58">
        <f t="shared" si="146"/>
        <v>264.34598683038593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0.12495666518006615</v>
      </c>
      <c r="BQ181" s="23">
        <f>EXP(-LN(2)/25)*BQ180+(1-EXP(-LN(2)/25))/(LN(2)/25)*Calculateur!BL181*Calculateur!BN181*VLOOKUP('Données projet'!$B$11,Paramètres!$A$1:$I$89,3,0)*0.475*44/12</f>
        <v>7.2084980425655781E-2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0.19704164560572193</v>
      </c>
      <c r="BT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58" t="e">
        <f t="shared" si="119"/>
        <v>#NUM!</v>
      </c>
      <c r="CD181" s="58">
        <f ca="1">AVERAGE(OFFSET($CC$3,0,0,'Données projet'!$E$12+1,1))-AVERAGE(OFFSET($H$3,0,0,'Données projet'!$E$12+1,1))</f>
        <v>343.86347628565426</v>
      </c>
      <c r="CE181" s="58">
        <f t="shared" si="148"/>
        <v>129.28196646107097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58" t="e">
        <f t="shared" si="122"/>
        <v>#N/A</v>
      </c>
      <c r="CY181" s="58" t="e">
        <f ca="1">AVERAGE(OFFSET($CX$3,0,0,'Données projet'!$E$13+1,1))-AVERAGE(OFFSET($H$3,0,0,'Données projet'!$E$13+1,1))</f>
        <v>#N/A</v>
      </c>
      <c r="CZ181" s="58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5.4092197387944907E-14</v>
      </c>
      <c r="DQ181" s="14">
        <f t="shared" si="176"/>
        <v>8.7287050538073676E-13</v>
      </c>
      <c r="DR181" s="22">
        <f t="shared" si="177"/>
        <v>1.6144600406554537E-12</v>
      </c>
      <c r="DS181" s="58">
        <f t="shared" si="125"/>
        <v>293.33333333333491</v>
      </c>
      <c r="DT181" s="58">
        <f ca="1">AVERAGE(OFFSET($DS$3,0,0,'Données projet'!$E$14+1,1))-AVERAGE(OFFSET($H$3,0,0,'Données projet'!$E$14+1,1))</f>
        <v>332.49889399440514</v>
      </c>
      <c r="DU181" s="58">
        <f t="shared" si="152"/>
        <v>256.06044006790529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5.1159076974727213E-13</v>
      </c>
      <c r="EK181" s="18">
        <f>EJ181*VLOOKUP('Données projet'!$B$15,Paramètres!$A$1:$I$89,3,0)*VLOOKUP('Données projet'!$B$15,Paramètres!$A$1:$I$89,5,0)</f>
        <v>5.3471467253984886E-13</v>
      </c>
      <c r="EL181" s="14">
        <f t="shared" si="179"/>
        <v>6.6087717628803869E-12</v>
      </c>
      <c r="EM181" s="22">
        <f t="shared" si="180"/>
        <v>1.244157220835691E-11</v>
      </c>
      <c r="EN181" s="58">
        <f t="shared" si="128"/>
        <v>293.33333333334576</v>
      </c>
      <c r="EO181" s="58">
        <f ca="1">AVERAGE(OFFSET($EN$3,0,0,'Données projet'!$E$15+1,1))-AVERAGE(OFFSET($H$3,0,0,'Données projet'!$E$15+1,1))</f>
        <v>596.00698505207174</v>
      </c>
      <c r="EP181" s="58">
        <f t="shared" si="154"/>
        <v>378.16197659288338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2.2737367544323206E-13</v>
      </c>
      <c r="FF181" s="18">
        <f>FE181*VLOOKUP('Données projet'!$B$16,Paramètres!$A$1:$I$89,3,0)*VLOOKUP('Données projet'!$B$16,Paramètres!$A$1:$I$89,5,0)</f>
        <v>1.064108801074326E-13</v>
      </c>
      <c r="FG181" s="14">
        <f t="shared" si="182"/>
        <v>1.5870730813698654E-12</v>
      </c>
      <c r="FH181" s="22">
        <f t="shared" si="183"/>
        <v>2.9494845662396269E-12</v>
      </c>
      <c r="FI181" s="58">
        <f t="shared" si="131"/>
        <v>293.33333333333627</v>
      </c>
      <c r="FJ181" s="58">
        <f ca="1">AVERAGE(OFFSET($FI$3,0,0,'Données projet'!$E$16+1,1))-AVERAGE(OFFSET($H$3,0,0,'Données projet'!$E$16+1,1))</f>
        <v>294.31042006404056</v>
      </c>
      <c r="FK181" s="58">
        <f t="shared" si="156"/>
        <v>260.93767498478502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2.8421709430404007E-13</v>
      </c>
      <c r="GA181" s="18">
        <f>FZ181*VLOOKUP('Données projet'!$B$17,Paramètres!$A$1:$I$89,3,0)*VLOOKUP('Données projet'!$B$17,Paramètres!$A$1:$I$89,5,0)</f>
        <v>1.9065282685915009E-13</v>
      </c>
      <c r="GB181" s="14">
        <f t="shared" si="185"/>
        <v>2.6568987209435707E-12</v>
      </c>
      <c r="GC181" s="22">
        <f t="shared" si="186"/>
        <v>4.959485612423072E-12</v>
      </c>
      <c r="GD181" s="58">
        <f t="shared" si="134"/>
        <v>293.33333333333826</v>
      </c>
      <c r="GE181" s="58">
        <f ca="1">AVERAGE(OFFSET($GD$3,0,0,'Données projet'!$E$17+1,1))-AVERAGE(OFFSET($H$3,0,0,'Données projet'!$E$17+1,1))</f>
        <v>362.1372269575329</v>
      </c>
      <c r="GF181" s="58">
        <f t="shared" si="158"/>
        <v>308.1559670593121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58" t="e">
        <f t="shared" si="137"/>
        <v>#N/A</v>
      </c>
      <c r="GZ181" s="58" t="e">
        <f ca="1">AVERAGE(OFFSET($GY$3,0,0,'Données projet'!$E$18+1,1))-AVERAGE(OFFSET($H$3,0,0,'Données projet'!$E$18+1,1))</f>
        <v>#N/A</v>
      </c>
      <c r="HA181" s="58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0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3">
        <f t="shared" si="110"/>
        <v>256.66666666666669</v>
      </c>
      <c r="I182" s="6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-2.8421709430404007E-13</v>
      </c>
      <c r="O182" s="14">
        <f>N182*VLOOKUP('Données projet'!$B$9,Paramètres!$A$1:$I$89,3,0)*VLOOKUP('Données projet'!$B$9,Paramètres!$A$1:$I$89,5,0)</f>
        <v>-2.8819613362429665E-13</v>
      </c>
      <c r="P182" s="14" t="e">
        <f t="shared" si="141"/>
        <v>#NUM!</v>
      </c>
      <c r="Q182" s="22" t="e">
        <f t="shared" si="162"/>
        <v>#NUM!</v>
      </c>
      <c r="R182" s="58" t="e">
        <f t="shared" si="109"/>
        <v>#NUM!</v>
      </c>
      <c r="S182" s="58">
        <f ca="1">AVERAGE(OFFSET($R$3,0,0,'Données projet'!$E$9+1,1))-AVERAGE(OFFSET($H$3,0,0,'Données projet'!$E$9+1,1))</f>
        <v>483.15009705023641</v>
      </c>
      <c r="T182" s="58">
        <f t="shared" si="142"/>
        <v>254.25036207346591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-2.8421709430404007E-13</v>
      </c>
      <c r="AJ182" s="14">
        <f>AI182*VLOOKUP('Données projet'!$B$10,Paramètres!$A$1:$I$89,3,0)*VLOOKUP('Données projet'!$B$10,Paramètres!$A$1:$I$89,5,0)</f>
        <v>-2.5715962692629546E-13</v>
      </c>
      <c r="AK182" s="14" t="e">
        <f t="shared" si="164"/>
        <v>#NUM!</v>
      </c>
      <c r="AL182" s="22" t="e">
        <f t="shared" si="165"/>
        <v>#NUM!</v>
      </c>
      <c r="AM182" s="58" t="e">
        <f t="shared" si="113"/>
        <v>#NUM!</v>
      </c>
      <c r="AN182" s="58">
        <f ca="1">AVERAGE(OFFSET($AM$3,0,0,'Données projet'!$E$10+1,1))-AVERAGE(OFFSET($H$3,0,0,'Données projet'!$E$10+1,1))</f>
        <v>435.7095890216213</v>
      </c>
      <c r="AO182" s="58">
        <f t="shared" si="144"/>
        <v>231.36959598460686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-4.9658410716801891E-14</v>
      </c>
      <c r="BF182" s="14" t="e">
        <f t="shared" si="167"/>
        <v>#NUM!</v>
      </c>
      <c r="BG182" s="22" t="e">
        <f t="shared" si="168"/>
        <v>#NUM!</v>
      </c>
      <c r="BH182" s="58" t="e">
        <f t="shared" si="116"/>
        <v>#NUM!</v>
      </c>
      <c r="BI182" s="58">
        <f ca="1">AVERAGE(OFFSET($BH$3,0,0,'Données projet'!$E$11+1,1))-AVERAGE(OFFSET($H$3,0,0,'Données projet'!$E$11+1,1))</f>
        <v>218.76424742311815</v>
      </c>
      <c r="BJ182" s="58">
        <f t="shared" si="146"/>
        <v>264.34598683038593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0.12250634119192511</v>
      </c>
      <c r="BQ182" s="23">
        <f>EXP(-LN(2)/25)*BQ181+(1-EXP(-LN(2)/25))/(LN(2)/25)*Calculateur!BL182*Calculateur!BN182*VLOOKUP('Données projet'!$B$11,Paramètres!$A$1:$I$89,3,0)*0.475*44/12</f>
        <v>7.0113812845131851E-2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0.19262015403705696</v>
      </c>
      <c r="BT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58" t="e">
        <f t="shared" si="119"/>
        <v>#NUM!</v>
      </c>
      <c r="CD182" s="58">
        <f ca="1">AVERAGE(OFFSET($CC$3,0,0,'Données projet'!$E$12+1,1))-AVERAGE(OFFSET($H$3,0,0,'Données projet'!$E$12+1,1))</f>
        <v>343.86347628565426</v>
      </c>
      <c r="CE182" s="58">
        <f t="shared" si="148"/>
        <v>129.28196646107097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58" t="e">
        <f t="shared" si="122"/>
        <v>#N/A</v>
      </c>
      <c r="CY182" s="58" t="e">
        <f ca="1">AVERAGE(OFFSET($CX$3,0,0,'Données projet'!$E$13+1,1))-AVERAGE(OFFSET($H$3,0,0,'Données projet'!$E$13+1,1))</f>
        <v>#N/A</v>
      </c>
      <c r="CZ182" s="58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5.4092197387944907E-14</v>
      </c>
      <c r="DQ182" s="14">
        <f t="shared" si="176"/>
        <v>8.7287050538073676E-13</v>
      </c>
      <c r="DR182" s="22">
        <f t="shared" si="177"/>
        <v>1.6144600406554537E-12</v>
      </c>
      <c r="DS182" s="58">
        <f t="shared" si="125"/>
        <v>293.33333333333491</v>
      </c>
      <c r="DT182" s="58">
        <f ca="1">AVERAGE(OFFSET($DS$3,0,0,'Données projet'!$E$14+1,1))-AVERAGE(OFFSET($H$3,0,0,'Données projet'!$E$14+1,1))</f>
        <v>332.49889399440514</v>
      </c>
      <c r="DU182" s="58">
        <f t="shared" si="152"/>
        <v>256.06044006790529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5.1159076974727213E-13</v>
      </c>
      <c r="EK182" s="18">
        <f>EJ182*VLOOKUP('Données projet'!$B$15,Paramètres!$A$1:$I$89,3,0)*VLOOKUP('Données projet'!$B$15,Paramètres!$A$1:$I$89,5,0)</f>
        <v>5.3471467253984886E-13</v>
      </c>
      <c r="EL182" s="14">
        <f t="shared" si="179"/>
        <v>6.6087717628803869E-12</v>
      </c>
      <c r="EM182" s="22">
        <f t="shared" si="180"/>
        <v>1.244157220835691E-11</v>
      </c>
      <c r="EN182" s="58">
        <f t="shared" si="128"/>
        <v>293.33333333334576</v>
      </c>
      <c r="EO182" s="58">
        <f ca="1">AVERAGE(OFFSET($EN$3,0,0,'Données projet'!$E$15+1,1))-AVERAGE(OFFSET($H$3,0,0,'Données projet'!$E$15+1,1))</f>
        <v>596.00698505207174</v>
      </c>
      <c r="EP182" s="58">
        <f t="shared" si="154"/>
        <v>378.16197659288338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2.2737367544323206E-13</v>
      </c>
      <c r="FF182" s="18">
        <f>FE182*VLOOKUP('Données projet'!$B$16,Paramètres!$A$1:$I$89,3,0)*VLOOKUP('Données projet'!$B$16,Paramètres!$A$1:$I$89,5,0)</f>
        <v>1.064108801074326E-13</v>
      </c>
      <c r="FG182" s="14">
        <f t="shared" si="182"/>
        <v>1.5870730813698654E-12</v>
      </c>
      <c r="FH182" s="22">
        <f t="shared" si="183"/>
        <v>2.9494845662396269E-12</v>
      </c>
      <c r="FI182" s="58">
        <f t="shared" si="131"/>
        <v>293.33333333333627</v>
      </c>
      <c r="FJ182" s="58">
        <f ca="1">AVERAGE(OFFSET($FI$3,0,0,'Données projet'!$E$16+1,1))-AVERAGE(OFFSET($H$3,0,0,'Données projet'!$E$16+1,1))</f>
        <v>294.31042006404056</v>
      </c>
      <c r="FK182" s="58">
        <f t="shared" si="156"/>
        <v>260.93767498478502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2.8421709430404007E-13</v>
      </c>
      <c r="GA182" s="18">
        <f>FZ182*VLOOKUP('Données projet'!$B$17,Paramètres!$A$1:$I$89,3,0)*VLOOKUP('Données projet'!$B$17,Paramètres!$A$1:$I$89,5,0)</f>
        <v>1.9065282685915009E-13</v>
      </c>
      <c r="GB182" s="14">
        <f t="shared" si="185"/>
        <v>2.6568987209435707E-12</v>
      </c>
      <c r="GC182" s="22">
        <f t="shared" si="186"/>
        <v>4.959485612423072E-12</v>
      </c>
      <c r="GD182" s="58">
        <f t="shared" si="134"/>
        <v>293.33333333333826</v>
      </c>
      <c r="GE182" s="58">
        <f ca="1">AVERAGE(OFFSET($GD$3,0,0,'Données projet'!$E$17+1,1))-AVERAGE(OFFSET($H$3,0,0,'Données projet'!$E$17+1,1))</f>
        <v>362.1372269575329</v>
      </c>
      <c r="GF182" s="58">
        <f t="shared" si="158"/>
        <v>308.1559670593121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58" t="e">
        <f t="shared" si="137"/>
        <v>#N/A</v>
      </c>
      <c r="GZ182" s="58" t="e">
        <f ca="1">AVERAGE(OFFSET($GY$3,0,0,'Données projet'!$E$18+1,1))-AVERAGE(OFFSET($H$3,0,0,'Données projet'!$E$18+1,1))</f>
        <v>#N/A</v>
      </c>
      <c r="HA182" s="58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0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3">
        <f t="shared" si="110"/>
        <v>256.66666666666669</v>
      </c>
      <c r="I183" s="6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-2.8421709430404007E-13</v>
      </c>
      <c r="O183" s="14">
        <f>N183*VLOOKUP('Données projet'!$B$9,Paramètres!$A$1:$I$89,3,0)*VLOOKUP('Données projet'!$B$9,Paramètres!$A$1:$I$89,5,0)</f>
        <v>-2.8819613362429665E-13</v>
      </c>
      <c r="P183" s="14" t="e">
        <f t="shared" si="141"/>
        <v>#NUM!</v>
      </c>
      <c r="Q183" s="22" t="e">
        <f t="shared" si="162"/>
        <v>#NUM!</v>
      </c>
      <c r="R183" s="58" t="e">
        <f t="shared" si="109"/>
        <v>#NUM!</v>
      </c>
      <c r="S183" s="58">
        <f ca="1">AVERAGE(OFFSET($R$3,0,0,'Données projet'!$E$9+1,1))-AVERAGE(OFFSET($H$3,0,0,'Données projet'!$E$9+1,1))</f>
        <v>483.15009705023641</v>
      </c>
      <c r="T183" s="58">
        <f t="shared" si="142"/>
        <v>254.25036207346591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-2.8421709430404007E-13</v>
      </c>
      <c r="AJ183" s="14">
        <f>AI183*VLOOKUP('Données projet'!$B$10,Paramètres!$A$1:$I$89,3,0)*VLOOKUP('Données projet'!$B$10,Paramètres!$A$1:$I$89,5,0)</f>
        <v>-2.5715962692629546E-13</v>
      </c>
      <c r="AK183" s="14" t="e">
        <f t="shared" si="164"/>
        <v>#NUM!</v>
      </c>
      <c r="AL183" s="22" t="e">
        <f t="shared" si="165"/>
        <v>#NUM!</v>
      </c>
      <c r="AM183" s="58" t="e">
        <f t="shared" si="113"/>
        <v>#NUM!</v>
      </c>
      <c r="AN183" s="58">
        <f ca="1">AVERAGE(OFFSET($AM$3,0,0,'Données projet'!$E$10+1,1))-AVERAGE(OFFSET($H$3,0,0,'Données projet'!$E$10+1,1))</f>
        <v>435.7095890216213</v>
      </c>
      <c r="AO183" s="58">
        <f t="shared" si="144"/>
        <v>231.36959598460686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-4.9658410716801891E-14</v>
      </c>
      <c r="BF183" s="14" t="e">
        <f t="shared" si="167"/>
        <v>#NUM!</v>
      </c>
      <c r="BG183" s="22" t="e">
        <f t="shared" si="168"/>
        <v>#NUM!</v>
      </c>
      <c r="BH183" s="58" t="e">
        <f t="shared" si="116"/>
        <v>#NUM!</v>
      </c>
      <c r="BI183" s="58">
        <f ca="1">AVERAGE(OFFSET($BH$3,0,0,'Données projet'!$E$11+1,1))-AVERAGE(OFFSET($H$3,0,0,'Données projet'!$E$11+1,1))</f>
        <v>218.76424742311815</v>
      </c>
      <c r="BJ183" s="58">
        <f t="shared" si="146"/>
        <v>264.34598683038593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0.12010406656264144</v>
      </c>
      <c r="BQ183" s="23">
        <f>EXP(-LN(2)/25)*BQ182+(1-EXP(-LN(2)/25))/(LN(2)/25)*Calculateur!BL183*Calculateur!BN183*VLOOKUP('Données projet'!$B$11,Paramètres!$A$1:$I$89,3,0)*0.475*44/12</f>
        <v>6.8196546945756553E-2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0.188300613508398</v>
      </c>
      <c r="BT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58" t="e">
        <f t="shared" si="119"/>
        <v>#NUM!</v>
      </c>
      <c r="CD183" s="58">
        <f ca="1">AVERAGE(OFFSET($CC$3,0,0,'Données projet'!$E$12+1,1))-AVERAGE(OFFSET($H$3,0,0,'Données projet'!$E$12+1,1))</f>
        <v>343.86347628565426</v>
      </c>
      <c r="CE183" s="58">
        <f t="shared" si="148"/>
        <v>129.28196646107097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58" t="e">
        <f t="shared" si="122"/>
        <v>#N/A</v>
      </c>
      <c r="CY183" s="58" t="e">
        <f ca="1">AVERAGE(OFFSET($CX$3,0,0,'Données projet'!$E$13+1,1))-AVERAGE(OFFSET($H$3,0,0,'Données projet'!$E$13+1,1))</f>
        <v>#N/A</v>
      </c>
      <c r="CZ183" s="58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5.4092197387944907E-14</v>
      </c>
      <c r="DQ183" s="14">
        <f t="shared" si="176"/>
        <v>8.7287050538073676E-13</v>
      </c>
      <c r="DR183" s="22">
        <f t="shared" si="177"/>
        <v>1.6144600406554537E-12</v>
      </c>
      <c r="DS183" s="58">
        <f t="shared" si="125"/>
        <v>293.33333333333491</v>
      </c>
      <c r="DT183" s="58">
        <f ca="1">AVERAGE(OFFSET($DS$3,0,0,'Données projet'!$E$14+1,1))-AVERAGE(OFFSET($H$3,0,0,'Données projet'!$E$14+1,1))</f>
        <v>332.49889399440514</v>
      </c>
      <c r="DU183" s="58">
        <f t="shared" si="152"/>
        <v>256.06044006790529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5.1159076974727213E-13</v>
      </c>
      <c r="EK183" s="18">
        <f>EJ183*VLOOKUP('Données projet'!$B$15,Paramètres!$A$1:$I$89,3,0)*VLOOKUP('Données projet'!$B$15,Paramètres!$A$1:$I$89,5,0)</f>
        <v>5.3471467253984886E-13</v>
      </c>
      <c r="EL183" s="14">
        <f t="shared" si="179"/>
        <v>6.6087717628803869E-12</v>
      </c>
      <c r="EM183" s="22">
        <f t="shared" si="180"/>
        <v>1.244157220835691E-11</v>
      </c>
      <c r="EN183" s="58">
        <f t="shared" si="128"/>
        <v>293.33333333334576</v>
      </c>
      <c r="EO183" s="58">
        <f ca="1">AVERAGE(OFFSET($EN$3,0,0,'Données projet'!$E$15+1,1))-AVERAGE(OFFSET($H$3,0,0,'Données projet'!$E$15+1,1))</f>
        <v>596.00698505207174</v>
      </c>
      <c r="EP183" s="58">
        <f t="shared" si="154"/>
        <v>378.16197659288338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2.2737367544323206E-13</v>
      </c>
      <c r="FF183" s="18">
        <f>FE183*VLOOKUP('Données projet'!$B$16,Paramètres!$A$1:$I$89,3,0)*VLOOKUP('Données projet'!$B$16,Paramètres!$A$1:$I$89,5,0)</f>
        <v>1.064108801074326E-13</v>
      </c>
      <c r="FG183" s="14">
        <f t="shared" si="182"/>
        <v>1.5870730813698654E-12</v>
      </c>
      <c r="FH183" s="22">
        <f t="shared" si="183"/>
        <v>2.9494845662396269E-12</v>
      </c>
      <c r="FI183" s="58">
        <f t="shared" si="131"/>
        <v>293.33333333333627</v>
      </c>
      <c r="FJ183" s="58">
        <f ca="1">AVERAGE(OFFSET($FI$3,0,0,'Données projet'!$E$16+1,1))-AVERAGE(OFFSET($H$3,0,0,'Données projet'!$E$16+1,1))</f>
        <v>294.31042006404056</v>
      </c>
      <c r="FK183" s="58">
        <f t="shared" si="156"/>
        <v>260.93767498478502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2.8421709430404007E-13</v>
      </c>
      <c r="GA183" s="18">
        <f>FZ183*VLOOKUP('Données projet'!$B$17,Paramètres!$A$1:$I$89,3,0)*VLOOKUP('Données projet'!$B$17,Paramètres!$A$1:$I$89,5,0)</f>
        <v>1.9065282685915009E-13</v>
      </c>
      <c r="GB183" s="14">
        <f t="shared" si="185"/>
        <v>2.6568987209435707E-12</v>
      </c>
      <c r="GC183" s="22">
        <f t="shared" si="186"/>
        <v>4.959485612423072E-12</v>
      </c>
      <c r="GD183" s="58">
        <f t="shared" si="134"/>
        <v>293.33333333333826</v>
      </c>
      <c r="GE183" s="58">
        <f ca="1">AVERAGE(OFFSET($GD$3,0,0,'Données projet'!$E$17+1,1))-AVERAGE(OFFSET($H$3,0,0,'Données projet'!$E$17+1,1))</f>
        <v>362.1372269575329</v>
      </c>
      <c r="GF183" s="58">
        <f t="shared" si="158"/>
        <v>308.1559670593121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58" t="e">
        <f t="shared" si="137"/>
        <v>#N/A</v>
      </c>
      <c r="GZ183" s="58" t="e">
        <f ca="1">AVERAGE(OFFSET($GY$3,0,0,'Données projet'!$E$18+1,1))-AVERAGE(OFFSET($H$3,0,0,'Données projet'!$E$18+1,1))</f>
        <v>#N/A</v>
      </c>
      <c r="HA183" s="58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0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3">
        <f t="shared" si="110"/>
        <v>256.66666666666669</v>
      </c>
      <c r="I184" s="6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-2.8421709430404007E-13</v>
      </c>
      <c r="O184" s="14">
        <f>N184*VLOOKUP('Données projet'!$B$9,Paramètres!$A$1:$I$89,3,0)*VLOOKUP('Données projet'!$B$9,Paramètres!$A$1:$I$89,5,0)</f>
        <v>-2.8819613362429665E-13</v>
      </c>
      <c r="P184" s="14" t="e">
        <f t="shared" si="141"/>
        <v>#NUM!</v>
      </c>
      <c r="Q184" s="22" t="e">
        <f t="shared" si="162"/>
        <v>#NUM!</v>
      </c>
      <c r="R184" s="58" t="e">
        <f t="shared" si="109"/>
        <v>#NUM!</v>
      </c>
      <c r="S184" s="58">
        <f ca="1">AVERAGE(OFFSET($R$3,0,0,'Données projet'!$E$9+1,1))-AVERAGE(OFFSET($H$3,0,0,'Données projet'!$E$9+1,1))</f>
        <v>483.15009705023641</v>
      </c>
      <c r="T184" s="58">
        <f t="shared" si="142"/>
        <v>254.25036207346591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-2.8421709430404007E-13</v>
      </c>
      <c r="AJ184" s="14">
        <f>AI184*VLOOKUP('Données projet'!$B$10,Paramètres!$A$1:$I$89,3,0)*VLOOKUP('Données projet'!$B$10,Paramètres!$A$1:$I$89,5,0)</f>
        <v>-2.5715962692629546E-13</v>
      </c>
      <c r="AK184" s="14" t="e">
        <f t="shared" si="164"/>
        <v>#NUM!</v>
      </c>
      <c r="AL184" s="22" t="e">
        <f t="shared" si="165"/>
        <v>#NUM!</v>
      </c>
      <c r="AM184" s="58" t="e">
        <f t="shared" si="113"/>
        <v>#NUM!</v>
      </c>
      <c r="AN184" s="58">
        <f ca="1">AVERAGE(OFFSET($AM$3,0,0,'Données projet'!$E$10+1,1))-AVERAGE(OFFSET($H$3,0,0,'Données projet'!$E$10+1,1))</f>
        <v>435.7095890216213</v>
      </c>
      <c r="AO184" s="58">
        <f t="shared" si="144"/>
        <v>231.36959598460686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-4.9658410716801891E-14</v>
      </c>
      <c r="BF184" s="14" t="e">
        <f t="shared" si="167"/>
        <v>#NUM!</v>
      </c>
      <c r="BG184" s="22" t="e">
        <f t="shared" si="168"/>
        <v>#NUM!</v>
      </c>
      <c r="BH184" s="58" t="e">
        <f t="shared" si="116"/>
        <v>#NUM!</v>
      </c>
      <c r="BI184" s="58">
        <f ca="1">AVERAGE(OFFSET($BH$3,0,0,'Données projet'!$E$11+1,1))-AVERAGE(OFFSET($H$3,0,0,'Données projet'!$E$11+1,1))</f>
        <v>218.76424742311815</v>
      </c>
      <c r="BJ184" s="58">
        <f t="shared" si="146"/>
        <v>264.34598683038593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0.11774889907359519</v>
      </c>
      <c r="BQ184" s="23">
        <f>EXP(-LN(2)/25)*BQ183+(1-EXP(-LN(2)/25))/(LN(2)/25)*Calculateur!BL184*Calculateur!BN184*VLOOKUP('Données projet'!$B$11,Paramètres!$A$1:$I$89,3,0)*0.475*44/12</f>
        <v>6.6331708783224308E-2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0.18408060785681951</v>
      </c>
      <c r="BT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58" t="e">
        <f t="shared" si="119"/>
        <v>#NUM!</v>
      </c>
      <c r="CD184" s="58">
        <f ca="1">AVERAGE(OFFSET($CC$3,0,0,'Données projet'!$E$12+1,1))-AVERAGE(OFFSET($H$3,0,0,'Données projet'!$E$12+1,1))</f>
        <v>343.86347628565426</v>
      </c>
      <c r="CE184" s="58">
        <f t="shared" si="148"/>
        <v>129.28196646107097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58" t="e">
        <f t="shared" si="122"/>
        <v>#N/A</v>
      </c>
      <c r="CY184" s="58" t="e">
        <f ca="1">AVERAGE(OFFSET($CX$3,0,0,'Données projet'!$E$13+1,1))-AVERAGE(OFFSET($H$3,0,0,'Données projet'!$E$13+1,1))</f>
        <v>#N/A</v>
      </c>
      <c r="CZ184" s="58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5.4092197387944907E-14</v>
      </c>
      <c r="DQ184" s="14">
        <f t="shared" si="176"/>
        <v>8.7287050538073676E-13</v>
      </c>
      <c r="DR184" s="22">
        <f t="shared" si="177"/>
        <v>1.6144600406554537E-12</v>
      </c>
      <c r="DS184" s="58">
        <f t="shared" si="125"/>
        <v>293.33333333333491</v>
      </c>
      <c r="DT184" s="58">
        <f ca="1">AVERAGE(OFFSET($DS$3,0,0,'Données projet'!$E$14+1,1))-AVERAGE(OFFSET($H$3,0,0,'Données projet'!$E$14+1,1))</f>
        <v>332.49889399440514</v>
      </c>
      <c r="DU184" s="58">
        <f t="shared" si="152"/>
        <v>256.06044006790529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5.1159076974727213E-13</v>
      </c>
      <c r="EK184" s="18">
        <f>EJ184*VLOOKUP('Données projet'!$B$15,Paramètres!$A$1:$I$89,3,0)*VLOOKUP('Données projet'!$B$15,Paramètres!$A$1:$I$89,5,0)</f>
        <v>5.3471467253984886E-13</v>
      </c>
      <c r="EL184" s="14">
        <f t="shared" si="179"/>
        <v>6.6087717628803869E-12</v>
      </c>
      <c r="EM184" s="22">
        <f t="shared" si="180"/>
        <v>1.244157220835691E-11</v>
      </c>
      <c r="EN184" s="58">
        <f t="shared" si="128"/>
        <v>293.33333333334576</v>
      </c>
      <c r="EO184" s="58">
        <f ca="1">AVERAGE(OFFSET($EN$3,0,0,'Données projet'!$E$15+1,1))-AVERAGE(OFFSET($H$3,0,0,'Données projet'!$E$15+1,1))</f>
        <v>596.00698505207174</v>
      </c>
      <c r="EP184" s="58">
        <f t="shared" si="154"/>
        <v>378.16197659288338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2.2737367544323206E-13</v>
      </c>
      <c r="FF184" s="18">
        <f>FE184*VLOOKUP('Données projet'!$B$16,Paramètres!$A$1:$I$89,3,0)*VLOOKUP('Données projet'!$B$16,Paramètres!$A$1:$I$89,5,0)</f>
        <v>1.064108801074326E-13</v>
      </c>
      <c r="FG184" s="14">
        <f t="shared" si="182"/>
        <v>1.5870730813698654E-12</v>
      </c>
      <c r="FH184" s="22">
        <f t="shared" si="183"/>
        <v>2.9494845662396269E-12</v>
      </c>
      <c r="FI184" s="58">
        <f t="shared" si="131"/>
        <v>293.33333333333627</v>
      </c>
      <c r="FJ184" s="58">
        <f ca="1">AVERAGE(OFFSET($FI$3,0,0,'Données projet'!$E$16+1,1))-AVERAGE(OFFSET($H$3,0,0,'Données projet'!$E$16+1,1))</f>
        <v>294.31042006404056</v>
      </c>
      <c r="FK184" s="58">
        <f t="shared" si="156"/>
        <v>260.93767498478502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2.8421709430404007E-13</v>
      </c>
      <c r="GA184" s="18">
        <f>FZ184*VLOOKUP('Données projet'!$B$17,Paramètres!$A$1:$I$89,3,0)*VLOOKUP('Données projet'!$B$17,Paramètres!$A$1:$I$89,5,0)</f>
        <v>1.9065282685915009E-13</v>
      </c>
      <c r="GB184" s="14">
        <f t="shared" si="185"/>
        <v>2.6568987209435707E-12</v>
      </c>
      <c r="GC184" s="22">
        <f t="shared" si="186"/>
        <v>4.959485612423072E-12</v>
      </c>
      <c r="GD184" s="58">
        <f t="shared" si="134"/>
        <v>293.33333333333826</v>
      </c>
      <c r="GE184" s="58">
        <f ca="1">AVERAGE(OFFSET($GD$3,0,0,'Données projet'!$E$17+1,1))-AVERAGE(OFFSET($H$3,0,0,'Données projet'!$E$17+1,1))</f>
        <v>362.1372269575329</v>
      </c>
      <c r="GF184" s="58">
        <f t="shared" si="158"/>
        <v>308.1559670593121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58" t="e">
        <f t="shared" si="137"/>
        <v>#N/A</v>
      </c>
      <c r="GZ184" s="58" t="e">
        <f ca="1">AVERAGE(OFFSET($GY$3,0,0,'Données projet'!$E$18+1,1))-AVERAGE(OFFSET($H$3,0,0,'Données projet'!$E$18+1,1))</f>
        <v>#N/A</v>
      </c>
      <c r="HA184" s="58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0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3">
        <f t="shared" si="110"/>
        <v>256.66666666666669</v>
      </c>
      <c r="I185" s="6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-2.8421709430404007E-13</v>
      </c>
      <c r="O185" s="14">
        <f>N185*VLOOKUP('Données projet'!$B$9,Paramètres!$A$1:$I$89,3,0)*VLOOKUP('Données projet'!$B$9,Paramètres!$A$1:$I$89,5,0)</f>
        <v>-2.8819613362429665E-13</v>
      </c>
      <c r="P185" s="14" t="e">
        <f t="shared" si="141"/>
        <v>#NUM!</v>
      </c>
      <c r="Q185" s="22" t="e">
        <f t="shared" si="162"/>
        <v>#NUM!</v>
      </c>
      <c r="R185" s="58" t="e">
        <f t="shared" si="109"/>
        <v>#NUM!</v>
      </c>
      <c r="S185" s="58">
        <f ca="1">AVERAGE(OFFSET($R$3,0,0,'Données projet'!$E$9+1,1))-AVERAGE(OFFSET($H$3,0,0,'Données projet'!$E$9+1,1))</f>
        <v>483.15009705023641</v>
      </c>
      <c r="T185" s="58">
        <f t="shared" si="142"/>
        <v>254.25036207346591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-2.8421709430404007E-13</v>
      </c>
      <c r="AJ185" s="14">
        <f>AI185*VLOOKUP('Données projet'!$B$10,Paramètres!$A$1:$I$89,3,0)*VLOOKUP('Données projet'!$B$10,Paramètres!$A$1:$I$89,5,0)</f>
        <v>-2.5715962692629546E-13</v>
      </c>
      <c r="AK185" s="14" t="e">
        <f t="shared" si="164"/>
        <v>#NUM!</v>
      </c>
      <c r="AL185" s="22" t="e">
        <f t="shared" si="165"/>
        <v>#NUM!</v>
      </c>
      <c r="AM185" s="58" t="e">
        <f t="shared" si="113"/>
        <v>#NUM!</v>
      </c>
      <c r="AN185" s="58">
        <f ca="1">AVERAGE(OFFSET($AM$3,0,0,'Données projet'!$E$10+1,1))-AVERAGE(OFFSET($H$3,0,0,'Données projet'!$E$10+1,1))</f>
        <v>435.7095890216213</v>
      </c>
      <c r="AO185" s="58">
        <f t="shared" si="144"/>
        <v>231.36959598460686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-4.9658410716801891E-14</v>
      </c>
      <c r="BF185" s="14" t="e">
        <f t="shared" si="167"/>
        <v>#NUM!</v>
      </c>
      <c r="BG185" s="22" t="e">
        <f t="shared" si="168"/>
        <v>#NUM!</v>
      </c>
      <c r="BH185" s="58" t="e">
        <f t="shared" si="116"/>
        <v>#NUM!</v>
      </c>
      <c r="BI185" s="58">
        <f ca="1">AVERAGE(OFFSET($BH$3,0,0,'Données projet'!$E$11+1,1))-AVERAGE(OFFSET($H$3,0,0,'Données projet'!$E$11+1,1))</f>
        <v>218.76424742311815</v>
      </c>
      <c r="BJ185" s="58">
        <f t="shared" si="146"/>
        <v>264.34598683038593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0.11543991498249881</v>
      </c>
      <c r="BQ185" s="23">
        <f>EXP(-LN(2)/25)*BQ184+(1-EXP(-LN(2)/25))/(LN(2)/25)*Calculateur!BL185*Calculateur!BN185*VLOOKUP('Données projet'!$B$11,Paramètres!$A$1:$I$89,3,0)*0.475*44/12</f>
        <v>6.4517864718314083E-2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0.17995777970081289</v>
      </c>
      <c r="BT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58" t="e">
        <f t="shared" si="119"/>
        <v>#NUM!</v>
      </c>
      <c r="CD185" s="58">
        <f ca="1">AVERAGE(OFFSET($CC$3,0,0,'Données projet'!$E$12+1,1))-AVERAGE(OFFSET($H$3,0,0,'Données projet'!$E$12+1,1))</f>
        <v>343.86347628565426</v>
      </c>
      <c r="CE185" s="58">
        <f t="shared" si="148"/>
        <v>129.28196646107097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58" t="e">
        <f t="shared" si="122"/>
        <v>#N/A</v>
      </c>
      <c r="CY185" s="58" t="e">
        <f ca="1">AVERAGE(OFFSET($CX$3,0,0,'Données projet'!$E$13+1,1))-AVERAGE(OFFSET($H$3,0,0,'Données projet'!$E$13+1,1))</f>
        <v>#N/A</v>
      </c>
      <c r="CZ185" s="58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5.4092197387944907E-14</v>
      </c>
      <c r="DQ185" s="14">
        <f t="shared" si="176"/>
        <v>8.7287050538073676E-13</v>
      </c>
      <c r="DR185" s="22">
        <f t="shared" si="177"/>
        <v>1.6144600406554537E-12</v>
      </c>
      <c r="DS185" s="58">
        <f t="shared" si="125"/>
        <v>293.33333333333491</v>
      </c>
      <c r="DT185" s="58">
        <f ca="1">AVERAGE(OFFSET($DS$3,0,0,'Données projet'!$E$14+1,1))-AVERAGE(OFFSET($H$3,0,0,'Données projet'!$E$14+1,1))</f>
        <v>332.49889399440514</v>
      </c>
      <c r="DU185" s="58">
        <f t="shared" si="152"/>
        <v>256.06044006790529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5.1159076974727213E-13</v>
      </c>
      <c r="EK185" s="18">
        <f>EJ185*VLOOKUP('Données projet'!$B$15,Paramètres!$A$1:$I$89,3,0)*VLOOKUP('Données projet'!$B$15,Paramètres!$A$1:$I$89,5,0)</f>
        <v>5.3471467253984886E-13</v>
      </c>
      <c r="EL185" s="14">
        <f t="shared" si="179"/>
        <v>6.6087717628803869E-12</v>
      </c>
      <c r="EM185" s="22">
        <f t="shared" si="180"/>
        <v>1.244157220835691E-11</v>
      </c>
      <c r="EN185" s="58">
        <f t="shared" si="128"/>
        <v>293.33333333334576</v>
      </c>
      <c r="EO185" s="58">
        <f ca="1">AVERAGE(OFFSET($EN$3,0,0,'Données projet'!$E$15+1,1))-AVERAGE(OFFSET($H$3,0,0,'Données projet'!$E$15+1,1))</f>
        <v>596.00698505207174</v>
      </c>
      <c r="EP185" s="58">
        <f t="shared" si="154"/>
        <v>378.16197659288338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2.2737367544323206E-13</v>
      </c>
      <c r="FF185" s="18">
        <f>FE185*VLOOKUP('Données projet'!$B$16,Paramètres!$A$1:$I$89,3,0)*VLOOKUP('Données projet'!$B$16,Paramètres!$A$1:$I$89,5,0)</f>
        <v>1.064108801074326E-13</v>
      </c>
      <c r="FG185" s="14">
        <f t="shared" si="182"/>
        <v>1.5870730813698654E-12</v>
      </c>
      <c r="FH185" s="22">
        <f t="shared" si="183"/>
        <v>2.9494845662396269E-12</v>
      </c>
      <c r="FI185" s="58">
        <f t="shared" si="131"/>
        <v>293.33333333333627</v>
      </c>
      <c r="FJ185" s="58">
        <f ca="1">AVERAGE(OFFSET($FI$3,0,0,'Données projet'!$E$16+1,1))-AVERAGE(OFFSET($H$3,0,0,'Données projet'!$E$16+1,1))</f>
        <v>294.31042006404056</v>
      </c>
      <c r="FK185" s="58">
        <f t="shared" si="156"/>
        <v>260.93767498478502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2.8421709430404007E-13</v>
      </c>
      <c r="GA185" s="18">
        <f>FZ185*VLOOKUP('Données projet'!$B$17,Paramètres!$A$1:$I$89,3,0)*VLOOKUP('Données projet'!$B$17,Paramètres!$A$1:$I$89,5,0)</f>
        <v>1.9065282685915009E-13</v>
      </c>
      <c r="GB185" s="14">
        <f t="shared" si="185"/>
        <v>2.6568987209435707E-12</v>
      </c>
      <c r="GC185" s="22">
        <f t="shared" si="186"/>
        <v>4.959485612423072E-12</v>
      </c>
      <c r="GD185" s="58">
        <f t="shared" si="134"/>
        <v>293.33333333333826</v>
      </c>
      <c r="GE185" s="58">
        <f ca="1">AVERAGE(OFFSET($GD$3,0,0,'Données projet'!$E$17+1,1))-AVERAGE(OFFSET($H$3,0,0,'Données projet'!$E$17+1,1))</f>
        <v>362.1372269575329</v>
      </c>
      <c r="GF185" s="58">
        <f t="shared" si="158"/>
        <v>308.1559670593121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58" t="e">
        <f t="shared" si="137"/>
        <v>#N/A</v>
      </c>
      <c r="GZ185" s="58" t="e">
        <f ca="1">AVERAGE(OFFSET($GY$3,0,0,'Données projet'!$E$18+1,1))-AVERAGE(OFFSET($H$3,0,0,'Données projet'!$E$18+1,1))</f>
        <v>#N/A</v>
      </c>
      <c r="HA185" s="58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0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3">
        <f t="shared" si="110"/>
        <v>256.66666666666669</v>
      </c>
      <c r="I186" s="6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-2.8421709430404007E-13</v>
      </c>
      <c r="O186" s="14">
        <f>N186*VLOOKUP('Données projet'!$B$9,Paramètres!$A$1:$I$89,3,0)*VLOOKUP('Données projet'!$B$9,Paramètres!$A$1:$I$89,5,0)</f>
        <v>-2.8819613362429665E-13</v>
      </c>
      <c r="P186" s="14" t="e">
        <f t="shared" si="141"/>
        <v>#NUM!</v>
      </c>
      <c r="Q186" s="22" t="e">
        <f t="shared" si="162"/>
        <v>#NUM!</v>
      </c>
      <c r="R186" s="58" t="e">
        <f t="shared" si="109"/>
        <v>#NUM!</v>
      </c>
      <c r="S186" s="58">
        <f ca="1">AVERAGE(OFFSET($R$3,0,0,'Données projet'!$E$9+1,1))-AVERAGE(OFFSET($H$3,0,0,'Données projet'!$E$9+1,1))</f>
        <v>483.15009705023641</v>
      </c>
      <c r="T186" s="58">
        <f t="shared" si="142"/>
        <v>254.25036207346591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-2.8421709430404007E-13</v>
      </c>
      <c r="AJ186" s="14">
        <f>AI186*VLOOKUP('Données projet'!$B$10,Paramètres!$A$1:$I$89,3,0)*VLOOKUP('Données projet'!$B$10,Paramètres!$A$1:$I$89,5,0)</f>
        <v>-2.5715962692629546E-13</v>
      </c>
      <c r="AK186" s="14" t="e">
        <f t="shared" si="164"/>
        <v>#NUM!</v>
      </c>
      <c r="AL186" s="22" t="e">
        <f t="shared" si="165"/>
        <v>#NUM!</v>
      </c>
      <c r="AM186" s="58" t="e">
        <f t="shared" si="113"/>
        <v>#NUM!</v>
      </c>
      <c r="AN186" s="58">
        <f ca="1">AVERAGE(OFFSET($AM$3,0,0,'Données projet'!$E$10+1,1))-AVERAGE(OFFSET($H$3,0,0,'Données projet'!$E$10+1,1))</f>
        <v>435.7095890216213</v>
      </c>
      <c r="AO186" s="58">
        <f t="shared" si="144"/>
        <v>231.36959598460686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-4.9658410716801891E-14</v>
      </c>
      <c r="BF186" s="14" t="e">
        <f t="shared" si="167"/>
        <v>#NUM!</v>
      </c>
      <c r="BG186" s="22" t="e">
        <f t="shared" si="168"/>
        <v>#NUM!</v>
      </c>
      <c r="BH186" s="58" t="e">
        <f t="shared" si="116"/>
        <v>#NUM!</v>
      </c>
      <c r="BI186" s="58">
        <f ca="1">AVERAGE(OFFSET($BH$3,0,0,'Données projet'!$E$11+1,1))-AVERAGE(OFFSET($H$3,0,0,'Données projet'!$E$11+1,1))</f>
        <v>218.76424742311815</v>
      </c>
      <c r="BJ186" s="58">
        <f t="shared" si="146"/>
        <v>264.34598683038593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0.1131762086610876</v>
      </c>
      <c r="BQ186" s="23">
        <f>EXP(-LN(2)/25)*BQ185+(1-EXP(-LN(2)/25))/(LN(2)/25)*Calculateur!BL186*Calculateur!BN186*VLOOKUP('Données projet'!$B$11,Paramètres!$A$1:$I$89,3,0)*0.475*44/12</f>
        <v>6.275362031474474E-2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0.17592982897583234</v>
      </c>
      <c r="BT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58" t="e">
        <f t="shared" si="119"/>
        <v>#NUM!</v>
      </c>
      <c r="CD186" s="58">
        <f ca="1">AVERAGE(OFFSET($CC$3,0,0,'Données projet'!$E$12+1,1))-AVERAGE(OFFSET($H$3,0,0,'Données projet'!$E$12+1,1))</f>
        <v>343.86347628565426</v>
      </c>
      <c r="CE186" s="58">
        <f t="shared" si="148"/>
        <v>129.28196646107097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58" t="e">
        <f t="shared" si="122"/>
        <v>#N/A</v>
      </c>
      <c r="CY186" s="58" t="e">
        <f ca="1">AVERAGE(OFFSET($CX$3,0,0,'Données projet'!$E$13+1,1))-AVERAGE(OFFSET($H$3,0,0,'Données projet'!$E$13+1,1))</f>
        <v>#N/A</v>
      </c>
      <c r="CZ186" s="58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5.4092197387944907E-14</v>
      </c>
      <c r="DQ186" s="14">
        <f t="shared" si="176"/>
        <v>8.7287050538073676E-13</v>
      </c>
      <c r="DR186" s="22">
        <f t="shared" si="177"/>
        <v>1.6144600406554537E-12</v>
      </c>
      <c r="DS186" s="58">
        <f t="shared" si="125"/>
        <v>293.33333333333491</v>
      </c>
      <c r="DT186" s="58">
        <f ca="1">AVERAGE(OFFSET($DS$3,0,0,'Données projet'!$E$14+1,1))-AVERAGE(OFFSET($H$3,0,0,'Données projet'!$E$14+1,1))</f>
        <v>332.49889399440514</v>
      </c>
      <c r="DU186" s="58">
        <f t="shared" si="152"/>
        <v>256.06044006790529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5.1159076974727213E-13</v>
      </c>
      <c r="EK186" s="18">
        <f>EJ186*VLOOKUP('Données projet'!$B$15,Paramètres!$A$1:$I$89,3,0)*VLOOKUP('Données projet'!$B$15,Paramètres!$A$1:$I$89,5,0)</f>
        <v>5.3471467253984886E-13</v>
      </c>
      <c r="EL186" s="14">
        <f t="shared" si="179"/>
        <v>6.6087717628803869E-12</v>
      </c>
      <c r="EM186" s="22">
        <f t="shared" si="180"/>
        <v>1.244157220835691E-11</v>
      </c>
      <c r="EN186" s="58">
        <f t="shared" si="128"/>
        <v>293.33333333334576</v>
      </c>
      <c r="EO186" s="58">
        <f ca="1">AVERAGE(OFFSET($EN$3,0,0,'Données projet'!$E$15+1,1))-AVERAGE(OFFSET($H$3,0,0,'Données projet'!$E$15+1,1))</f>
        <v>596.00698505207174</v>
      </c>
      <c r="EP186" s="58">
        <f t="shared" si="154"/>
        <v>378.16197659288338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2.2737367544323206E-13</v>
      </c>
      <c r="FF186" s="18">
        <f>FE186*VLOOKUP('Données projet'!$B$16,Paramètres!$A$1:$I$89,3,0)*VLOOKUP('Données projet'!$B$16,Paramètres!$A$1:$I$89,5,0)</f>
        <v>1.064108801074326E-13</v>
      </c>
      <c r="FG186" s="14">
        <f t="shared" si="182"/>
        <v>1.5870730813698654E-12</v>
      </c>
      <c r="FH186" s="22">
        <f t="shared" si="183"/>
        <v>2.9494845662396269E-12</v>
      </c>
      <c r="FI186" s="58">
        <f t="shared" si="131"/>
        <v>293.33333333333627</v>
      </c>
      <c r="FJ186" s="58">
        <f ca="1">AVERAGE(OFFSET($FI$3,0,0,'Données projet'!$E$16+1,1))-AVERAGE(OFFSET($H$3,0,0,'Données projet'!$E$16+1,1))</f>
        <v>294.31042006404056</v>
      </c>
      <c r="FK186" s="58">
        <f t="shared" si="156"/>
        <v>260.93767498478502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2.8421709430404007E-13</v>
      </c>
      <c r="GA186" s="18">
        <f>FZ186*VLOOKUP('Données projet'!$B$17,Paramètres!$A$1:$I$89,3,0)*VLOOKUP('Données projet'!$B$17,Paramètres!$A$1:$I$89,5,0)</f>
        <v>1.9065282685915009E-13</v>
      </c>
      <c r="GB186" s="14">
        <f t="shared" si="185"/>
        <v>2.6568987209435707E-12</v>
      </c>
      <c r="GC186" s="22">
        <f t="shared" si="186"/>
        <v>4.959485612423072E-12</v>
      </c>
      <c r="GD186" s="58">
        <f t="shared" si="134"/>
        <v>293.33333333333826</v>
      </c>
      <c r="GE186" s="58">
        <f ca="1">AVERAGE(OFFSET($GD$3,0,0,'Données projet'!$E$17+1,1))-AVERAGE(OFFSET($H$3,0,0,'Données projet'!$E$17+1,1))</f>
        <v>362.1372269575329</v>
      </c>
      <c r="GF186" s="58">
        <f t="shared" si="158"/>
        <v>308.1559670593121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58" t="e">
        <f t="shared" si="137"/>
        <v>#N/A</v>
      </c>
      <c r="GZ186" s="58" t="e">
        <f ca="1">AVERAGE(OFFSET($GY$3,0,0,'Données projet'!$E$18+1,1))-AVERAGE(OFFSET($H$3,0,0,'Données projet'!$E$18+1,1))</f>
        <v>#N/A</v>
      </c>
      <c r="HA186" s="58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0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3">
        <f t="shared" si="110"/>
        <v>256.66666666666669</v>
      </c>
      <c r="I187" s="6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-2.8421709430404007E-13</v>
      </c>
      <c r="O187" s="14">
        <f>N187*VLOOKUP('Données projet'!$B$9,Paramètres!$A$1:$I$89,3,0)*VLOOKUP('Données projet'!$B$9,Paramètres!$A$1:$I$89,5,0)</f>
        <v>-2.8819613362429665E-13</v>
      </c>
      <c r="P187" s="14" t="e">
        <f t="shared" si="141"/>
        <v>#NUM!</v>
      </c>
      <c r="Q187" s="22" t="e">
        <f t="shared" si="162"/>
        <v>#NUM!</v>
      </c>
      <c r="R187" s="58" t="e">
        <f t="shared" si="109"/>
        <v>#NUM!</v>
      </c>
      <c r="S187" s="58">
        <f ca="1">AVERAGE(OFFSET($R$3,0,0,'Données projet'!$E$9+1,1))-AVERAGE(OFFSET($H$3,0,0,'Données projet'!$E$9+1,1))</f>
        <v>483.15009705023641</v>
      </c>
      <c r="T187" s="58">
        <f t="shared" si="142"/>
        <v>254.25036207346591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-2.8421709430404007E-13</v>
      </c>
      <c r="AJ187" s="14">
        <f>AI187*VLOOKUP('Données projet'!$B$10,Paramètres!$A$1:$I$89,3,0)*VLOOKUP('Données projet'!$B$10,Paramètres!$A$1:$I$89,5,0)</f>
        <v>-2.5715962692629546E-13</v>
      </c>
      <c r="AK187" s="14" t="e">
        <f t="shared" si="164"/>
        <v>#NUM!</v>
      </c>
      <c r="AL187" s="22" t="e">
        <f t="shared" si="165"/>
        <v>#NUM!</v>
      </c>
      <c r="AM187" s="58" t="e">
        <f t="shared" si="113"/>
        <v>#NUM!</v>
      </c>
      <c r="AN187" s="58">
        <f ca="1">AVERAGE(OFFSET($AM$3,0,0,'Données projet'!$E$10+1,1))-AVERAGE(OFFSET($H$3,0,0,'Données projet'!$E$10+1,1))</f>
        <v>435.7095890216213</v>
      </c>
      <c r="AO187" s="58">
        <f t="shared" si="144"/>
        <v>231.36959598460686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-4.9658410716801891E-14</v>
      </c>
      <c r="BF187" s="14" t="e">
        <f t="shared" si="167"/>
        <v>#NUM!</v>
      </c>
      <c r="BG187" s="22" t="e">
        <f t="shared" si="168"/>
        <v>#NUM!</v>
      </c>
      <c r="BH187" s="58" t="e">
        <f t="shared" si="116"/>
        <v>#NUM!</v>
      </c>
      <c r="BI187" s="58">
        <f ca="1">AVERAGE(OFFSET($BH$3,0,0,'Données projet'!$E$11+1,1))-AVERAGE(OFFSET($H$3,0,0,'Données projet'!$E$11+1,1))</f>
        <v>218.76424742311815</v>
      </c>
      <c r="BJ187" s="58">
        <f t="shared" si="146"/>
        <v>264.34598683038593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0.11095689223991474</v>
      </c>
      <c r="BQ187" s="23">
        <f>EXP(-LN(2)/25)*BQ186+(1-EXP(-LN(2)/25))/(LN(2)/25)*Calculateur!BL187*Calculateur!BN187*VLOOKUP('Données projet'!$B$11,Paramètres!$A$1:$I$89,3,0)*0.475*44/12</f>
        <v>6.103761926716858E-2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0.17199451150708334</v>
      </c>
      <c r="BT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58" t="e">
        <f t="shared" si="119"/>
        <v>#NUM!</v>
      </c>
      <c r="CD187" s="58">
        <f ca="1">AVERAGE(OFFSET($CC$3,0,0,'Données projet'!$E$12+1,1))-AVERAGE(OFFSET($H$3,0,0,'Données projet'!$E$12+1,1))</f>
        <v>343.86347628565426</v>
      </c>
      <c r="CE187" s="58">
        <f t="shared" si="148"/>
        <v>129.28196646107097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58" t="e">
        <f t="shared" si="122"/>
        <v>#N/A</v>
      </c>
      <c r="CY187" s="58" t="e">
        <f ca="1">AVERAGE(OFFSET($CX$3,0,0,'Données projet'!$E$13+1,1))-AVERAGE(OFFSET($H$3,0,0,'Données projet'!$E$13+1,1))</f>
        <v>#N/A</v>
      </c>
      <c r="CZ187" s="58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5.4092197387944907E-14</v>
      </c>
      <c r="DQ187" s="14">
        <f t="shared" si="176"/>
        <v>8.7287050538073676E-13</v>
      </c>
      <c r="DR187" s="22">
        <f t="shared" si="177"/>
        <v>1.6144600406554537E-12</v>
      </c>
      <c r="DS187" s="58">
        <f t="shared" si="125"/>
        <v>293.33333333333491</v>
      </c>
      <c r="DT187" s="58">
        <f ca="1">AVERAGE(OFFSET($DS$3,0,0,'Données projet'!$E$14+1,1))-AVERAGE(OFFSET($H$3,0,0,'Données projet'!$E$14+1,1))</f>
        <v>332.49889399440514</v>
      </c>
      <c r="DU187" s="58">
        <f t="shared" si="152"/>
        <v>256.06044006790529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5.1159076974727213E-13</v>
      </c>
      <c r="EK187" s="18">
        <f>EJ187*VLOOKUP('Données projet'!$B$15,Paramètres!$A$1:$I$89,3,0)*VLOOKUP('Données projet'!$B$15,Paramètres!$A$1:$I$89,5,0)</f>
        <v>5.3471467253984886E-13</v>
      </c>
      <c r="EL187" s="14">
        <f t="shared" si="179"/>
        <v>6.6087717628803869E-12</v>
      </c>
      <c r="EM187" s="22">
        <f t="shared" si="180"/>
        <v>1.244157220835691E-11</v>
      </c>
      <c r="EN187" s="58">
        <f t="shared" si="128"/>
        <v>293.33333333334576</v>
      </c>
      <c r="EO187" s="58">
        <f ca="1">AVERAGE(OFFSET($EN$3,0,0,'Données projet'!$E$15+1,1))-AVERAGE(OFFSET($H$3,0,0,'Données projet'!$E$15+1,1))</f>
        <v>596.00698505207174</v>
      </c>
      <c r="EP187" s="58">
        <f t="shared" si="154"/>
        <v>378.16197659288338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2.2737367544323206E-13</v>
      </c>
      <c r="FF187" s="18">
        <f>FE187*VLOOKUP('Données projet'!$B$16,Paramètres!$A$1:$I$89,3,0)*VLOOKUP('Données projet'!$B$16,Paramètres!$A$1:$I$89,5,0)</f>
        <v>1.064108801074326E-13</v>
      </c>
      <c r="FG187" s="14">
        <f t="shared" si="182"/>
        <v>1.5870730813698654E-12</v>
      </c>
      <c r="FH187" s="22">
        <f t="shared" si="183"/>
        <v>2.9494845662396269E-12</v>
      </c>
      <c r="FI187" s="58">
        <f t="shared" si="131"/>
        <v>293.33333333333627</v>
      </c>
      <c r="FJ187" s="58">
        <f ca="1">AVERAGE(OFFSET($FI$3,0,0,'Données projet'!$E$16+1,1))-AVERAGE(OFFSET($H$3,0,0,'Données projet'!$E$16+1,1))</f>
        <v>294.31042006404056</v>
      </c>
      <c r="FK187" s="58">
        <f t="shared" si="156"/>
        <v>260.93767498478502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2.8421709430404007E-13</v>
      </c>
      <c r="GA187" s="18">
        <f>FZ187*VLOOKUP('Données projet'!$B$17,Paramètres!$A$1:$I$89,3,0)*VLOOKUP('Données projet'!$B$17,Paramètres!$A$1:$I$89,5,0)</f>
        <v>1.9065282685915009E-13</v>
      </c>
      <c r="GB187" s="14">
        <f t="shared" si="185"/>
        <v>2.6568987209435707E-12</v>
      </c>
      <c r="GC187" s="22">
        <f t="shared" si="186"/>
        <v>4.959485612423072E-12</v>
      </c>
      <c r="GD187" s="58">
        <f t="shared" si="134"/>
        <v>293.33333333333826</v>
      </c>
      <c r="GE187" s="58">
        <f ca="1">AVERAGE(OFFSET($GD$3,0,0,'Données projet'!$E$17+1,1))-AVERAGE(OFFSET($H$3,0,0,'Données projet'!$E$17+1,1))</f>
        <v>362.1372269575329</v>
      </c>
      <c r="GF187" s="58">
        <f t="shared" si="158"/>
        <v>308.1559670593121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58" t="e">
        <f t="shared" si="137"/>
        <v>#N/A</v>
      </c>
      <c r="GZ187" s="58" t="e">
        <f ca="1">AVERAGE(OFFSET($GY$3,0,0,'Données projet'!$E$18+1,1))-AVERAGE(OFFSET($H$3,0,0,'Données projet'!$E$18+1,1))</f>
        <v>#N/A</v>
      </c>
      <c r="HA187" s="58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0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3">
        <f t="shared" si="110"/>
        <v>256.66666666666669</v>
      </c>
      <c r="I188" s="6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-2.8421709430404007E-13</v>
      </c>
      <c r="O188" s="14">
        <f>N188*VLOOKUP('Données projet'!$B$9,Paramètres!$A$1:$I$89,3,0)*VLOOKUP('Données projet'!$B$9,Paramètres!$A$1:$I$89,5,0)</f>
        <v>-2.8819613362429665E-13</v>
      </c>
      <c r="P188" s="14" t="e">
        <f t="shared" si="141"/>
        <v>#NUM!</v>
      </c>
      <c r="Q188" s="22" t="e">
        <f t="shared" si="162"/>
        <v>#NUM!</v>
      </c>
      <c r="R188" s="58" t="e">
        <f t="shared" si="109"/>
        <v>#NUM!</v>
      </c>
      <c r="S188" s="58">
        <f ca="1">AVERAGE(OFFSET($R$3,0,0,'Données projet'!$E$9+1,1))-AVERAGE(OFFSET($H$3,0,0,'Données projet'!$E$9+1,1))</f>
        <v>483.15009705023641</v>
      </c>
      <c r="T188" s="58">
        <f t="shared" si="142"/>
        <v>254.25036207346591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-2.8421709430404007E-13</v>
      </c>
      <c r="AJ188" s="14">
        <f>AI188*VLOOKUP('Données projet'!$B$10,Paramètres!$A$1:$I$89,3,0)*VLOOKUP('Données projet'!$B$10,Paramètres!$A$1:$I$89,5,0)</f>
        <v>-2.5715962692629546E-13</v>
      </c>
      <c r="AK188" s="14" t="e">
        <f t="shared" si="164"/>
        <v>#NUM!</v>
      </c>
      <c r="AL188" s="22" t="e">
        <f t="shared" si="165"/>
        <v>#NUM!</v>
      </c>
      <c r="AM188" s="58" t="e">
        <f t="shared" si="113"/>
        <v>#NUM!</v>
      </c>
      <c r="AN188" s="58">
        <f ca="1">AVERAGE(OFFSET($AM$3,0,0,'Données projet'!$E$10+1,1))-AVERAGE(OFFSET($H$3,0,0,'Données projet'!$E$10+1,1))</f>
        <v>435.7095890216213</v>
      </c>
      <c r="AO188" s="58">
        <f t="shared" si="144"/>
        <v>231.36959598460686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-4.9658410716801891E-14</v>
      </c>
      <c r="BF188" s="14" t="e">
        <f t="shared" si="167"/>
        <v>#NUM!</v>
      </c>
      <c r="BG188" s="22" t="e">
        <f t="shared" si="168"/>
        <v>#NUM!</v>
      </c>
      <c r="BH188" s="58" t="e">
        <f t="shared" si="116"/>
        <v>#NUM!</v>
      </c>
      <c r="BI188" s="58">
        <f ca="1">AVERAGE(OFFSET($BH$3,0,0,'Données projet'!$E$11+1,1))-AVERAGE(OFFSET($H$3,0,0,'Données projet'!$E$11+1,1))</f>
        <v>218.76424742311815</v>
      </c>
      <c r="BJ188" s="58">
        <f t="shared" si="146"/>
        <v>264.34598683038593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0.10878109526011173</v>
      </c>
      <c r="BQ188" s="23">
        <f>EXP(-LN(2)/25)*BQ187+(1-EXP(-LN(2)/25))/(LN(2)/25)*Calculateur!BL188*Calculateur!BN188*VLOOKUP('Données projet'!$B$11,Paramètres!$A$1:$I$89,3,0)*0.475*44/12</f>
        <v>5.9368542358478958E-2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0.1681496376185907</v>
      </c>
      <c r="BT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58" t="e">
        <f t="shared" si="119"/>
        <v>#NUM!</v>
      </c>
      <c r="CD188" s="58">
        <f ca="1">AVERAGE(OFFSET($CC$3,0,0,'Données projet'!$E$12+1,1))-AVERAGE(OFFSET($H$3,0,0,'Données projet'!$E$12+1,1))</f>
        <v>343.86347628565426</v>
      </c>
      <c r="CE188" s="58">
        <f t="shared" si="148"/>
        <v>129.28196646107097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58" t="e">
        <f t="shared" si="122"/>
        <v>#N/A</v>
      </c>
      <c r="CY188" s="58" t="e">
        <f ca="1">AVERAGE(OFFSET($CX$3,0,0,'Données projet'!$E$13+1,1))-AVERAGE(OFFSET($H$3,0,0,'Données projet'!$E$13+1,1))</f>
        <v>#N/A</v>
      </c>
      <c r="CZ188" s="58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5.4092197387944907E-14</v>
      </c>
      <c r="DQ188" s="14">
        <f t="shared" si="176"/>
        <v>8.7287050538073676E-13</v>
      </c>
      <c r="DR188" s="22">
        <f t="shared" si="177"/>
        <v>1.6144600406554537E-12</v>
      </c>
      <c r="DS188" s="58">
        <f t="shared" si="125"/>
        <v>293.33333333333491</v>
      </c>
      <c r="DT188" s="58">
        <f ca="1">AVERAGE(OFFSET($DS$3,0,0,'Données projet'!$E$14+1,1))-AVERAGE(OFFSET($H$3,0,0,'Données projet'!$E$14+1,1))</f>
        <v>332.49889399440514</v>
      </c>
      <c r="DU188" s="58">
        <f t="shared" si="152"/>
        <v>256.06044006790529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5.1159076974727213E-13</v>
      </c>
      <c r="EK188" s="18">
        <f>EJ188*VLOOKUP('Données projet'!$B$15,Paramètres!$A$1:$I$89,3,0)*VLOOKUP('Données projet'!$B$15,Paramètres!$A$1:$I$89,5,0)</f>
        <v>5.3471467253984886E-13</v>
      </c>
      <c r="EL188" s="14">
        <f t="shared" si="179"/>
        <v>6.6087717628803869E-12</v>
      </c>
      <c r="EM188" s="22">
        <f t="shared" si="180"/>
        <v>1.244157220835691E-11</v>
      </c>
      <c r="EN188" s="58">
        <f t="shared" si="128"/>
        <v>293.33333333334576</v>
      </c>
      <c r="EO188" s="58">
        <f ca="1">AVERAGE(OFFSET($EN$3,0,0,'Données projet'!$E$15+1,1))-AVERAGE(OFFSET($H$3,0,0,'Données projet'!$E$15+1,1))</f>
        <v>596.00698505207174</v>
      </c>
      <c r="EP188" s="58">
        <f t="shared" si="154"/>
        <v>378.16197659288338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2.2737367544323206E-13</v>
      </c>
      <c r="FF188" s="18">
        <f>FE188*VLOOKUP('Données projet'!$B$16,Paramètres!$A$1:$I$89,3,0)*VLOOKUP('Données projet'!$B$16,Paramètres!$A$1:$I$89,5,0)</f>
        <v>1.064108801074326E-13</v>
      </c>
      <c r="FG188" s="14">
        <f t="shared" si="182"/>
        <v>1.5870730813698654E-12</v>
      </c>
      <c r="FH188" s="22">
        <f t="shared" si="183"/>
        <v>2.9494845662396269E-12</v>
      </c>
      <c r="FI188" s="58">
        <f t="shared" si="131"/>
        <v>293.33333333333627</v>
      </c>
      <c r="FJ188" s="58">
        <f ca="1">AVERAGE(OFFSET($FI$3,0,0,'Données projet'!$E$16+1,1))-AVERAGE(OFFSET($H$3,0,0,'Données projet'!$E$16+1,1))</f>
        <v>294.31042006404056</v>
      </c>
      <c r="FK188" s="58">
        <f t="shared" si="156"/>
        <v>260.93767498478502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2.8421709430404007E-13</v>
      </c>
      <c r="GA188" s="18">
        <f>FZ188*VLOOKUP('Données projet'!$B$17,Paramètres!$A$1:$I$89,3,0)*VLOOKUP('Données projet'!$B$17,Paramètres!$A$1:$I$89,5,0)</f>
        <v>1.9065282685915009E-13</v>
      </c>
      <c r="GB188" s="14">
        <f t="shared" si="185"/>
        <v>2.6568987209435707E-12</v>
      </c>
      <c r="GC188" s="22">
        <f t="shared" si="186"/>
        <v>4.959485612423072E-12</v>
      </c>
      <c r="GD188" s="58">
        <f t="shared" si="134"/>
        <v>293.33333333333826</v>
      </c>
      <c r="GE188" s="58">
        <f ca="1">AVERAGE(OFFSET($GD$3,0,0,'Données projet'!$E$17+1,1))-AVERAGE(OFFSET($H$3,0,0,'Données projet'!$E$17+1,1))</f>
        <v>362.1372269575329</v>
      </c>
      <c r="GF188" s="58">
        <f t="shared" si="158"/>
        <v>308.1559670593121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58" t="e">
        <f t="shared" si="137"/>
        <v>#N/A</v>
      </c>
      <c r="GZ188" s="58" t="e">
        <f ca="1">AVERAGE(OFFSET($GY$3,0,0,'Données projet'!$E$18+1,1))-AVERAGE(OFFSET($H$3,0,0,'Données projet'!$E$18+1,1))</f>
        <v>#N/A</v>
      </c>
      <c r="HA188" s="58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0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3">
        <f t="shared" si="110"/>
        <v>256.66666666666669</v>
      </c>
      <c r="I189" s="6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-2.8421709430404007E-13</v>
      </c>
      <c r="O189" s="14">
        <f>N189*VLOOKUP('Données projet'!$B$9,Paramètres!$A$1:$I$89,3,0)*VLOOKUP('Données projet'!$B$9,Paramètres!$A$1:$I$89,5,0)</f>
        <v>-2.8819613362429665E-13</v>
      </c>
      <c r="P189" s="14" t="e">
        <f t="shared" si="141"/>
        <v>#NUM!</v>
      </c>
      <c r="Q189" s="22" t="e">
        <f t="shared" si="162"/>
        <v>#NUM!</v>
      </c>
      <c r="R189" s="58" t="e">
        <f t="shared" si="109"/>
        <v>#NUM!</v>
      </c>
      <c r="S189" s="58">
        <f ca="1">AVERAGE(OFFSET($R$3,0,0,'Données projet'!$E$9+1,1))-AVERAGE(OFFSET($H$3,0,0,'Données projet'!$E$9+1,1))</f>
        <v>483.15009705023641</v>
      </c>
      <c r="T189" s="58">
        <f t="shared" si="142"/>
        <v>254.25036207346591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-2.8421709430404007E-13</v>
      </c>
      <c r="AJ189" s="14">
        <f>AI189*VLOOKUP('Données projet'!$B$10,Paramètres!$A$1:$I$89,3,0)*VLOOKUP('Données projet'!$B$10,Paramètres!$A$1:$I$89,5,0)</f>
        <v>-2.5715962692629546E-13</v>
      </c>
      <c r="AK189" s="14" t="e">
        <f t="shared" si="164"/>
        <v>#NUM!</v>
      </c>
      <c r="AL189" s="22" t="e">
        <f t="shared" si="165"/>
        <v>#NUM!</v>
      </c>
      <c r="AM189" s="58" t="e">
        <f t="shared" si="113"/>
        <v>#NUM!</v>
      </c>
      <c r="AN189" s="58">
        <f ca="1">AVERAGE(OFFSET($AM$3,0,0,'Données projet'!$E$10+1,1))-AVERAGE(OFFSET($H$3,0,0,'Données projet'!$E$10+1,1))</f>
        <v>435.7095890216213</v>
      </c>
      <c r="AO189" s="58">
        <f t="shared" si="144"/>
        <v>231.36959598460686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-4.9658410716801891E-14</v>
      </c>
      <c r="BF189" s="14" t="e">
        <f t="shared" si="167"/>
        <v>#NUM!</v>
      </c>
      <c r="BG189" s="22" t="e">
        <f t="shared" si="168"/>
        <v>#NUM!</v>
      </c>
      <c r="BH189" s="58" t="e">
        <f t="shared" si="116"/>
        <v>#NUM!</v>
      </c>
      <c r="BI189" s="58">
        <f ca="1">AVERAGE(OFFSET($BH$3,0,0,'Données projet'!$E$11+1,1))-AVERAGE(OFFSET($H$3,0,0,'Données projet'!$E$11+1,1))</f>
        <v>218.76424742311815</v>
      </c>
      <c r="BJ189" s="58">
        <f t="shared" si="146"/>
        <v>264.34598683038593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0.10664796433197754</v>
      </c>
      <c r="BQ189" s="23">
        <f>EXP(-LN(2)/25)*BQ188+(1-EXP(-LN(2)/25))/(LN(2)/25)*Calculateur!BL189*Calculateur!BN189*VLOOKUP('Données projet'!$B$11,Paramètres!$A$1:$I$89,3,0)*0.475*44/12</f>
        <v>5.7745106445630398E-2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0.16439307077760795</v>
      </c>
      <c r="BT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58" t="e">
        <f t="shared" si="119"/>
        <v>#NUM!</v>
      </c>
      <c r="CD189" s="58">
        <f ca="1">AVERAGE(OFFSET($CC$3,0,0,'Données projet'!$E$12+1,1))-AVERAGE(OFFSET($H$3,0,0,'Données projet'!$E$12+1,1))</f>
        <v>343.86347628565426</v>
      </c>
      <c r="CE189" s="58">
        <f t="shared" si="148"/>
        <v>129.28196646107097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58" t="e">
        <f t="shared" si="122"/>
        <v>#N/A</v>
      </c>
      <c r="CY189" s="58" t="e">
        <f ca="1">AVERAGE(OFFSET($CX$3,0,0,'Données projet'!$E$13+1,1))-AVERAGE(OFFSET($H$3,0,0,'Données projet'!$E$13+1,1))</f>
        <v>#N/A</v>
      </c>
      <c r="CZ189" s="58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5.4092197387944907E-14</v>
      </c>
      <c r="DQ189" s="14">
        <f t="shared" si="176"/>
        <v>8.7287050538073676E-13</v>
      </c>
      <c r="DR189" s="22">
        <f t="shared" si="177"/>
        <v>1.6144600406554537E-12</v>
      </c>
      <c r="DS189" s="58">
        <f t="shared" si="125"/>
        <v>293.33333333333491</v>
      </c>
      <c r="DT189" s="58">
        <f ca="1">AVERAGE(OFFSET($DS$3,0,0,'Données projet'!$E$14+1,1))-AVERAGE(OFFSET($H$3,0,0,'Données projet'!$E$14+1,1))</f>
        <v>332.49889399440514</v>
      </c>
      <c r="DU189" s="58">
        <f t="shared" si="152"/>
        <v>256.06044006790529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5.1159076974727213E-13</v>
      </c>
      <c r="EK189" s="18">
        <f>EJ189*VLOOKUP('Données projet'!$B$15,Paramètres!$A$1:$I$89,3,0)*VLOOKUP('Données projet'!$B$15,Paramètres!$A$1:$I$89,5,0)</f>
        <v>5.3471467253984886E-13</v>
      </c>
      <c r="EL189" s="14">
        <f t="shared" si="179"/>
        <v>6.6087717628803869E-12</v>
      </c>
      <c r="EM189" s="22">
        <f t="shared" si="180"/>
        <v>1.244157220835691E-11</v>
      </c>
      <c r="EN189" s="58">
        <f t="shared" si="128"/>
        <v>293.33333333334576</v>
      </c>
      <c r="EO189" s="58">
        <f ca="1">AVERAGE(OFFSET($EN$3,0,0,'Données projet'!$E$15+1,1))-AVERAGE(OFFSET($H$3,0,0,'Données projet'!$E$15+1,1))</f>
        <v>596.00698505207174</v>
      </c>
      <c r="EP189" s="58">
        <f t="shared" si="154"/>
        <v>378.16197659288338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2.2737367544323206E-13</v>
      </c>
      <c r="FF189" s="18">
        <f>FE189*VLOOKUP('Données projet'!$B$16,Paramètres!$A$1:$I$89,3,0)*VLOOKUP('Données projet'!$B$16,Paramètres!$A$1:$I$89,5,0)</f>
        <v>1.064108801074326E-13</v>
      </c>
      <c r="FG189" s="14">
        <f t="shared" si="182"/>
        <v>1.5870730813698654E-12</v>
      </c>
      <c r="FH189" s="22">
        <f t="shared" si="183"/>
        <v>2.9494845662396269E-12</v>
      </c>
      <c r="FI189" s="58">
        <f t="shared" si="131"/>
        <v>293.33333333333627</v>
      </c>
      <c r="FJ189" s="58">
        <f ca="1">AVERAGE(OFFSET($FI$3,0,0,'Données projet'!$E$16+1,1))-AVERAGE(OFFSET($H$3,0,0,'Données projet'!$E$16+1,1))</f>
        <v>294.31042006404056</v>
      </c>
      <c r="FK189" s="58">
        <f t="shared" si="156"/>
        <v>260.93767498478502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2.8421709430404007E-13</v>
      </c>
      <c r="GA189" s="18">
        <f>FZ189*VLOOKUP('Données projet'!$B$17,Paramètres!$A$1:$I$89,3,0)*VLOOKUP('Données projet'!$B$17,Paramètres!$A$1:$I$89,5,0)</f>
        <v>1.9065282685915009E-13</v>
      </c>
      <c r="GB189" s="14">
        <f t="shared" si="185"/>
        <v>2.6568987209435707E-12</v>
      </c>
      <c r="GC189" s="22">
        <f t="shared" si="186"/>
        <v>4.959485612423072E-12</v>
      </c>
      <c r="GD189" s="58">
        <f t="shared" si="134"/>
        <v>293.33333333333826</v>
      </c>
      <c r="GE189" s="58">
        <f ca="1">AVERAGE(OFFSET($GD$3,0,0,'Données projet'!$E$17+1,1))-AVERAGE(OFFSET($H$3,0,0,'Données projet'!$E$17+1,1))</f>
        <v>362.1372269575329</v>
      </c>
      <c r="GF189" s="58">
        <f t="shared" si="158"/>
        <v>308.1559670593121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58" t="e">
        <f t="shared" si="137"/>
        <v>#N/A</v>
      </c>
      <c r="GZ189" s="58" t="e">
        <f ca="1">AVERAGE(OFFSET($GY$3,0,0,'Données projet'!$E$18+1,1))-AVERAGE(OFFSET($H$3,0,0,'Données projet'!$E$18+1,1))</f>
        <v>#N/A</v>
      </c>
      <c r="HA189" s="58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0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3">
        <f t="shared" si="110"/>
        <v>256.66666666666669</v>
      </c>
      <c r="I190" s="6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-2.8421709430404007E-13</v>
      </c>
      <c r="O190" s="14">
        <f>N190*VLOOKUP('Données projet'!$B$9,Paramètres!$A$1:$I$89,3,0)*VLOOKUP('Données projet'!$B$9,Paramètres!$A$1:$I$89,5,0)</f>
        <v>-2.8819613362429665E-13</v>
      </c>
      <c r="P190" s="14" t="e">
        <f t="shared" si="141"/>
        <v>#NUM!</v>
      </c>
      <c r="Q190" s="22" t="e">
        <f t="shared" si="162"/>
        <v>#NUM!</v>
      </c>
      <c r="R190" s="58" t="e">
        <f t="shared" si="109"/>
        <v>#NUM!</v>
      </c>
      <c r="S190" s="58">
        <f ca="1">AVERAGE(OFFSET($R$3,0,0,'Données projet'!$E$9+1,1))-AVERAGE(OFFSET($H$3,0,0,'Données projet'!$E$9+1,1))</f>
        <v>483.15009705023641</v>
      </c>
      <c r="T190" s="58">
        <f t="shared" si="142"/>
        <v>254.25036207346591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-2.8421709430404007E-13</v>
      </c>
      <c r="AJ190" s="14">
        <f>AI190*VLOOKUP('Données projet'!$B$10,Paramètres!$A$1:$I$89,3,0)*VLOOKUP('Données projet'!$B$10,Paramètres!$A$1:$I$89,5,0)</f>
        <v>-2.5715962692629546E-13</v>
      </c>
      <c r="AK190" s="14" t="e">
        <f t="shared" si="164"/>
        <v>#NUM!</v>
      </c>
      <c r="AL190" s="22" t="e">
        <f t="shared" si="165"/>
        <v>#NUM!</v>
      </c>
      <c r="AM190" s="58" t="e">
        <f t="shared" si="113"/>
        <v>#NUM!</v>
      </c>
      <c r="AN190" s="58">
        <f ca="1">AVERAGE(OFFSET($AM$3,0,0,'Données projet'!$E$10+1,1))-AVERAGE(OFFSET($H$3,0,0,'Données projet'!$E$10+1,1))</f>
        <v>435.7095890216213</v>
      </c>
      <c r="AO190" s="58">
        <f t="shared" si="144"/>
        <v>231.36959598460686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-4.9658410716801891E-14</v>
      </c>
      <c r="BF190" s="14" t="e">
        <f t="shared" si="167"/>
        <v>#NUM!</v>
      </c>
      <c r="BG190" s="22" t="e">
        <f t="shared" si="168"/>
        <v>#NUM!</v>
      </c>
      <c r="BH190" s="58" t="e">
        <f t="shared" si="116"/>
        <v>#NUM!</v>
      </c>
      <c r="BI190" s="58">
        <f ca="1">AVERAGE(OFFSET($BH$3,0,0,'Données projet'!$E$11+1,1))-AVERAGE(OFFSET($H$3,0,0,'Données projet'!$E$11+1,1))</f>
        <v>218.76424742311815</v>
      </c>
      <c r="BJ190" s="58">
        <f t="shared" si="146"/>
        <v>264.34598683038593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0.10455666280026267</v>
      </c>
      <c r="BQ190" s="23">
        <f>EXP(-LN(2)/25)*BQ189+(1-EXP(-LN(2)/25))/(LN(2)/25)*Calculateur!BL190*Calculateur!BN190*VLOOKUP('Données projet'!$B$11,Paramètres!$A$1:$I$89,3,0)*0.475*44/12</f>
        <v>5.6166063473191467E-2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0.16072272627345413</v>
      </c>
      <c r="BT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58" t="e">
        <f t="shared" si="119"/>
        <v>#NUM!</v>
      </c>
      <c r="CD190" s="58">
        <f ca="1">AVERAGE(OFFSET($CC$3,0,0,'Données projet'!$E$12+1,1))-AVERAGE(OFFSET($H$3,0,0,'Données projet'!$E$12+1,1))</f>
        <v>343.86347628565426</v>
      </c>
      <c r="CE190" s="58">
        <f t="shared" si="148"/>
        <v>129.28196646107097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58" t="e">
        <f t="shared" si="122"/>
        <v>#N/A</v>
      </c>
      <c r="CY190" s="58" t="e">
        <f ca="1">AVERAGE(OFFSET($CX$3,0,0,'Données projet'!$E$13+1,1))-AVERAGE(OFFSET($H$3,0,0,'Données projet'!$E$13+1,1))</f>
        <v>#N/A</v>
      </c>
      <c r="CZ190" s="58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5.4092197387944907E-14</v>
      </c>
      <c r="DQ190" s="14">
        <f t="shared" si="176"/>
        <v>8.7287050538073676E-13</v>
      </c>
      <c r="DR190" s="22">
        <f t="shared" si="177"/>
        <v>1.6144600406554537E-12</v>
      </c>
      <c r="DS190" s="58">
        <f t="shared" si="125"/>
        <v>293.33333333333491</v>
      </c>
      <c r="DT190" s="58">
        <f ca="1">AVERAGE(OFFSET($DS$3,0,0,'Données projet'!$E$14+1,1))-AVERAGE(OFFSET($H$3,0,0,'Données projet'!$E$14+1,1))</f>
        <v>332.49889399440514</v>
      </c>
      <c r="DU190" s="58">
        <f t="shared" si="152"/>
        <v>256.06044006790529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5.1159076974727213E-13</v>
      </c>
      <c r="EK190" s="18">
        <f>EJ190*VLOOKUP('Données projet'!$B$15,Paramètres!$A$1:$I$89,3,0)*VLOOKUP('Données projet'!$B$15,Paramètres!$A$1:$I$89,5,0)</f>
        <v>5.3471467253984886E-13</v>
      </c>
      <c r="EL190" s="14">
        <f t="shared" si="179"/>
        <v>6.6087717628803869E-12</v>
      </c>
      <c r="EM190" s="22">
        <f t="shared" si="180"/>
        <v>1.244157220835691E-11</v>
      </c>
      <c r="EN190" s="58">
        <f t="shared" si="128"/>
        <v>293.33333333334576</v>
      </c>
      <c r="EO190" s="58">
        <f ca="1">AVERAGE(OFFSET($EN$3,0,0,'Données projet'!$E$15+1,1))-AVERAGE(OFFSET($H$3,0,0,'Données projet'!$E$15+1,1))</f>
        <v>596.00698505207174</v>
      </c>
      <c r="EP190" s="58">
        <f t="shared" si="154"/>
        <v>378.16197659288338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2.2737367544323206E-13</v>
      </c>
      <c r="FF190" s="18">
        <f>FE190*VLOOKUP('Données projet'!$B$16,Paramètres!$A$1:$I$89,3,0)*VLOOKUP('Données projet'!$B$16,Paramètres!$A$1:$I$89,5,0)</f>
        <v>1.064108801074326E-13</v>
      </c>
      <c r="FG190" s="14">
        <f t="shared" si="182"/>
        <v>1.5870730813698654E-12</v>
      </c>
      <c r="FH190" s="22">
        <f t="shared" si="183"/>
        <v>2.9494845662396269E-12</v>
      </c>
      <c r="FI190" s="58">
        <f t="shared" si="131"/>
        <v>293.33333333333627</v>
      </c>
      <c r="FJ190" s="58">
        <f ca="1">AVERAGE(OFFSET($FI$3,0,0,'Données projet'!$E$16+1,1))-AVERAGE(OFFSET($H$3,0,0,'Données projet'!$E$16+1,1))</f>
        <v>294.31042006404056</v>
      </c>
      <c r="FK190" s="58">
        <f t="shared" si="156"/>
        <v>260.93767498478502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2.8421709430404007E-13</v>
      </c>
      <c r="GA190" s="18">
        <f>FZ190*VLOOKUP('Données projet'!$B$17,Paramètres!$A$1:$I$89,3,0)*VLOOKUP('Données projet'!$B$17,Paramètres!$A$1:$I$89,5,0)</f>
        <v>1.9065282685915009E-13</v>
      </c>
      <c r="GB190" s="14">
        <f t="shared" si="185"/>
        <v>2.6568987209435707E-12</v>
      </c>
      <c r="GC190" s="22">
        <f t="shared" si="186"/>
        <v>4.959485612423072E-12</v>
      </c>
      <c r="GD190" s="58">
        <f t="shared" si="134"/>
        <v>293.33333333333826</v>
      </c>
      <c r="GE190" s="58">
        <f ca="1">AVERAGE(OFFSET($GD$3,0,0,'Données projet'!$E$17+1,1))-AVERAGE(OFFSET($H$3,0,0,'Données projet'!$E$17+1,1))</f>
        <v>362.1372269575329</v>
      </c>
      <c r="GF190" s="58">
        <f t="shared" si="158"/>
        <v>308.1559670593121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58" t="e">
        <f t="shared" si="137"/>
        <v>#N/A</v>
      </c>
      <c r="GZ190" s="58" t="e">
        <f ca="1">AVERAGE(OFFSET($GY$3,0,0,'Données projet'!$E$18+1,1))-AVERAGE(OFFSET($H$3,0,0,'Données projet'!$E$18+1,1))</f>
        <v>#N/A</v>
      </c>
      <c r="HA190" s="58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0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3">
        <f t="shared" si="110"/>
        <v>256.66666666666669</v>
      </c>
      <c r="I191" s="6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-2.8421709430404007E-13</v>
      </c>
      <c r="O191" s="14">
        <f>N191*VLOOKUP('Données projet'!$B$9,Paramètres!$A$1:$I$89,3,0)*VLOOKUP('Données projet'!$B$9,Paramètres!$A$1:$I$89,5,0)</f>
        <v>-2.8819613362429665E-13</v>
      </c>
      <c r="P191" s="14" t="e">
        <f t="shared" si="141"/>
        <v>#NUM!</v>
      </c>
      <c r="Q191" s="22" t="e">
        <f t="shared" si="162"/>
        <v>#NUM!</v>
      </c>
      <c r="R191" s="58" t="e">
        <f t="shared" si="109"/>
        <v>#NUM!</v>
      </c>
      <c r="S191" s="58">
        <f ca="1">AVERAGE(OFFSET($R$3,0,0,'Données projet'!$E$9+1,1))-AVERAGE(OFFSET($H$3,0,0,'Données projet'!$E$9+1,1))</f>
        <v>483.15009705023641</v>
      </c>
      <c r="T191" s="58">
        <f t="shared" si="142"/>
        <v>254.25036207346591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-2.8421709430404007E-13</v>
      </c>
      <c r="AJ191" s="14">
        <f>AI191*VLOOKUP('Données projet'!$B$10,Paramètres!$A$1:$I$89,3,0)*VLOOKUP('Données projet'!$B$10,Paramètres!$A$1:$I$89,5,0)</f>
        <v>-2.5715962692629546E-13</v>
      </c>
      <c r="AK191" s="14" t="e">
        <f t="shared" si="164"/>
        <v>#NUM!</v>
      </c>
      <c r="AL191" s="22" t="e">
        <f t="shared" si="165"/>
        <v>#NUM!</v>
      </c>
      <c r="AM191" s="58" t="e">
        <f t="shared" si="113"/>
        <v>#NUM!</v>
      </c>
      <c r="AN191" s="58">
        <f ca="1">AVERAGE(OFFSET($AM$3,0,0,'Données projet'!$E$10+1,1))-AVERAGE(OFFSET($H$3,0,0,'Données projet'!$E$10+1,1))</f>
        <v>435.7095890216213</v>
      </c>
      <c r="AO191" s="58">
        <f t="shared" si="144"/>
        <v>231.36959598460686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-4.9658410716801891E-14</v>
      </c>
      <c r="BF191" s="14" t="e">
        <f t="shared" si="167"/>
        <v>#NUM!</v>
      </c>
      <c r="BG191" s="22" t="e">
        <f t="shared" si="168"/>
        <v>#NUM!</v>
      </c>
      <c r="BH191" s="58" t="e">
        <f t="shared" si="116"/>
        <v>#NUM!</v>
      </c>
      <c r="BI191" s="58">
        <f ca="1">AVERAGE(OFFSET($BH$3,0,0,'Données projet'!$E$11+1,1))-AVERAGE(OFFSET($H$3,0,0,'Données projet'!$E$11+1,1))</f>
        <v>218.76424742311815</v>
      </c>
      <c r="BJ191" s="58">
        <f t="shared" si="146"/>
        <v>264.34598683038593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0.10250637041601673</v>
      </c>
      <c r="BQ191" s="23">
        <f>EXP(-LN(2)/25)*BQ190+(1-EXP(-LN(2)/25))/(LN(2)/25)*Calculateur!BL191*Calculateur!BN191*VLOOKUP('Données projet'!$B$11,Paramètres!$A$1:$I$89,3,0)*0.475*44/12</f>
        <v>5.4630199513872137E-2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0.15713656992988886</v>
      </c>
      <c r="BT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58" t="e">
        <f t="shared" si="119"/>
        <v>#NUM!</v>
      </c>
      <c r="CD191" s="58">
        <f ca="1">AVERAGE(OFFSET($CC$3,0,0,'Données projet'!$E$12+1,1))-AVERAGE(OFFSET($H$3,0,0,'Données projet'!$E$12+1,1))</f>
        <v>343.86347628565426</v>
      </c>
      <c r="CE191" s="58">
        <f t="shared" si="148"/>
        <v>129.28196646107097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58" t="e">
        <f t="shared" si="122"/>
        <v>#N/A</v>
      </c>
      <c r="CY191" s="58" t="e">
        <f ca="1">AVERAGE(OFFSET($CX$3,0,0,'Données projet'!$E$13+1,1))-AVERAGE(OFFSET($H$3,0,0,'Données projet'!$E$13+1,1))</f>
        <v>#N/A</v>
      </c>
      <c r="CZ191" s="58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5.4092197387944907E-14</v>
      </c>
      <c r="DQ191" s="14">
        <f t="shared" si="176"/>
        <v>8.7287050538073676E-13</v>
      </c>
      <c r="DR191" s="22">
        <f t="shared" si="177"/>
        <v>1.6144600406554537E-12</v>
      </c>
      <c r="DS191" s="58">
        <f t="shared" si="125"/>
        <v>293.33333333333491</v>
      </c>
      <c r="DT191" s="58">
        <f ca="1">AVERAGE(OFFSET($DS$3,0,0,'Données projet'!$E$14+1,1))-AVERAGE(OFFSET($H$3,0,0,'Données projet'!$E$14+1,1))</f>
        <v>332.49889399440514</v>
      </c>
      <c r="DU191" s="58">
        <f t="shared" si="152"/>
        <v>256.06044006790529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5.1159076974727213E-13</v>
      </c>
      <c r="EK191" s="18">
        <f>EJ191*VLOOKUP('Données projet'!$B$15,Paramètres!$A$1:$I$89,3,0)*VLOOKUP('Données projet'!$B$15,Paramètres!$A$1:$I$89,5,0)</f>
        <v>5.3471467253984886E-13</v>
      </c>
      <c r="EL191" s="14">
        <f t="shared" si="179"/>
        <v>6.6087717628803869E-12</v>
      </c>
      <c r="EM191" s="22">
        <f t="shared" si="180"/>
        <v>1.244157220835691E-11</v>
      </c>
      <c r="EN191" s="58">
        <f t="shared" si="128"/>
        <v>293.33333333334576</v>
      </c>
      <c r="EO191" s="58">
        <f ca="1">AVERAGE(OFFSET($EN$3,0,0,'Données projet'!$E$15+1,1))-AVERAGE(OFFSET($H$3,0,0,'Données projet'!$E$15+1,1))</f>
        <v>596.00698505207174</v>
      </c>
      <c r="EP191" s="58">
        <f t="shared" si="154"/>
        <v>378.16197659288338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2.2737367544323206E-13</v>
      </c>
      <c r="FF191" s="18">
        <f>FE191*VLOOKUP('Données projet'!$B$16,Paramètres!$A$1:$I$89,3,0)*VLOOKUP('Données projet'!$B$16,Paramètres!$A$1:$I$89,5,0)</f>
        <v>1.064108801074326E-13</v>
      </c>
      <c r="FG191" s="14">
        <f t="shared" si="182"/>
        <v>1.5870730813698654E-12</v>
      </c>
      <c r="FH191" s="22">
        <f t="shared" si="183"/>
        <v>2.9494845662396269E-12</v>
      </c>
      <c r="FI191" s="58">
        <f t="shared" si="131"/>
        <v>293.33333333333627</v>
      </c>
      <c r="FJ191" s="58">
        <f ca="1">AVERAGE(OFFSET($FI$3,0,0,'Données projet'!$E$16+1,1))-AVERAGE(OFFSET($H$3,0,0,'Données projet'!$E$16+1,1))</f>
        <v>294.31042006404056</v>
      </c>
      <c r="FK191" s="58">
        <f t="shared" si="156"/>
        <v>260.93767498478502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2.8421709430404007E-13</v>
      </c>
      <c r="GA191" s="18">
        <f>FZ191*VLOOKUP('Données projet'!$B$17,Paramètres!$A$1:$I$89,3,0)*VLOOKUP('Données projet'!$B$17,Paramètres!$A$1:$I$89,5,0)</f>
        <v>1.9065282685915009E-13</v>
      </c>
      <c r="GB191" s="14">
        <f t="shared" si="185"/>
        <v>2.6568987209435707E-12</v>
      </c>
      <c r="GC191" s="22">
        <f t="shared" si="186"/>
        <v>4.959485612423072E-12</v>
      </c>
      <c r="GD191" s="58">
        <f t="shared" si="134"/>
        <v>293.33333333333826</v>
      </c>
      <c r="GE191" s="58">
        <f ca="1">AVERAGE(OFFSET($GD$3,0,0,'Données projet'!$E$17+1,1))-AVERAGE(OFFSET($H$3,0,0,'Données projet'!$E$17+1,1))</f>
        <v>362.1372269575329</v>
      </c>
      <c r="GF191" s="58">
        <f t="shared" si="158"/>
        <v>308.1559670593121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58" t="e">
        <f t="shared" si="137"/>
        <v>#N/A</v>
      </c>
      <c r="GZ191" s="58" t="e">
        <f ca="1">AVERAGE(OFFSET($GY$3,0,0,'Données projet'!$E$18+1,1))-AVERAGE(OFFSET($H$3,0,0,'Données projet'!$E$18+1,1))</f>
        <v>#N/A</v>
      </c>
      <c r="HA191" s="58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0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3">
        <f t="shared" si="110"/>
        <v>256.66666666666669</v>
      </c>
      <c r="I192" s="6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-2.8421709430404007E-13</v>
      </c>
      <c r="O192" s="14">
        <f>N192*VLOOKUP('Données projet'!$B$9,Paramètres!$A$1:$I$89,3,0)*VLOOKUP('Données projet'!$B$9,Paramètres!$A$1:$I$89,5,0)</f>
        <v>-2.8819613362429665E-13</v>
      </c>
      <c r="P192" s="14" t="e">
        <f t="shared" si="141"/>
        <v>#NUM!</v>
      </c>
      <c r="Q192" s="22" t="e">
        <f t="shared" si="162"/>
        <v>#NUM!</v>
      </c>
      <c r="R192" s="58" t="e">
        <f t="shared" si="109"/>
        <v>#NUM!</v>
      </c>
      <c r="S192" s="58">
        <f ca="1">AVERAGE(OFFSET($R$3,0,0,'Données projet'!$E$9+1,1))-AVERAGE(OFFSET($H$3,0,0,'Données projet'!$E$9+1,1))</f>
        <v>483.15009705023641</v>
      </c>
      <c r="T192" s="58">
        <f t="shared" si="142"/>
        <v>254.25036207346591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-2.8421709430404007E-13</v>
      </c>
      <c r="AJ192" s="14">
        <f>AI192*VLOOKUP('Données projet'!$B$10,Paramètres!$A$1:$I$89,3,0)*VLOOKUP('Données projet'!$B$10,Paramètres!$A$1:$I$89,5,0)</f>
        <v>-2.5715962692629546E-13</v>
      </c>
      <c r="AK192" s="14" t="e">
        <f t="shared" si="164"/>
        <v>#NUM!</v>
      </c>
      <c r="AL192" s="22" t="e">
        <f t="shared" si="165"/>
        <v>#NUM!</v>
      </c>
      <c r="AM192" s="58" t="e">
        <f t="shared" si="113"/>
        <v>#NUM!</v>
      </c>
      <c r="AN192" s="58">
        <f ca="1">AVERAGE(OFFSET($AM$3,0,0,'Données projet'!$E$10+1,1))-AVERAGE(OFFSET($H$3,0,0,'Données projet'!$E$10+1,1))</f>
        <v>435.7095890216213</v>
      </c>
      <c r="AO192" s="58">
        <f t="shared" si="144"/>
        <v>231.36959598460686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-4.9658410716801891E-14</v>
      </c>
      <c r="BF192" s="14" t="e">
        <f t="shared" si="167"/>
        <v>#NUM!</v>
      </c>
      <c r="BG192" s="22" t="e">
        <f t="shared" si="168"/>
        <v>#NUM!</v>
      </c>
      <c r="BH192" s="58" t="e">
        <f t="shared" si="116"/>
        <v>#NUM!</v>
      </c>
      <c r="BI192" s="58">
        <f ca="1">AVERAGE(OFFSET($BH$3,0,0,'Données projet'!$E$11+1,1))-AVERAGE(OFFSET($H$3,0,0,'Données projet'!$E$11+1,1))</f>
        <v>218.76424742311815</v>
      </c>
      <c r="BJ192" s="58">
        <f t="shared" si="146"/>
        <v>264.34598683038593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0.100496283014871</v>
      </c>
      <c r="BQ192" s="23">
        <f>EXP(-LN(2)/25)*BQ191+(1-EXP(-LN(2)/25))/(LN(2)/25)*Calculateur!BL192*Calculateur!BN192*VLOOKUP('Données projet'!$B$11,Paramètres!$A$1:$I$89,3,0)*0.475*44/12</f>
        <v>5.3136333835287972E-2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0.15363261685015897</v>
      </c>
      <c r="BT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58" t="e">
        <f t="shared" si="119"/>
        <v>#NUM!</v>
      </c>
      <c r="CD192" s="58">
        <f ca="1">AVERAGE(OFFSET($CC$3,0,0,'Données projet'!$E$12+1,1))-AVERAGE(OFFSET($H$3,0,0,'Données projet'!$E$12+1,1))</f>
        <v>343.86347628565426</v>
      </c>
      <c r="CE192" s="58">
        <f t="shared" si="148"/>
        <v>129.28196646107097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58" t="e">
        <f t="shared" si="122"/>
        <v>#N/A</v>
      </c>
      <c r="CY192" s="58" t="e">
        <f ca="1">AVERAGE(OFFSET($CX$3,0,0,'Données projet'!$E$13+1,1))-AVERAGE(OFFSET($H$3,0,0,'Données projet'!$E$13+1,1))</f>
        <v>#N/A</v>
      </c>
      <c r="CZ192" s="58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5.4092197387944907E-14</v>
      </c>
      <c r="DQ192" s="14">
        <f t="shared" si="176"/>
        <v>8.7287050538073676E-13</v>
      </c>
      <c r="DR192" s="22">
        <f t="shared" si="177"/>
        <v>1.6144600406554537E-12</v>
      </c>
      <c r="DS192" s="58">
        <f t="shared" si="125"/>
        <v>293.33333333333491</v>
      </c>
      <c r="DT192" s="58">
        <f ca="1">AVERAGE(OFFSET($DS$3,0,0,'Données projet'!$E$14+1,1))-AVERAGE(OFFSET($H$3,0,0,'Données projet'!$E$14+1,1))</f>
        <v>332.49889399440514</v>
      </c>
      <c r="DU192" s="58">
        <f t="shared" si="152"/>
        <v>256.06044006790529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5.1159076974727213E-13</v>
      </c>
      <c r="EK192" s="18">
        <f>EJ192*VLOOKUP('Données projet'!$B$15,Paramètres!$A$1:$I$89,3,0)*VLOOKUP('Données projet'!$B$15,Paramètres!$A$1:$I$89,5,0)</f>
        <v>5.3471467253984886E-13</v>
      </c>
      <c r="EL192" s="14">
        <f t="shared" si="179"/>
        <v>6.6087717628803869E-12</v>
      </c>
      <c r="EM192" s="22">
        <f t="shared" si="180"/>
        <v>1.244157220835691E-11</v>
      </c>
      <c r="EN192" s="58">
        <f t="shared" si="128"/>
        <v>293.33333333334576</v>
      </c>
      <c r="EO192" s="58">
        <f ca="1">AVERAGE(OFFSET($EN$3,0,0,'Données projet'!$E$15+1,1))-AVERAGE(OFFSET($H$3,0,0,'Données projet'!$E$15+1,1))</f>
        <v>596.00698505207174</v>
      </c>
      <c r="EP192" s="58">
        <f t="shared" si="154"/>
        <v>378.16197659288338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2.2737367544323206E-13</v>
      </c>
      <c r="FF192" s="18">
        <f>FE192*VLOOKUP('Données projet'!$B$16,Paramètres!$A$1:$I$89,3,0)*VLOOKUP('Données projet'!$B$16,Paramètres!$A$1:$I$89,5,0)</f>
        <v>1.064108801074326E-13</v>
      </c>
      <c r="FG192" s="14">
        <f t="shared" si="182"/>
        <v>1.5870730813698654E-12</v>
      </c>
      <c r="FH192" s="22">
        <f t="shared" si="183"/>
        <v>2.9494845662396269E-12</v>
      </c>
      <c r="FI192" s="58">
        <f t="shared" si="131"/>
        <v>293.33333333333627</v>
      </c>
      <c r="FJ192" s="58">
        <f ca="1">AVERAGE(OFFSET($FI$3,0,0,'Données projet'!$E$16+1,1))-AVERAGE(OFFSET($H$3,0,0,'Données projet'!$E$16+1,1))</f>
        <v>294.31042006404056</v>
      </c>
      <c r="FK192" s="58">
        <f t="shared" si="156"/>
        <v>260.93767498478502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2.8421709430404007E-13</v>
      </c>
      <c r="GA192" s="18">
        <f>FZ192*VLOOKUP('Données projet'!$B$17,Paramètres!$A$1:$I$89,3,0)*VLOOKUP('Données projet'!$B$17,Paramètres!$A$1:$I$89,5,0)</f>
        <v>1.9065282685915009E-13</v>
      </c>
      <c r="GB192" s="14">
        <f t="shared" si="185"/>
        <v>2.6568987209435707E-12</v>
      </c>
      <c r="GC192" s="22">
        <f t="shared" si="186"/>
        <v>4.959485612423072E-12</v>
      </c>
      <c r="GD192" s="58">
        <f t="shared" si="134"/>
        <v>293.33333333333826</v>
      </c>
      <c r="GE192" s="58">
        <f ca="1">AVERAGE(OFFSET($GD$3,0,0,'Données projet'!$E$17+1,1))-AVERAGE(OFFSET($H$3,0,0,'Données projet'!$E$17+1,1))</f>
        <v>362.1372269575329</v>
      </c>
      <c r="GF192" s="58">
        <f t="shared" si="158"/>
        <v>308.1559670593121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58" t="e">
        <f t="shared" si="137"/>
        <v>#N/A</v>
      </c>
      <c r="GZ192" s="58" t="e">
        <f ca="1">AVERAGE(OFFSET($GY$3,0,0,'Données projet'!$E$18+1,1))-AVERAGE(OFFSET($H$3,0,0,'Données projet'!$E$18+1,1))</f>
        <v>#N/A</v>
      </c>
      <c r="HA192" s="58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0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3">
        <f t="shared" si="110"/>
        <v>256.66666666666669</v>
      </c>
      <c r="I193" s="6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-2.8421709430404007E-13</v>
      </c>
      <c r="O193" s="14">
        <f>N193*VLOOKUP('Données projet'!$B$9,Paramètres!$A$1:$I$89,3,0)*VLOOKUP('Données projet'!$B$9,Paramètres!$A$1:$I$89,5,0)</f>
        <v>-2.8819613362429665E-13</v>
      </c>
      <c r="P193" s="14" t="e">
        <f t="shared" si="141"/>
        <v>#NUM!</v>
      </c>
      <c r="Q193" s="22" t="e">
        <f t="shared" si="162"/>
        <v>#NUM!</v>
      </c>
      <c r="R193" s="58" t="e">
        <f t="shared" si="109"/>
        <v>#NUM!</v>
      </c>
      <c r="S193" s="58">
        <f ca="1">AVERAGE(OFFSET($R$3,0,0,'Données projet'!$E$9+1,1))-AVERAGE(OFFSET($H$3,0,0,'Données projet'!$E$9+1,1))</f>
        <v>483.15009705023641</v>
      </c>
      <c r="T193" s="58">
        <f t="shared" si="142"/>
        <v>254.25036207346591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-2.8421709430404007E-13</v>
      </c>
      <c r="AJ193" s="14">
        <f>AI193*VLOOKUP('Données projet'!$B$10,Paramètres!$A$1:$I$89,3,0)*VLOOKUP('Données projet'!$B$10,Paramètres!$A$1:$I$89,5,0)</f>
        <v>-2.5715962692629546E-13</v>
      </c>
      <c r="AK193" s="14" t="e">
        <f t="shared" si="164"/>
        <v>#NUM!</v>
      </c>
      <c r="AL193" s="22" t="e">
        <f t="shared" si="165"/>
        <v>#NUM!</v>
      </c>
      <c r="AM193" s="58" t="e">
        <f t="shared" si="113"/>
        <v>#NUM!</v>
      </c>
      <c r="AN193" s="58">
        <f ca="1">AVERAGE(OFFSET($AM$3,0,0,'Données projet'!$E$10+1,1))-AVERAGE(OFFSET($H$3,0,0,'Données projet'!$E$10+1,1))</f>
        <v>435.7095890216213</v>
      </c>
      <c r="AO193" s="58">
        <f t="shared" si="144"/>
        <v>231.36959598460686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-4.9658410716801891E-14</v>
      </c>
      <c r="BF193" s="14" t="e">
        <f t="shared" si="167"/>
        <v>#NUM!</v>
      </c>
      <c r="BG193" s="22" t="e">
        <f t="shared" si="168"/>
        <v>#NUM!</v>
      </c>
      <c r="BH193" s="58" t="e">
        <f t="shared" si="116"/>
        <v>#NUM!</v>
      </c>
      <c r="BI193" s="58">
        <f ca="1">AVERAGE(OFFSET($BH$3,0,0,'Données projet'!$E$11+1,1))-AVERAGE(OFFSET($H$3,0,0,'Données projet'!$E$11+1,1))</f>
        <v>218.76424742311815</v>
      </c>
      <c r="BJ193" s="58">
        <f t="shared" si="146"/>
        <v>264.34598683038593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9.8525612201629476E-2</v>
      </c>
      <c r="BQ193" s="23">
        <f>EXP(-LN(2)/25)*BQ192+(1-EXP(-LN(2)/25))/(LN(2)/25)*Calculateur!BL193*Calculateur!BN193*VLOOKUP('Données projet'!$B$11,Paramètres!$A$1:$I$89,3,0)*0.475*44/12</f>
        <v>5.1683317992243669E-2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0.15020893019387316</v>
      </c>
      <c r="BT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58" t="e">
        <f t="shared" si="119"/>
        <v>#NUM!</v>
      </c>
      <c r="CD193" s="58">
        <f ca="1">AVERAGE(OFFSET($CC$3,0,0,'Données projet'!$E$12+1,1))-AVERAGE(OFFSET($H$3,0,0,'Données projet'!$E$12+1,1))</f>
        <v>343.86347628565426</v>
      </c>
      <c r="CE193" s="58">
        <f t="shared" si="148"/>
        <v>129.28196646107097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58" t="e">
        <f t="shared" si="122"/>
        <v>#N/A</v>
      </c>
      <c r="CY193" s="58" t="e">
        <f ca="1">AVERAGE(OFFSET($CX$3,0,0,'Données projet'!$E$13+1,1))-AVERAGE(OFFSET($H$3,0,0,'Données projet'!$E$13+1,1))</f>
        <v>#N/A</v>
      </c>
      <c r="CZ193" s="58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5.4092197387944907E-14</v>
      </c>
      <c r="DQ193" s="14">
        <f t="shared" si="176"/>
        <v>8.7287050538073676E-13</v>
      </c>
      <c r="DR193" s="22">
        <f t="shared" si="177"/>
        <v>1.6144600406554537E-12</v>
      </c>
      <c r="DS193" s="58">
        <f t="shared" si="125"/>
        <v>293.33333333333491</v>
      </c>
      <c r="DT193" s="58">
        <f ca="1">AVERAGE(OFFSET($DS$3,0,0,'Données projet'!$E$14+1,1))-AVERAGE(OFFSET($H$3,0,0,'Données projet'!$E$14+1,1))</f>
        <v>332.49889399440514</v>
      </c>
      <c r="DU193" s="58">
        <f t="shared" si="152"/>
        <v>256.06044006790529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5.1159076974727213E-13</v>
      </c>
      <c r="EK193" s="18">
        <f>EJ193*VLOOKUP('Données projet'!$B$15,Paramètres!$A$1:$I$89,3,0)*VLOOKUP('Données projet'!$B$15,Paramètres!$A$1:$I$89,5,0)</f>
        <v>5.3471467253984886E-13</v>
      </c>
      <c r="EL193" s="14">
        <f t="shared" si="179"/>
        <v>6.6087717628803869E-12</v>
      </c>
      <c r="EM193" s="22">
        <f t="shared" si="180"/>
        <v>1.244157220835691E-11</v>
      </c>
      <c r="EN193" s="58">
        <f t="shared" si="128"/>
        <v>293.33333333334576</v>
      </c>
      <c r="EO193" s="58">
        <f ca="1">AVERAGE(OFFSET($EN$3,0,0,'Données projet'!$E$15+1,1))-AVERAGE(OFFSET($H$3,0,0,'Données projet'!$E$15+1,1))</f>
        <v>596.00698505207174</v>
      </c>
      <c r="EP193" s="58">
        <f t="shared" si="154"/>
        <v>378.16197659288338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2.2737367544323206E-13</v>
      </c>
      <c r="FF193" s="18">
        <f>FE193*VLOOKUP('Données projet'!$B$16,Paramètres!$A$1:$I$89,3,0)*VLOOKUP('Données projet'!$B$16,Paramètres!$A$1:$I$89,5,0)</f>
        <v>1.064108801074326E-13</v>
      </c>
      <c r="FG193" s="14">
        <f t="shared" si="182"/>
        <v>1.5870730813698654E-12</v>
      </c>
      <c r="FH193" s="22">
        <f t="shared" si="183"/>
        <v>2.9494845662396269E-12</v>
      </c>
      <c r="FI193" s="58">
        <f t="shared" si="131"/>
        <v>293.33333333333627</v>
      </c>
      <c r="FJ193" s="58">
        <f ca="1">AVERAGE(OFFSET($FI$3,0,0,'Données projet'!$E$16+1,1))-AVERAGE(OFFSET($H$3,0,0,'Données projet'!$E$16+1,1))</f>
        <v>294.31042006404056</v>
      </c>
      <c r="FK193" s="58">
        <f t="shared" si="156"/>
        <v>260.93767498478502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2.8421709430404007E-13</v>
      </c>
      <c r="GA193" s="18">
        <f>FZ193*VLOOKUP('Données projet'!$B$17,Paramètres!$A$1:$I$89,3,0)*VLOOKUP('Données projet'!$B$17,Paramètres!$A$1:$I$89,5,0)</f>
        <v>1.9065282685915009E-13</v>
      </c>
      <c r="GB193" s="14">
        <f t="shared" si="185"/>
        <v>2.6568987209435707E-12</v>
      </c>
      <c r="GC193" s="22">
        <f t="shared" si="186"/>
        <v>4.959485612423072E-12</v>
      </c>
      <c r="GD193" s="58">
        <f t="shared" si="134"/>
        <v>293.33333333333826</v>
      </c>
      <c r="GE193" s="58">
        <f ca="1">AVERAGE(OFFSET($GD$3,0,0,'Données projet'!$E$17+1,1))-AVERAGE(OFFSET($H$3,0,0,'Données projet'!$E$17+1,1))</f>
        <v>362.1372269575329</v>
      </c>
      <c r="GF193" s="58">
        <f t="shared" si="158"/>
        <v>308.1559670593121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58" t="e">
        <f t="shared" si="137"/>
        <v>#N/A</v>
      </c>
      <c r="GZ193" s="58" t="e">
        <f ca="1">AVERAGE(OFFSET($GY$3,0,0,'Données projet'!$E$18+1,1))-AVERAGE(OFFSET($H$3,0,0,'Données projet'!$E$18+1,1))</f>
        <v>#N/A</v>
      </c>
      <c r="HA193" s="58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0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3">
        <f t="shared" si="110"/>
        <v>256.66666666666669</v>
      </c>
      <c r="I194" s="6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-2.8421709430404007E-13</v>
      </c>
      <c r="O194" s="14">
        <f>N194*VLOOKUP('Données projet'!$B$9,Paramètres!$A$1:$I$89,3,0)*VLOOKUP('Données projet'!$B$9,Paramètres!$A$1:$I$89,5,0)</f>
        <v>-2.8819613362429665E-13</v>
      </c>
      <c r="P194" s="14" t="e">
        <f t="shared" si="141"/>
        <v>#NUM!</v>
      </c>
      <c r="Q194" s="22" t="e">
        <f t="shared" si="162"/>
        <v>#NUM!</v>
      </c>
      <c r="R194" s="58" t="e">
        <f t="shared" si="109"/>
        <v>#NUM!</v>
      </c>
      <c r="S194" s="58">
        <f ca="1">AVERAGE(OFFSET($R$3,0,0,'Données projet'!$E$9+1,1))-AVERAGE(OFFSET($H$3,0,0,'Données projet'!$E$9+1,1))</f>
        <v>483.15009705023641</v>
      </c>
      <c r="T194" s="58">
        <f t="shared" si="142"/>
        <v>254.25036207346591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-2.8421709430404007E-13</v>
      </c>
      <c r="AJ194" s="14">
        <f>AI194*VLOOKUP('Données projet'!$B$10,Paramètres!$A$1:$I$89,3,0)*VLOOKUP('Données projet'!$B$10,Paramètres!$A$1:$I$89,5,0)</f>
        <v>-2.5715962692629546E-13</v>
      </c>
      <c r="AK194" s="14" t="e">
        <f t="shared" si="164"/>
        <v>#NUM!</v>
      </c>
      <c r="AL194" s="22" t="e">
        <f t="shared" si="165"/>
        <v>#NUM!</v>
      </c>
      <c r="AM194" s="58" t="e">
        <f t="shared" si="113"/>
        <v>#NUM!</v>
      </c>
      <c r="AN194" s="58">
        <f ca="1">AVERAGE(OFFSET($AM$3,0,0,'Données projet'!$E$10+1,1))-AVERAGE(OFFSET($H$3,0,0,'Données projet'!$E$10+1,1))</f>
        <v>435.7095890216213</v>
      </c>
      <c r="AO194" s="58">
        <f t="shared" si="144"/>
        <v>231.36959598460686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-4.9658410716801891E-14</v>
      </c>
      <c r="BF194" s="14" t="e">
        <f t="shared" si="167"/>
        <v>#NUM!</v>
      </c>
      <c r="BG194" s="22" t="e">
        <f t="shared" si="168"/>
        <v>#NUM!</v>
      </c>
      <c r="BH194" s="58" t="e">
        <f t="shared" si="116"/>
        <v>#NUM!</v>
      </c>
      <c r="BI194" s="58">
        <f ca="1">AVERAGE(OFFSET($BH$3,0,0,'Données projet'!$E$11+1,1))-AVERAGE(OFFSET($H$3,0,0,'Données projet'!$E$11+1,1))</f>
        <v>218.76424742311815</v>
      </c>
      <c r="BJ194" s="58">
        <f t="shared" si="146"/>
        <v>264.34598683038593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9.6593585041045107E-2</v>
      </c>
      <c r="BQ194" s="23">
        <f>EXP(-LN(2)/25)*BQ193+(1-EXP(-LN(2)/25))/(LN(2)/25)*Calculateur!BL194*Calculateur!BN194*VLOOKUP('Données projet'!$B$11,Paramètres!$A$1:$I$89,3,0)*0.475*44/12</f>
        <v>5.0270034943838193E-2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0.14686361998488329</v>
      </c>
      <c r="BT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58" t="e">
        <f t="shared" si="119"/>
        <v>#NUM!</v>
      </c>
      <c r="CD194" s="58">
        <f ca="1">AVERAGE(OFFSET($CC$3,0,0,'Données projet'!$E$12+1,1))-AVERAGE(OFFSET($H$3,0,0,'Données projet'!$E$12+1,1))</f>
        <v>343.86347628565426</v>
      </c>
      <c r="CE194" s="58">
        <f t="shared" si="148"/>
        <v>129.28196646107097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58" t="e">
        <f t="shared" si="122"/>
        <v>#N/A</v>
      </c>
      <c r="CY194" s="58" t="e">
        <f ca="1">AVERAGE(OFFSET($CX$3,0,0,'Données projet'!$E$13+1,1))-AVERAGE(OFFSET($H$3,0,0,'Données projet'!$E$13+1,1))</f>
        <v>#N/A</v>
      </c>
      <c r="CZ194" s="58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5.4092197387944907E-14</v>
      </c>
      <c r="DQ194" s="14">
        <f t="shared" si="176"/>
        <v>8.7287050538073676E-13</v>
      </c>
      <c r="DR194" s="22">
        <f t="shared" si="177"/>
        <v>1.6144600406554537E-12</v>
      </c>
      <c r="DS194" s="58">
        <f t="shared" si="125"/>
        <v>293.33333333333491</v>
      </c>
      <c r="DT194" s="58">
        <f ca="1">AVERAGE(OFFSET($DS$3,0,0,'Données projet'!$E$14+1,1))-AVERAGE(OFFSET($H$3,0,0,'Données projet'!$E$14+1,1))</f>
        <v>332.49889399440514</v>
      </c>
      <c r="DU194" s="58">
        <f t="shared" si="152"/>
        <v>256.06044006790529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5.1159076974727213E-13</v>
      </c>
      <c r="EK194" s="18">
        <f>EJ194*VLOOKUP('Données projet'!$B$15,Paramètres!$A$1:$I$89,3,0)*VLOOKUP('Données projet'!$B$15,Paramètres!$A$1:$I$89,5,0)</f>
        <v>5.3471467253984886E-13</v>
      </c>
      <c r="EL194" s="14">
        <f t="shared" si="179"/>
        <v>6.6087717628803869E-12</v>
      </c>
      <c r="EM194" s="22">
        <f t="shared" si="180"/>
        <v>1.244157220835691E-11</v>
      </c>
      <c r="EN194" s="58">
        <f t="shared" si="128"/>
        <v>293.33333333334576</v>
      </c>
      <c r="EO194" s="58">
        <f ca="1">AVERAGE(OFFSET($EN$3,0,0,'Données projet'!$E$15+1,1))-AVERAGE(OFFSET($H$3,0,0,'Données projet'!$E$15+1,1))</f>
        <v>596.00698505207174</v>
      </c>
      <c r="EP194" s="58">
        <f t="shared" si="154"/>
        <v>378.16197659288338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2.2737367544323206E-13</v>
      </c>
      <c r="FF194" s="18">
        <f>FE194*VLOOKUP('Données projet'!$B$16,Paramètres!$A$1:$I$89,3,0)*VLOOKUP('Données projet'!$B$16,Paramètres!$A$1:$I$89,5,0)</f>
        <v>1.064108801074326E-13</v>
      </c>
      <c r="FG194" s="14">
        <f t="shared" si="182"/>
        <v>1.5870730813698654E-12</v>
      </c>
      <c r="FH194" s="22">
        <f t="shared" si="183"/>
        <v>2.9494845662396269E-12</v>
      </c>
      <c r="FI194" s="58">
        <f t="shared" si="131"/>
        <v>293.33333333333627</v>
      </c>
      <c r="FJ194" s="58">
        <f ca="1">AVERAGE(OFFSET($FI$3,0,0,'Données projet'!$E$16+1,1))-AVERAGE(OFFSET($H$3,0,0,'Données projet'!$E$16+1,1))</f>
        <v>294.31042006404056</v>
      </c>
      <c r="FK194" s="58">
        <f t="shared" si="156"/>
        <v>260.93767498478502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2.8421709430404007E-13</v>
      </c>
      <c r="GA194" s="18">
        <f>FZ194*VLOOKUP('Données projet'!$B$17,Paramètres!$A$1:$I$89,3,0)*VLOOKUP('Données projet'!$B$17,Paramètres!$A$1:$I$89,5,0)</f>
        <v>1.9065282685915009E-13</v>
      </c>
      <c r="GB194" s="14">
        <f t="shared" si="185"/>
        <v>2.6568987209435707E-12</v>
      </c>
      <c r="GC194" s="22">
        <f t="shared" si="186"/>
        <v>4.959485612423072E-12</v>
      </c>
      <c r="GD194" s="58">
        <f t="shared" si="134"/>
        <v>293.33333333333826</v>
      </c>
      <c r="GE194" s="58">
        <f ca="1">AVERAGE(OFFSET($GD$3,0,0,'Données projet'!$E$17+1,1))-AVERAGE(OFFSET($H$3,0,0,'Données projet'!$E$17+1,1))</f>
        <v>362.1372269575329</v>
      </c>
      <c r="GF194" s="58">
        <f t="shared" si="158"/>
        <v>308.1559670593121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58" t="e">
        <f t="shared" si="137"/>
        <v>#N/A</v>
      </c>
      <c r="GZ194" s="58" t="e">
        <f ca="1">AVERAGE(OFFSET($GY$3,0,0,'Données projet'!$E$18+1,1))-AVERAGE(OFFSET($H$3,0,0,'Données projet'!$E$18+1,1))</f>
        <v>#N/A</v>
      </c>
      <c r="HA194" s="58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0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3">
        <f t="shared" si="110"/>
        <v>256.66666666666669</v>
      </c>
      <c r="I195" s="6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-2.8421709430404007E-13</v>
      </c>
      <c r="O195" s="14">
        <f>N195*VLOOKUP('Données projet'!$B$9,Paramètres!$A$1:$I$89,3,0)*VLOOKUP('Données projet'!$B$9,Paramètres!$A$1:$I$89,5,0)</f>
        <v>-2.8819613362429665E-13</v>
      </c>
      <c r="P195" s="14" t="e">
        <f t="shared" si="141"/>
        <v>#NUM!</v>
      </c>
      <c r="Q195" s="22" t="e">
        <f t="shared" si="162"/>
        <v>#NUM!</v>
      </c>
      <c r="R195" s="58" t="e">
        <f t="shared" ref="R195:R203" si="191">Q195+(I195+J195)*44/12</f>
        <v>#NUM!</v>
      </c>
      <c r="S195" s="58">
        <f ca="1">AVERAGE(OFFSET($R$3,0,0,'Données projet'!$E$9+1,1))-AVERAGE(OFFSET($H$3,0,0,'Données projet'!$E$9+1,1))</f>
        <v>483.15009705023641</v>
      </c>
      <c r="T195" s="58">
        <f t="shared" si="142"/>
        <v>254.25036207346591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-2.8421709430404007E-13</v>
      </c>
      <c r="AJ195" s="14">
        <f>AI195*VLOOKUP('Données projet'!$B$10,Paramètres!$A$1:$I$89,3,0)*VLOOKUP('Données projet'!$B$10,Paramètres!$A$1:$I$89,5,0)</f>
        <v>-2.5715962692629546E-13</v>
      </c>
      <c r="AK195" s="14" t="e">
        <f t="shared" si="164"/>
        <v>#NUM!</v>
      </c>
      <c r="AL195" s="22" t="e">
        <f t="shared" si="165"/>
        <v>#NUM!</v>
      </c>
      <c r="AM195" s="58" t="e">
        <f t="shared" si="113"/>
        <v>#NUM!</v>
      </c>
      <c r="AN195" s="58">
        <f ca="1">AVERAGE(OFFSET($AM$3,0,0,'Données projet'!$E$10+1,1))-AVERAGE(OFFSET($H$3,0,0,'Données projet'!$E$10+1,1))</f>
        <v>435.7095890216213</v>
      </c>
      <c r="AO195" s="58">
        <f t="shared" si="144"/>
        <v>231.36959598460686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-4.9658410716801891E-14</v>
      </c>
      <c r="BF195" s="14" t="e">
        <f t="shared" si="167"/>
        <v>#NUM!</v>
      </c>
      <c r="BG195" s="22" t="e">
        <f t="shared" si="168"/>
        <v>#NUM!</v>
      </c>
      <c r="BH195" s="58" t="e">
        <f t="shared" si="116"/>
        <v>#NUM!</v>
      </c>
      <c r="BI195" s="58">
        <f ca="1">AVERAGE(OFFSET($BH$3,0,0,'Données projet'!$E$11+1,1))-AVERAGE(OFFSET($H$3,0,0,'Données projet'!$E$11+1,1))</f>
        <v>218.76424742311815</v>
      </c>
      <c r="BJ195" s="58">
        <f t="shared" si="146"/>
        <v>264.34598683038593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9.4699443754659593E-2</v>
      </c>
      <c r="BQ195" s="23">
        <f>EXP(-LN(2)/25)*BQ194+(1-EXP(-LN(2)/25))/(LN(2)/25)*Calculateur!BL195*Calculateur!BN195*VLOOKUP('Données projet'!$B$11,Paramètres!$A$1:$I$89,3,0)*0.475*44/12</f>
        <v>4.8895398194712697E-2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0.14359484194937228</v>
      </c>
      <c r="BT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58" t="e">
        <f t="shared" si="119"/>
        <v>#NUM!</v>
      </c>
      <c r="CD195" s="58">
        <f ca="1">AVERAGE(OFFSET($CC$3,0,0,'Données projet'!$E$12+1,1))-AVERAGE(OFFSET($H$3,0,0,'Données projet'!$E$12+1,1))</f>
        <v>343.86347628565426</v>
      </c>
      <c r="CE195" s="58">
        <f t="shared" si="148"/>
        <v>129.28196646107097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58" t="e">
        <f t="shared" si="122"/>
        <v>#N/A</v>
      </c>
      <c r="CY195" s="58" t="e">
        <f ca="1">AVERAGE(OFFSET($CX$3,0,0,'Données projet'!$E$13+1,1))-AVERAGE(OFFSET($H$3,0,0,'Données projet'!$E$13+1,1))</f>
        <v>#N/A</v>
      </c>
      <c r="CZ195" s="58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5.4092197387944907E-14</v>
      </c>
      <c r="DQ195" s="14">
        <f t="shared" si="176"/>
        <v>8.7287050538073676E-13</v>
      </c>
      <c r="DR195" s="22">
        <f t="shared" si="177"/>
        <v>1.6144600406554537E-12</v>
      </c>
      <c r="DS195" s="58">
        <f t="shared" si="125"/>
        <v>293.33333333333491</v>
      </c>
      <c r="DT195" s="58">
        <f ca="1">AVERAGE(OFFSET($DS$3,0,0,'Données projet'!$E$14+1,1))-AVERAGE(OFFSET($H$3,0,0,'Données projet'!$E$14+1,1))</f>
        <v>332.49889399440514</v>
      </c>
      <c r="DU195" s="58">
        <f t="shared" si="152"/>
        <v>256.06044006790529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5.1159076974727213E-13</v>
      </c>
      <c r="EK195" s="18">
        <f>EJ195*VLOOKUP('Données projet'!$B$15,Paramètres!$A$1:$I$89,3,0)*VLOOKUP('Données projet'!$B$15,Paramètres!$A$1:$I$89,5,0)</f>
        <v>5.3471467253984886E-13</v>
      </c>
      <c r="EL195" s="14">
        <f t="shared" si="179"/>
        <v>6.6087717628803869E-12</v>
      </c>
      <c r="EM195" s="22">
        <f t="shared" si="180"/>
        <v>1.244157220835691E-11</v>
      </c>
      <c r="EN195" s="58">
        <f t="shared" si="128"/>
        <v>293.33333333334576</v>
      </c>
      <c r="EO195" s="58">
        <f ca="1">AVERAGE(OFFSET($EN$3,0,0,'Données projet'!$E$15+1,1))-AVERAGE(OFFSET($H$3,0,0,'Données projet'!$E$15+1,1))</f>
        <v>596.00698505207174</v>
      </c>
      <c r="EP195" s="58">
        <f t="shared" si="154"/>
        <v>378.16197659288338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2.2737367544323206E-13</v>
      </c>
      <c r="FF195" s="18">
        <f>FE195*VLOOKUP('Données projet'!$B$16,Paramètres!$A$1:$I$89,3,0)*VLOOKUP('Données projet'!$B$16,Paramètres!$A$1:$I$89,5,0)</f>
        <v>1.064108801074326E-13</v>
      </c>
      <c r="FG195" s="14">
        <f t="shared" si="182"/>
        <v>1.5870730813698654E-12</v>
      </c>
      <c r="FH195" s="22">
        <f t="shared" si="183"/>
        <v>2.9494845662396269E-12</v>
      </c>
      <c r="FI195" s="58">
        <f t="shared" si="131"/>
        <v>293.33333333333627</v>
      </c>
      <c r="FJ195" s="58">
        <f ca="1">AVERAGE(OFFSET($FI$3,0,0,'Données projet'!$E$16+1,1))-AVERAGE(OFFSET($H$3,0,0,'Données projet'!$E$16+1,1))</f>
        <v>294.31042006404056</v>
      </c>
      <c r="FK195" s="58">
        <f t="shared" si="156"/>
        <v>260.93767498478502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2.8421709430404007E-13</v>
      </c>
      <c r="GA195" s="18">
        <f>FZ195*VLOOKUP('Données projet'!$B$17,Paramètres!$A$1:$I$89,3,0)*VLOOKUP('Données projet'!$B$17,Paramètres!$A$1:$I$89,5,0)</f>
        <v>1.9065282685915009E-13</v>
      </c>
      <c r="GB195" s="14">
        <f t="shared" si="185"/>
        <v>2.6568987209435707E-12</v>
      </c>
      <c r="GC195" s="22">
        <f t="shared" si="186"/>
        <v>4.959485612423072E-12</v>
      </c>
      <c r="GD195" s="58">
        <f t="shared" si="134"/>
        <v>293.33333333333826</v>
      </c>
      <c r="GE195" s="58">
        <f ca="1">AVERAGE(OFFSET($GD$3,0,0,'Données projet'!$E$17+1,1))-AVERAGE(OFFSET($H$3,0,0,'Données projet'!$E$17+1,1))</f>
        <v>362.1372269575329</v>
      </c>
      <c r="GF195" s="58">
        <f t="shared" si="158"/>
        <v>308.1559670593121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58" t="e">
        <f t="shared" si="137"/>
        <v>#N/A</v>
      </c>
      <c r="GZ195" s="58" t="e">
        <f ca="1">AVERAGE(OFFSET($GY$3,0,0,'Données projet'!$E$18+1,1))-AVERAGE(OFFSET($H$3,0,0,'Données projet'!$E$18+1,1))</f>
        <v>#N/A</v>
      </c>
      <c r="HA195" s="58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0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3">
        <f t="shared" ref="H196:H203" si="192">(B196+E196+F196)*44/12+(C196+D196)*0.475*44/12</f>
        <v>256.66666666666669</v>
      </c>
      <c r="I196" s="6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-2.8421709430404007E-13</v>
      </c>
      <c r="O196" s="14">
        <f>N196*VLOOKUP('Données projet'!$B$9,Paramètres!$A$1:$I$89,3,0)*VLOOKUP('Données projet'!$B$9,Paramètres!$A$1:$I$89,5,0)</f>
        <v>-2.8819613362429665E-13</v>
      </c>
      <c r="P196" s="14" t="e">
        <f t="shared" si="141"/>
        <v>#NUM!</v>
      </c>
      <c r="Q196" s="22" t="e">
        <f t="shared" si="162"/>
        <v>#NUM!</v>
      </c>
      <c r="R196" s="58" t="e">
        <f t="shared" si="191"/>
        <v>#NUM!</v>
      </c>
      <c r="S196" s="58">
        <f ca="1">AVERAGE(OFFSET($R$3,0,0,'Données projet'!$E$9+1,1))-AVERAGE(OFFSET($H$3,0,0,'Données projet'!$E$9+1,1))</f>
        <v>483.15009705023641</v>
      </c>
      <c r="T196" s="58">
        <f t="shared" si="142"/>
        <v>254.25036207346591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-2.8421709430404007E-13</v>
      </c>
      <c r="AJ196" s="14">
        <f>AI196*VLOOKUP('Données projet'!$B$10,Paramètres!$A$1:$I$89,3,0)*VLOOKUP('Données projet'!$B$10,Paramètres!$A$1:$I$89,5,0)</f>
        <v>-2.5715962692629546E-13</v>
      </c>
      <c r="AK196" s="14" t="e">
        <f t="shared" si="164"/>
        <v>#NUM!</v>
      </c>
      <c r="AL196" s="22" t="e">
        <f t="shared" si="165"/>
        <v>#NUM!</v>
      </c>
      <c r="AM196" s="58" t="e">
        <f t="shared" ref="AM196:AM203" si="193">AL196+(AD196+AE196)*44/12</f>
        <v>#NUM!</v>
      </c>
      <c r="AN196" s="58">
        <f ca="1">AVERAGE(OFFSET($AM$3,0,0,'Données projet'!$E$10+1,1))-AVERAGE(OFFSET($H$3,0,0,'Données projet'!$E$10+1,1))</f>
        <v>435.7095890216213</v>
      </c>
      <c r="AO196" s="58">
        <f t="shared" si="144"/>
        <v>231.36959598460686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-4.9658410716801891E-14</v>
      </c>
      <c r="BF196" s="14" t="e">
        <f t="shared" si="167"/>
        <v>#NUM!</v>
      </c>
      <c r="BG196" s="22" t="e">
        <f t="shared" si="168"/>
        <v>#NUM!</v>
      </c>
      <c r="BH196" s="58" t="e">
        <f t="shared" ref="BH196:BH203" si="194">BG196+(AY196+AZ196)*44/12</f>
        <v>#NUM!</v>
      </c>
      <c r="BI196" s="58">
        <f ca="1">AVERAGE(OFFSET($BH$3,0,0,'Données projet'!$E$11+1,1))-AVERAGE(OFFSET($H$3,0,0,'Données projet'!$E$11+1,1))</f>
        <v>218.76424742311815</v>
      </c>
      <c r="BJ196" s="58">
        <f t="shared" si="146"/>
        <v>264.34598683038593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9.2842445423587994E-2</v>
      </c>
      <c r="BQ196" s="23">
        <f>EXP(-LN(2)/25)*BQ195+(1-EXP(-LN(2)/25))/(LN(2)/25)*Calculateur!BL196*Calculateur!BN196*VLOOKUP('Données projet'!$B$11,Paramètres!$A$1:$I$89,3,0)*0.475*44/12</f>
        <v>4.7558350959781039E-2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0.14040079638336903</v>
      </c>
      <c r="BT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58" t="e">
        <f t="shared" ref="CC196:CC203" si="195">CB196+(BT196+BU196)*44/12</f>
        <v>#NUM!</v>
      </c>
      <c r="CD196" s="58">
        <f ca="1">AVERAGE(OFFSET($CC$3,0,0,'Données projet'!$E$12+1,1))-AVERAGE(OFFSET($H$3,0,0,'Données projet'!$E$12+1,1))</f>
        <v>343.86347628565426</v>
      </c>
      <c r="CE196" s="58">
        <f t="shared" si="148"/>
        <v>129.28196646107097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58" t="e">
        <f t="shared" ref="CX196:CX203" si="196">CW196+(CO196+CP196)*44/12</f>
        <v>#N/A</v>
      </c>
      <c r="CY196" s="58" t="e">
        <f ca="1">AVERAGE(OFFSET($CX$3,0,0,'Données projet'!$E$13+1,1))-AVERAGE(OFFSET($H$3,0,0,'Données projet'!$E$13+1,1))</f>
        <v>#N/A</v>
      </c>
      <c r="CZ196" s="58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5.4092197387944907E-14</v>
      </c>
      <c r="DQ196" s="14">
        <f t="shared" si="176"/>
        <v>8.7287050538073676E-13</v>
      </c>
      <c r="DR196" s="22">
        <f t="shared" si="177"/>
        <v>1.6144600406554537E-12</v>
      </c>
      <c r="DS196" s="58">
        <f t="shared" ref="DS196:DS203" si="197">DR196+(DJ196+DK196)*44/12</f>
        <v>293.33333333333491</v>
      </c>
      <c r="DT196" s="58">
        <f ca="1">AVERAGE(OFFSET($DS$3,0,0,'Données projet'!$E$14+1,1))-AVERAGE(OFFSET($H$3,0,0,'Données projet'!$E$14+1,1))</f>
        <v>332.49889399440514</v>
      </c>
      <c r="DU196" s="58">
        <f t="shared" si="152"/>
        <v>256.06044006790529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5.1159076974727213E-13</v>
      </c>
      <c r="EK196" s="18">
        <f>EJ196*VLOOKUP('Données projet'!$B$15,Paramètres!$A$1:$I$89,3,0)*VLOOKUP('Données projet'!$B$15,Paramètres!$A$1:$I$89,5,0)</f>
        <v>5.3471467253984886E-13</v>
      </c>
      <c r="EL196" s="14">
        <f t="shared" si="179"/>
        <v>6.6087717628803869E-12</v>
      </c>
      <c r="EM196" s="22">
        <f t="shared" si="180"/>
        <v>1.244157220835691E-11</v>
      </c>
      <c r="EN196" s="58">
        <f t="shared" ref="EN196:EN203" si="198">EM196+(EE196+EF196)*44/12</f>
        <v>293.33333333334576</v>
      </c>
      <c r="EO196" s="58">
        <f ca="1">AVERAGE(OFFSET($EN$3,0,0,'Données projet'!$E$15+1,1))-AVERAGE(OFFSET($H$3,0,0,'Données projet'!$E$15+1,1))</f>
        <v>596.00698505207174</v>
      </c>
      <c r="EP196" s="58">
        <f t="shared" si="154"/>
        <v>378.16197659288338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2.2737367544323206E-13</v>
      </c>
      <c r="FF196" s="18">
        <f>FE196*VLOOKUP('Données projet'!$B$16,Paramètres!$A$1:$I$89,3,0)*VLOOKUP('Données projet'!$B$16,Paramètres!$A$1:$I$89,5,0)</f>
        <v>1.064108801074326E-13</v>
      </c>
      <c r="FG196" s="14">
        <f t="shared" si="182"/>
        <v>1.5870730813698654E-12</v>
      </c>
      <c r="FH196" s="22">
        <f t="shared" si="183"/>
        <v>2.9494845662396269E-12</v>
      </c>
      <c r="FI196" s="58">
        <f t="shared" ref="FI196:FI203" si="199">FH196+(EZ196+FA196)*44/12</f>
        <v>293.33333333333627</v>
      </c>
      <c r="FJ196" s="58">
        <f ca="1">AVERAGE(OFFSET($FI$3,0,0,'Données projet'!$E$16+1,1))-AVERAGE(OFFSET($H$3,0,0,'Données projet'!$E$16+1,1))</f>
        <v>294.31042006404056</v>
      </c>
      <c r="FK196" s="58">
        <f t="shared" si="156"/>
        <v>260.93767498478502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2.8421709430404007E-13</v>
      </c>
      <c r="GA196" s="18">
        <f>FZ196*VLOOKUP('Données projet'!$B$17,Paramètres!$A$1:$I$89,3,0)*VLOOKUP('Données projet'!$B$17,Paramètres!$A$1:$I$89,5,0)</f>
        <v>1.9065282685915009E-13</v>
      </c>
      <c r="GB196" s="14">
        <f t="shared" si="185"/>
        <v>2.6568987209435707E-12</v>
      </c>
      <c r="GC196" s="22">
        <f t="shared" si="186"/>
        <v>4.959485612423072E-12</v>
      </c>
      <c r="GD196" s="58">
        <f t="shared" ref="GD196:GD203" si="200">GC196+(FU196+FV196)*44/12</f>
        <v>293.33333333333826</v>
      </c>
      <c r="GE196" s="58">
        <f ca="1">AVERAGE(OFFSET($GD$3,0,0,'Données projet'!$E$17+1,1))-AVERAGE(OFFSET($H$3,0,0,'Données projet'!$E$17+1,1))</f>
        <v>362.1372269575329</v>
      </c>
      <c r="GF196" s="58">
        <f t="shared" si="158"/>
        <v>308.1559670593121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58" t="e">
        <f t="shared" ref="GY196:GY203" si="201">GX196+(GP196+GQ196)*44/12</f>
        <v>#N/A</v>
      </c>
      <c r="GZ196" s="58" t="e">
        <f ca="1">AVERAGE(OFFSET($GY$3,0,0,'Données projet'!$E$18+1,1))-AVERAGE(OFFSET($H$3,0,0,'Données projet'!$E$18+1,1))</f>
        <v>#N/A</v>
      </c>
      <c r="HA196" s="58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0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3">
        <f t="shared" si="192"/>
        <v>256.66666666666669</v>
      </c>
      <c r="I197" s="6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-2.8421709430404007E-13</v>
      </c>
      <c r="O197" s="14">
        <f>N197*VLOOKUP('Données projet'!$B$9,Paramètres!$A$1:$I$89,3,0)*VLOOKUP('Données projet'!$B$9,Paramètres!$A$1:$I$89,5,0)</f>
        <v>-2.8819613362429665E-13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58" t="e">
        <f t="shared" si="191"/>
        <v>#NUM!</v>
      </c>
      <c r="S197" s="58">
        <f ca="1">AVERAGE(OFFSET($R$3,0,0,'Données projet'!$E$9+1,1))-AVERAGE(OFFSET($H$3,0,0,'Données projet'!$E$9+1,1))</f>
        <v>483.15009705023641</v>
      </c>
      <c r="T197" s="58">
        <f t="shared" ref="T197:T203" si="204">$T$3</f>
        <v>254.25036207346591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-2.8421709430404007E-13</v>
      </c>
      <c r="AJ197" s="14">
        <f>AI197*VLOOKUP('Données projet'!$B$10,Paramètres!$A$1:$I$89,3,0)*VLOOKUP('Données projet'!$B$10,Paramètres!$A$1:$I$89,5,0)</f>
        <v>-2.5715962692629546E-13</v>
      </c>
      <c r="AK197" s="14" t="e">
        <f t="shared" si="164"/>
        <v>#NUM!</v>
      </c>
      <c r="AL197" s="22" t="e">
        <f t="shared" si="165"/>
        <v>#NUM!</v>
      </c>
      <c r="AM197" s="58" t="e">
        <f t="shared" si="193"/>
        <v>#NUM!</v>
      </c>
      <c r="AN197" s="58">
        <f ca="1">AVERAGE(OFFSET($AM$3,0,0,'Données projet'!$E$10+1,1))-AVERAGE(OFFSET($H$3,0,0,'Données projet'!$E$10+1,1))</f>
        <v>435.7095890216213</v>
      </c>
      <c r="AO197" s="58">
        <f t="shared" ref="AO197:AO203" si="205">$AO$3</f>
        <v>231.36959598460686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-4.9658410716801891E-14</v>
      </c>
      <c r="BF197" s="14" t="e">
        <f t="shared" si="167"/>
        <v>#NUM!</v>
      </c>
      <c r="BG197" s="22" t="e">
        <f t="shared" si="168"/>
        <v>#NUM!</v>
      </c>
      <c r="BH197" s="58" t="e">
        <f t="shared" si="194"/>
        <v>#NUM!</v>
      </c>
      <c r="BI197" s="58">
        <f ca="1">AVERAGE(OFFSET($BH$3,0,0,'Données projet'!$E$11+1,1))-AVERAGE(OFFSET($H$3,0,0,'Données projet'!$E$11+1,1))</f>
        <v>218.76424742311815</v>
      </c>
      <c r="BJ197" s="58">
        <f t="shared" ref="BJ197:BJ203" si="206">$BJ$3</f>
        <v>264.34598683038593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9.1021861697131556E-2</v>
      </c>
      <c r="BQ197" s="23">
        <f>EXP(-LN(2)/25)*BQ196+(1-EXP(-LN(2)/25))/(LN(2)/25)*Calculateur!BL197*Calculateur!BN197*VLOOKUP('Données projet'!$B$11,Paramètres!$A$1:$I$89,3,0)*0.475*44/12</f>
        <v>4.6257865351800848E-2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0.1372797270489324</v>
      </c>
      <c r="BT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58" t="e">
        <f t="shared" si="195"/>
        <v>#NUM!</v>
      </c>
      <c r="CD197" s="58">
        <f ca="1">AVERAGE(OFFSET($CC$3,0,0,'Données projet'!$E$12+1,1))-AVERAGE(OFFSET($H$3,0,0,'Données projet'!$E$12+1,1))</f>
        <v>343.86347628565426</v>
      </c>
      <c r="CE197" s="58">
        <f t="shared" ref="CE197:CE203" si="207">$CE$3</f>
        <v>129.28196646107097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58" t="e">
        <f t="shared" si="196"/>
        <v>#N/A</v>
      </c>
      <c r="CY197" s="58" t="e">
        <f ca="1">AVERAGE(OFFSET($CX$3,0,0,'Données projet'!$E$13+1,1))-AVERAGE(OFFSET($H$3,0,0,'Données projet'!$E$13+1,1))</f>
        <v>#N/A</v>
      </c>
      <c r="CZ197" s="58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5.4092197387944907E-14</v>
      </c>
      <c r="DQ197" s="14">
        <f t="shared" si="176"/>
        <v>8.7287050538073676E-13</v>
      </c>
      <c r="DR197" s="22">
        <f t="shared" si="177"/>
        <v>1.6144600406554537E-12</v>
      </c>
      <c r="DS197" s="58">
        <f t="shared" si="197"/>
        <v>293.33333333333491</v>
      </c>
      <c r="DT197" s="58">
        <f ca="1">AVERAGE(OFFSET($DS$3,0,0,'Données projet'!$E$14+1,1))-AVERAGE(OFFSET($H$3,0,0,'Données projet'!$E$14+1,1))</f>
        <v>332.49889399440514</v>
      </c>
      <c r="DU197" s="58">
        <f t="shared" ref="DU197:DU203" si="209">$DU$3</f>
        <v>256.06044006790529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5.1159076974727213E-13</v>
      </c>
      <c r="EK197" s="18">
        <f>EJ197*VLOOKUP('Données projet'!$B$15,Paramètres!$A$1:$I$89,3,0)*VLOOKUP('Données projet'!$B$15,Paramètres!$A$1:$I$89,5,0)</f>
        <v>5.3471467253984886E-13</v>
      </c>
      <c r="EL197" s="14">
        <f t="shared" si="179"/>
        <v>6.6087717628803869E-12</v>
      </c>
      <c r="EM197" s="22">
        <f t="shared" si="180"/>
        <v>1.244157220835691E-11</v>
      </c>
      <c r="EN197" s="58">
        <f t="shared" si="198"/>
        <v>293.33333333334576</v>
      </c>
      <c r="EO197" s="58">
        <f ca="1">AVERAGE(OFFSET($EN$3,0,0,'Données projet'!$E$15+1,1))-AVERAGE(OFFSET($H$3,0,0,'Données projet'!$E$15+1,1))</f>
        <v>596.00698505207174</v>
      </c>
      <c r="EP197" s="58">
        <f t="shared" ref="EP197:EP203" si="210">$EP$3</f>
        <v>378.16197659288338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2.2737367544323206E-13</v>
      </c>
      <c r="FF197" s="18">
        <f>FE197*VLOOKUP('Données projet'!$B$16,Paramètres!$A$1:$I$89,3,0)*VLOOKUP('Données projet'!$B$16,Paramètres!$A$1:$I$89,5,0)</f>
        <v>1.064108801074326E-13</v>
      </c>
      <c r="FG197" s="14">
        <f t="shared" si="182"/>
        <v>1.5870730813698654E-12</v>
      </c>
      <c r="FH197" s="22">
        <f t="shared" si="183"/>
        <v>2.9494845662396269E-12</v>
      </c>
      <c r="FI197" s="58">
        <f t="shared" si="199"/>
        <v>293.33333333333627</v>
      </c>
      <c r="FJ197" s="58">
        <f ca="1">AVERAGE(OFFSET($FI$3,0,0,'Données projet'!$E$16+1,1))-AVERAGE(OFFSET($H$3,0,0,'Données projet'!$E$16+1,1))</f>
        <v>294.31042006404056</v>
      </c>
      <c r="FK197" s="58">
        <f t="shared" ref="FK197:FK203" si="211">$FK$3</f>
        <v>260.93767498478502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2.8421709430404007E-13</v>
      </c>
      <c r="GA197" s="18">
        <f>FZ197*VLOOKUP('Données projet'!$B$17,Paramètres!$A$1:$I$89,3,0)*VLOOKUP('Données projet'!$B$17,Paramètres!$A$1:$I$89,5,0)</f>
        <v>1.9065282685915009E-13</v>
      </c>
      <c r="GB197" s="14">
        <f t="shared" si="185"/>
        <v>2.6568987209435707E-12</v>
      </c>
      <c r="GC197" s="22">
        <f t="shared" si="186"/>
        <v>4.959485612423072E-12</v>
      </c>
      <c r="GD197" s="58">
        <f t="shared" si="200"/>
        <v>293.33333333333826</v>
      </c>
      <c r="GE197" s="58">
        <f ca="1">AVERAGE(OFFSET($GD$3,0,0,'Données projet'!$E$17+1,1))-AVERAGE(OFFSET($H$3,0,0,'Données projet'!$E$17+1,1))</f>
        <v>362.1372269575329</v>
      </c>
      <c r="GF197" s="58">
        <f t="shared" ref="GF197:GF203" si="212">$GF$3</f>
        <v>308.1559670593121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58" t="e">
        <f t="shared" si="201"/>
        <v>#N/A</v>
      </c>
      <c r="GZ197" s="58" t="e">
        <f ca="1">AVERAGE(OFFSET($GY$3,0,0,'Données projet'!$E$18+1,1))-AVERAGE(OFFSET($H$3,0,0,'Données projet'!$E$18+1,1))</f>
        <v>#N/A</v>
      </c>
      <c r="HA197" s="58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0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3">
        <f t="shared" si="192"/>
        <v>256.66666666666669</v>
      </c>
      <c r="I198" s="6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-2.8421709430404007E-13</v>
      </c>
      <c r="O198" s="14">
        <f>N198*VLOOKUP('Données projet'!$B$9,Paramètres!$A$1:$I$89,3,0)*VLOOKUP('Données projet'!$B$9,Paramètres!$A$1:$I$89,5,0)</f>
        <v>-2.8819613362429665E-13</v>
      </c>
      <c r="P198" s="14" t="e">
        <f t="shared" si="203"/>
        <v>#NUM!</v>
      </c>
      <c r="Q198" s="22" t="e">
        <f t="shared" si="162"/>
        <v>#NUM!</v>
      </c>
      <c r="R198" s="58" t="e">
        <f t="shared" si="191"/>
        <v>#NUM!</v>
      </c>
      <c r="S198" s="58">
        <f ca="1">AVERAGE(OFFSET($R$3,0,0,'Données projet'!$E$9+1,1))-AVERAGE(OFFSET($H$3,0,0,'Données projet'!$E$9+1,1))</f>
        <v>483.15009705023641</v>
      </c>
      <c r="T198" s="58">
        <f t="shared" si="204"/>
        <v>254.25036207346591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-2.8421709430404007E-13</v>
      </c>
      <c r="AJ198" s="14">
        <f>AI198*VLOOKUP('Données projet'!$B$10,Paramètres!$A$1:$I$89,3,0)*VLOOKUP('Données projet'!$B$10,Paramètres!$A$1:$I$89,5,0)</f>
        <v>-2.5715962692629546E-13</v>
      </c>
      <c r="AK198" s="14" t="e">
        <f t="shared" si="164"/>
        <v>#NUM!</v>
      </c>
      <c r="AL198" s="22" t="e">
        <f t="shared" si="165"/>
        <v>#NUM!</v>
      </c>
      <c r="AM198" s="58" t="e">
        <f t="shared" si="193"/>
        <v>#NUM!</v>
      </c>
      <c r="AN198" s="58">
        <f ca="1">AVERAGE(OFFSET($AM$3,0,0,'Données projet'!$E$10+1,1))-AVERAGE(OFFSET($H$3,0,0,'Données projet'!$E$10+1,1))</f>
        <v>435.7095890216213</v>
      </c>
      <c r="AO198" s="58">
        <f t="shared" si="205"/>
        <v>231.36959598460686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-4.9658410716801891E-14</v>
      </c>
      <c r="BF198" s="14" t="e">
        <f t="shared" si="167"/>
        <v>#NUM!</v>
      </c>
      <c r="BG198" s="22" t="e">
        <f t="shared" si="168"/>
        <v>#NUM!</v>
      </c>
      <c r="BH198" s="58" t="e">
        <f t="shared" si="194"/>
        <v>#NUM!</v>
      </c>
      <c r="BI198" s="58">
        <f ca="1">AVERAGE(OFFSET($BH$3,0,0,'Données projet'!$E$11+1,1))-AVERAGE(OFFSET($H$3,0,0,'Données projet'!$E$11+1,1))</f>
        <v>218.76424742311815</v>
      </c>
      <c r="BJ198" s="58">
        <f t="shared" si="206"/>
        <v>264.34598683038593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8.9236978507104506E-2</v>
      </c>
      <c r="BQ198" s="23">
        <f>EXP(-LN(2)/25)*BQ197+(1-EXP(-LN(2)/25))/(LN(2)/25)*Calculateur!BL198*Calculateur!BN198*VLOOKUP('Données projet'!$B$11,Paramètres!$A$1:$I$89,3,0)*0.475*44/12</f>
        <v>4.4992941591160442E-2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0.13422992009826495</v>
      </c>
      <c r="BT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58" t="e">
        <f t="shared" si="195"/>
        <v>#NUM!</v>
      </c>
      <c r="CD198" s="58">
        <f ca="1">AVERAGE(OFFSET($CC$3,0,0,'Données projet'!$E$12+1,1))-AVERAGE(OFFSET($H$3,0,0,'Données projet'!$E$12+1,1))</f>
        <v>343.86347628565426</v>
      </c>
      <c r="CE198" s="58">
        <f t="shared" si="207"/>
        <v>129.28196646107097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58" t="e">
        <f t="shared" si="196"/>
        <v>#N/A</v>
      </c>
      <c r="CY198" s="58" t="e">
        <f ca="1">AVERAGE(OFFSET($CX$3,0,0,'Données projet'!$E$13+1,1))-AVERAGE(OFFSET($H$3,0,0,'Données projet'!$E$13+1,1))</f>
        <v>#N/A</v>
      </c>
      <c r="CZ198" s="58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5.4092197387944907E-14</v>
      </c>
      <c r="DQ198" s="14">
        <f t="shared" si="176"/>
        <v>8.7287050538073676E-13</v>
      </c>
      <c r="DR198" s="22">
        <f t="shared" si="177"/>
        <v>1.6144600406554537E-12</v>
      </c>
      <c r="DS198" s="58">
        <f t="shared" si="197"/>
        <v>293.33333333333491</v>
      </c>
      <c r="DT198" s="58">
        <f ca="1">AVERAGE(OFFSET($DS$3,0,0,'Données projet'!$E$14+1,1))-AVERAGE(OFFSET($H$3,0,0,'Données projet'!$E$14+1,1))</f>
        <v>332.49889399440514</v>
      </c>
      <c r="DU198" s="58">
        <f t="shared" si="209"/>
        <v>256.06044006790529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5.1159076974727213E-13</v>
      </c>
      <c r="EK198" s="18">
        <f>EJ198*VLOOKUP('Données projet'!$B$15,Paramètres!$A$1:$I$89,3,0)*VLOOKUP('Données projet'!$B$15,Paramètres!$A$1:$I$89,5,0)</f>
        <v>5.3471467253984886E-13</v>
      </c>
      <c r="EL198" s="14">
        <f t="shared" si="179"/>
        <v>6.6087717628803869E-12</v>
      </c>
      <c r="EM198" s="22">
        <f t="shared" si="180"/>
        <v>1.244157220835691E-11</v>
      </c>
      <c r="EN198" s="58">
        <f t="shared" si="198"/>
        <v>293.33333333334576</v>
      </c>
      <c r="EO198" s="58">
        <f ca="1">AVERAGE(OFFSET($EN$3,0,0,'Données projet'!$E$15+1,1))-AVERAGE(OFFSET($H$3,0,0,'Données projet'!$E$15+1,1))</f>
        <v>596.00698505207174</v>
      </c>
      <c r="EP198" s="58">
        <f t="shared" si="210"/>
        <v>378.16197659288338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2.2737367544323206E-13</v>
      </c>
      <c r="FF198" s="18">
        <f>FE198*VLOOKUP('Données projet'!$B$16,Paramètres!$A$1:$I$89,3,0)*VLOOKUP('Données projet'!$B$16,Paramètres!$A$1:$I$89,5,0)</f>
        <v>1.064108801074326E-13</v>
      </c>
      <c r="FG198" s="14">
        <f t="shared" si="182"/>
        <v>1.5870730813698654E-12</v>
      </c>
      <c r="FH198" s="22">
        <f t="shared" si="183"/>
        <v>2.9494845662396269E-12</v>
      </c>
      <c r="FI198" s="58">
        <f t="shared" si="199"/>
        <v>293.33333333333627</v>
      </c>
      <c r="FJ198" s="58">
        <f ca="1">AVERAGE(OFFSET($FI$3,0,0,'Données projet'!$E$16+1,1))-AVERAGE(OFFSET($H$3,0,0,'Données projet'!$E$16+1,1))</f>
        <v>294.31042006404056</v>
      </c>
      <c r="FK198" s="58">
        <f t="shared" si="211"/>
        <v>260.93767498478502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2.8421709430404007E-13</v>
      </c>
      <c r="GA198" s="18">
        <f>FZ198*VLOOKUP('Données projet'!$B$17,Paramètres!$A$1:$I$89,3,0)*VLOOKUP('Données projet'!$B$17,Paramètres!$A$1:$I$89,5,0)</f>
        <v>1.9065282685915009E-13</v>
      </c>
      <c r="GB198" s="14">
        <f t="shared" si="185"/>
        <v>2.6568987209435707E-12</v>
      </c>
      <c r="GC198" s="22">
        <f t="shared" si="186"/>
        <v>4.959485612423072E-12</v>
      </c>
      <c r="GD198" s="58">
        <f t="shared" si="200"/>
        <v>293.33333333333826</v>
      </c>
      <c r="GE198" s="58">
        <f ca="1">AVERAGE(OFFSET($GD$3,0,0,'Données projet'!$E$17+1,1))-AVERAGE(OFFSET($H$3,0,0,'Données projet'!$E$17+1,1))</f>
        <v>362.1372269575329</v>
      </c>
      <c r="GF198" s="58">
        <f t="shared" si="212"/>
        <v>308.1559670593121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58" t="e">
        <f t="shared" si="201"/>
        <v>#N/A</v>
      </c>
      <c r="GZ198" s="58" t="e">
        <f ca="1">AVERAGE(OFFSET($GY$3,0,0,'Données projet'!$E$18+1,1))-AVERAGE(OFFSET($H$3,0,0,'Données projet'!$E$18+1,1))</f>
        <v>#N/A</v>
      </c>
      <c r="HA198" s="58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0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3">
        <f t="shared" si="192"/>
        <v>256.66666666666669</v>
      </c>
      <c r="I199" s="6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-2.8421709430404007E-13</v>
      </c>
      <c r="O199" s="14">
        <f>N199*VLOOKUP('Données projet'!$B$9,Paramètres!$A$1:$I$89,3,0)*VLOOKUP('Données projet'!$B$9,Paramètres!$A$1:$I$89,5,0)</f>
        <v>-2.8819613362429665E-13</v>
      </c>
      <c r="P199" s="14" t="e">
        <f t="shared" si="203"/>
        <v>#NUM!</v>
      </c>
      <c r="Q199" s="22" t="e">
        <f t="shared" si="162"/>
        <v>#NUM!</v>
      </c>
      <c r="R199" s="58" t="e">
        <f t="shared" si="191"/>
        <v>#NUM!</v>
      </c>
      <c r="S199" s="58">
        <f ca="1">AVERAGE(OFFSET($R$3,0,0,'Données projet'!$E$9+1,1))-AVERAGE(OFFSET($H$3,0,0,'Données projet'!$E$9+1,1))</f>
        <v>483.15009705023641</v>
      </c>
      <c r="T199" s="58">
        <f t="shared" si="204"/>
        <v>254.25036207346591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-2.8421709430404007E-13</v>
      </c>
      <c r="AJ199" s="14">
        <f>AI199*VLOOKUP('Données projet'!$B$10,Paramètres!$A$1:$I$89,3,0)*VLOOKUP('Données projet'!$B$10,Paramètres!$A$1:$I$89,5,0)</f>
        <v>-2.5715962692629546E-13</v>
      </c>
      <c r="AK199" s="14" t="e">
        <f t="shared" si="164"/>
        <v>#NUM!</v>
      </c>
      <c r="AL199" s="22" t="e">
        <f t="shared" si="165"/>
        <v>#NUM!</v>
      </c>
      <c r="AM199" s="58" t="e">
        <f t="shared" si="193"/>
        <v>#NUM!</v>
      </c>
      <c r="AN199" s="58">
        <f ca="1">AVERAGE(OFFSET($AM$3,0,0,'Données projet'!$E$10+1,1))-AVERAGE(OFFSET($H$3,0,0,'Données projet'!$E$10+1,1))</f>
        <v>435.7095890216213</v>
      </c>
      <c r="AO199" s="58">
        <f t="shared" si="205"/>
        <v>231.36959598460686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-4.9658410716801891E-14</v>
      </c>
      <c r="BF199" s="14" t="e">
        <f t="shared" si="167"/>
        <v>#NUM!</v>
      </c>
      <c r="BG199" s="22" t="e">
        <f t="shared" si="168"/>
        <v>#NUM!</v>
      </c>
      <c r="BH199" s="58" t="e">
        <f t="shared" si="194"/>
        <v>#NUM!</v>
      </c>
      <c r="BI199" s="58">
        <f ca="1">AVERAGE(OFFSET($BH$3,0,0,'Données projet'!$E$11+1,1))-AVERAGE(OFFSET($H$3,0,0,'Données projet'!$E$11+1,1))</f>
        <v>218.76424742311815</v>
      </c>
      <c r="BJ199" s="58">
        <f t="shared" si="206"/>
        <v>264.34598683038593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8.7487095787762634E-2</v>
      </c>
      <c r="BQ199" s="23">
        <f>EXP(-LN(2)/25)*BQ198+(1-EXP(-LN(2)/25))/(LN(2)/25)*Calculateur!BL199*Calculateur!BN199*VLOOKUP('Données projet'!$B$11,Paramètres!$A$1:$I$89,3,0)*0.475*44/12</f>
        <v>4.3762607237274195E-2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0.13124970302503683</v>
      </c>
      <c r="BT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58" t="e">
        <f t="shared" si="195"/>
        <v>#NUM!</v>
      </c>
      <c r="CD199" s="58">
        <f ca="1">AVERAGE(OFFSET($CC$3,0,0,'Données projet'!$E$12+1,1))-AVERAGE(OFFSET($H$3,0,0,'Données projet'!$E$12+1,1))</f>
        <v>343.86347628565426</v>
      </c>
      <c r="CE199" s="58">
        <f t="shared" si="207"/>
        <v>129.28196646107097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58" t="e">
        <f t="shared" si="196"/>
        <v>#N/A</v>
      </c>
      <c r="CY199" s="58" t="e">
        <f ca="1">AVERAGE(OFFSET($CX$3,0,0,'Données projet'!$E$13+1,1))-AVERAGE(OFFSET($H$3,0,0,'Données projet'!$E$13+1,1))</f>
        <v>#N/A</v>
      </c>
      <c r="CZ199" s="58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5.4092197387944907E-14</v>
      </c>
      <c r="DQ199" s="14">
        <f t="shared" si="176"/>
        <v>8.7287050538073676E-13</v>
      </c>
      <c r="DR199" s="22">
        <f t="shared" si="177"/>
        <v>1.6144600406554537E-12</v>
      </c>
      <c r="DS199" s="58">
        <f t="shared" si="197"/>
        <v>293.33333333333491</v>
      </c>
      <c r="DT199" s="58">
        <f ca="1">AVERAGE(OFFSET($DS$3,0,0,'Données projet'!$E$14+1,1))-AVERAGE(OFFSET($H$3,0,0,'Données projet'!$E$14+1,1))</f>
        <v>332.49889399440514</v>
      </c>
      <c r="DU199" s="58">
        <f t="shared" si="209"/>
        <v>256.06044006790529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5.1159076974727213E-13</v>
      </c>
      <c r="EK199" s="18">
        <f>EJ199*VLOOKUP('Données projet'!$B$15,Paramètres!$A$1:$I$89,3,0)*VLOOKUP('Données projet'!$B$15,Paramètres!$A$1:$I$89,5,0)</f>
        <v>5.3471467253984886E-13</v>
      </c>
      <c r="EL199" s="14">
        <f t="shared" si="179"/>
        <v>6.6087717628803869E-12</v>
      </c>
      <c r="EM199" s="22">
        <f t="shared" si="180"/>
        <v>1.244157220835691E-11</v>
      </c>
      <c r="EN199" s="58">
        <f t="shared" si="198"/>
        <v>293.33333333334576</v>
      </c>
      <c r="EO199" s="58">
        <f ca="1">AVERAGE(OFFSET($EN$3,0,0,'Données projet'!$E$15+1,1))-AVERAGE(OFFSET($H$3,0,0,'Données projet'!$E$15+1,1))</f>
        <v>596.00698505207174</v>
      </c>
      <c r="EP199" s="58">
        <f t="shared" si="210"/>
        <v>378.16197659288338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2.2737367544323206E-13</v>
      </c>
      <c r="FF199" s="18">
        <f>FE199*VLOOKUP('Données projet'!$B$16,Paramètres!$A$1:$I$89,3,0)*VLOOKUP('Données projet'!$B$16,Paramètres!$A$1:$I$89,5,0)</f>
        <v>1.064108801074326E-13</v>
      </c>
      <c r="FG199" s="14">
        <f t="shared" si="182"/>
        <v>1.5870730813698654E-12</v>
      </c>
      <c r="FH199" s="22">
        <f t="shared" si="183"/>
        <v>2.9494845662396269E-12</v>
      </c>
      <c r="FI199" s="58">
        <f t="shared" si="199"/>
        <v>293.33333333333627</v>
      </c>
      <c r="FJ199" s="58">
        <f ca="1">AVERAGE(OFFSET($FI$3,0,0,'Données projet'!$E$16+1,1))-AVERAGE(OFFSET($H$3,0,0,'Données projet'!$E$16+1,1))</f>
        <v>294.31042006404056</v>
      </c>
      <c r="FK199" s="58">
        <f t="shared" si="211"/>
        <v>260.93767498478502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2.8421709430404007E-13</v>
      </c>
      <c r="GA199" s="18">
        <f>FZ199*VLOOKUP('Données projet'!$B$17,Paramètres!$A$1:$I$89,3,0)*VLOOKUP('Données projet'!$B$17,Paramètres!$A$1:$I$89,5,0)</f>
        <v>1.9065282685915009E-13</v>
      </c>
      <c r="GB199" s="14">
        <f t="shared" si="185"/>
        <v>2.6568987209435707E-12</v>
      </c>
      <c r="GC199" s="22">
        <f t="shared" si="186"/>
        <v>4.959485612423072E-12</v>
      </c>
      <c r="GD199" s="58">
        <f t="shared" si="200"/>
        <v>293.33333333333826</v>
      </c>
      <c r="GE199" s="58">
        <f ca="1">AVERAGE(OFFSET($GD$3,0,0,'Données projet'!$E$17+1,1))-AVERAGE(OFFSET($H$3,0,0,'Données projet'!$E$17+1,1))</f>
        <v>362.1372269575329</v>
      </c>
      <c r="GF199" s="58">
        <f t="shared" si="212"/>
        <v>308.1559670593121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58" t="e">
        <f t="shared" si="201"/>
        <v>#N/A</v>
      </c>
      <c r="GZ199" s="58" t="e">
        <f ca="1">AVERAGE(OFFSET($GY$3,0,0,'Données projet'!$E$18+1,1))-AVERAGE(OFFSET($H$3,0,0,'Données projet'!$E$18+1,1))</f>
        <v>#N/A</v>
      </c>
      <c r="HA199" s="58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0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3">
        <f t="shared" si="192"/>
        <v>256.66666666666669</v>
      </c>
      <c r="I200" s="6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-2.8421709430404007E-13</v>
      </c>
      <c r="O200" s="14">
        <f>N200*VLOOKUP('Données projet'!$B$9,Paramètres!$A$1:$I$89,3,0)*VLOOKUP('Données projet'!$B$9,Paramètres!$A$1:$I$89,5,0)</f>
        <v>-2.8819613362429665E-13</v>
      </c>
      <c r="P200" s="14" t="e">
        <f t="shared" si="203"/>
        <v>#NUM!</v>
      </c>
      <c r="Q200" s="22" t="e">
        <f t="shared" si="162"/>
        <v>#NUM!</v>
      </c>
      <c r="R200" s="58" t="e">
        <f t="shared" si="191"/>
        <v>#NUM!</v>
      </c>
      <c r="S200" s="58">
        <f ca="1">AVERAGE(OFFSET($R$3,0,0,'Données projet'!$E$9+1,1))-AVERAGE(OFFSET($H$3,0,0,'Données projet'!$E$9+1,1))</f>
        <v>483.15009705023641</v>
      </c>
      <c r="T200" s="58">
        <f t="shared" si="204"/>
        <v>254.25036207346591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-2.8421709430404007E-13</v>
      </c>
      <c r="AJ200" s="14">
        <f>AI200*VLOOKUP('Données projet'!$B$10,Paramètres!$A$1:$I$89,3,0)*VLOOKUP('Données projet'!$B$10,Paramètres!$A$1:$I$89,5,0)</f>
        <v>-2.5715962692629546E-13</v>
      </c>
      <c r="AK200" s="14" t="e">
        <f t="shared" si="164"/>
        <v>#NUM!</v>
      </c>
      <c r="AL200" s="22" t="e">
        <f t="shared" si="165"/>
        <v>#NUM!</v>
      </c>
      <c r="AM200" s="58" t="e">
        <f t="shared" si="193"/>
        <v>#NUM!</v>
      </c>
      <c r="AN200" s="58">
        <f ca="1">AVERAGE(OFFSET($AM$3,0,0,'Données projet'!$E$10+1,1))-AVERAGE(OFFSET($H$3,0,0,'Données projet'!$E$10+1,1))</f>
        <v>435.7095890216213</v>
      </c>
      <c r="AO200" s="58">
        <f t="shared" si="205"/>
        <v>231.36959598460686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-4.9658410716801891E-14</v>
      </c>
      <c r="BF200" s="14" t="e">
        <f t="shared" si="167"/>
        <v>#NUM!</v>
      </c>
      <c r="BG200" s="22" t="e">
        <f t="shared" si="168"/>
        <v>#NUM!</v>
      </c>
      <c r="BH200" s="58" t="e">
        <f t="shared" si="194"/>
        <v>#NUM!</v>
      </c>
      <c r="BI200" s="58">
        <f ca="1">AVERAGE(OFFSET($BH$3,0,0,'Données projet'!$E$11+1,1))-AVERAGE(OFFSET($H$3,0,0,'Données projet'!$E$11+1,1))</f>
        <v>218.76424742311815</v>
      </c>
      <c r="BJ200" s="58">
        <f t="shared" si="206"/>
        <v>264.34598683038593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8.5771527201223996E-2</v>
      </c>
      <c r="BQ200" s="23">
        <f>EXP(-LN(2)/25)*BQ199+(1-EXP(-LN(2)/25))/(LN(2)/25)*Calculateur!BL200*Calculateur!BN200*VLOOKUP('Données projet'!$B$11,Paramètres!$A$1:$I$89,3,0)*0.475*44/12</f>
        <v>4.2565916440995437E-2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0.12833744364221944</v>
      </c>
      <c r="BT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58" t="e">
        <f t="shared" si="195"/>
        <v>#NUM!</v>
      </c>
      <c r="CD200" s="58">
        <f ca="1">AVERAGE(OFFSET($CC$3,0,0,'Données projet'!$E$12+1,1))-AVERAGE(OFFSET($H$3,0,0,'Données projet'!$E$12+1,1))</f>
        <v>343.86347628565426</v>
      </c>
      <c r="CE200" s="58">
        <f t="shared" si="207"/>
        <v>129.28196646107097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58" t="e">
        <f t="shared" si="196"/>
        <v>#N/A</v>
      </c>
      <c r="CY200" s="58" t="e">
        <f ca="1">AVERAGE(OFFSET($CX$3,0,0,'Données projet'!$E$13+1,1))-AVERAGE(OFFSET($H$3,0,0,'Données projet'!$E$13+1,1))</f>
        <v>#N/A</v>
      </c>
      <c r="CZ200" s="58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5.4092197387944907E-14</v>
      </c>
      <c r="DQ200" s="14">
        <f t="shared" si="176"/>
        <v>8.7287050538073676E-13</v>
      </c>
      <c r="DR200" s="22">
        <f t="shared" si="177"/>
        <v>1.6144600406554537E-12</v>
      </c>
      <c r="DS200" s="58">
        <f t="shared" si="197"/>
        <v>293.33333333333491</v>
      </c>
      <c r="DT200" s="58">
        <f ca="1">AVERAGE(OFFSET($DS$3,0,0,'Données projet'!$E$14+1,1))-AVERAGE(OFFSET($H$3,0,0,'Données projet'!$E$14+1,1))</f>
        <v>332.49889399440514</v>
      </c>
      <c r="DU200" s="58">
        <f t="shared" si="209"/>
        <v>256.06044006790529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5.1159076974727213E-13</v>
      </c>
      <c r="EK200" s="18">
        <f>EJ200*VLOOKUP('Données projet'!$B$15,Paramètres!$A$1:$I$89,3,0)*VLOOKUP('Données projet'!$B$15,Paramètres!$A$1:$I$89,5,0)</f>
        <v>5.3471467253984886E-13</v>
      </c>
      <c r="EL200" s="14">
        <f t="shared" si="179"/>
        <v>6.6087717628803869E-12</v>
      </c>
      <c r="EM200" s="22">
        <f t="shared" si="180"/>
        <v>1.244157220835691E-11</v>
      </c>
      <c r="EN200" s="58">
        <f t="shared" si="198"/>
        <v>293.33333333334576</v>
      </c>
      <c r="EO200" s="58">
        <f ca="1">AVERAGE(OFFSET($EN$3,0,0,'Données projet'!$E$15+1,1))-AVERAGE(OFFSET($H$3,0,0,'Données projet'!$E$15+1,1))</f>
        <v>596.00698505207174</v>
      </c>
      <c r="EP200" s="58">
        <f t="shared" si="210"/>
        <v>378.16197659288338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2.2737367544323206E-13</v>
      </c>
      <c r="FF200" s="18">
        <f>FE200*VLOOKUP('Données projet'!$B$16,Paramètres!$A$1:$I$89,3,0)*VLOOKUP('Données projet'!$B$16,Paramètres!$A$1:$I$89,5,0)</f>
        <v>1.064108801074326E-13</v>
      </c>
      <c r="FG200" s="14">
        <f t="shared" si="182"/>
        <v>1.5870730813698654E-12</v>
      </c>
      <c r="FH200" s="22">
        <f t="shared" si="183"/>
        <v>2.9494845662396269E-12</v>
      </c>
      <c r="FI200" s="58">
        <f t="shared" si="199"/>
        <v>293.33333333333627</v>
      </c>
      <c r="FJ200" s="58">
        <f ca="1">AVERAGE(OFFSET($FI$3,0,0,'Données projet'!$E$16+1,1))-AVERAGE(OFFSET($H$3,0,0,'Données projet'!$E$16+1,1))</f>
        <v>294.31042006404056</v>
      </c>
      <c r="FK200" s="58">
        <f t="shared" si="211"/>
        <v>260.93767498478502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2.8421709430404007E-13</v>
      </c>
      <c r="GA200" s="18">
        <f>FZ200*VLOOKUP('Données projet'!$B$17,Paramètres!$A$1:$I$89,3,0)*VLOOKUP('Données projet'!$B$17,Paramètres!$A$1:$I$89,5,0)</f>
        <v>1.9065282685915009E-13</v>
      </c>
      <c r="GB200" s="14">
        <f t="shared" si="185"/>
        <v>2.6568987209435707E-12</v>
      </c>
      <c r="GC200" s="22">
        <f t="shared" si="186"/>
        <v>4.959485612423072E-12</v>
      </c>
      <c r="GD200" s="58">
        <f t="shared" si="200"/>
        <v>293.33333333333826</v>
      </c>
      <c r="GE200" s="58">
        <f ca="1">AVERAGE(OFFSET($GD$3,0,0,'Données projet'!$E$17+1,1))-AVERAGE(OFFSET($H$3,0,0,'Données projet'!$E$17+1,1))</f>
        <v>362.1372269575329</v>
      </c>
      <c r="GF200" s="58">
        <f t="shared" si="212"/>
        <v>308.1559670593121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58" t="e">
        <f t="shared" si="201"/>
        <v>#N/A</v>
      </c>
      <c r="GZ200" s="58" t="e">
        <f ca="1">AVERAGE(OFFSET($GY$3,0,0,'Données projet'!$E$18+1,1))-AVERAGE(OFFSET($H$3,0,0,'Données projet'!$E$18+1,1))</f>
        <v>#N/A</v>
      </c>
      <c r="HA200" s="58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0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3">
        <f t="shared" si="192"/>
        <v>256.66666666666669</v>
      </c>
      <c r="I201" s="6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-2.8421709430404007E-13</v>
      </c>
      <c r="O201" s="14">
        <f>N201*VLOOKUP('Données projet'!$B$9,Paramètres!$A$1:$I$89,3,0)*VLOOKUP('Données projet'!$B$9,Paramètres!$A$1:$I$89,5,0)</f>
        <v>-2.8819613362429665E-13</v>
      </c>
      <c r="P201" s="14" t="e">
        <f t="shared" si="203"/>
        <v>#NUM!</v>
      </c>
      <c r="Q201" s="22" t="e">
        <f t="shared" si="162"/>
        <v>#NUM!</v>
      </c>
      <c r="R201" s="58" t="e">
        <f t="shared" si="191"/>
        <v>#NUM!</v>
      </c>
      <c r="S201" s="58">
        <f ca="1">AVERAGE(OFFSET($R$3,0,0,'Données projet'!$E$9+1,1))-AVERAGE(OFFSET($H$3,0,0,'Données projet'!$E$9+1,1))</f>
        <v>483.15009705023641</v>
      </c>
      <c r="T201" s="58">
        <f t="shared" si="204"/>
        <v>254.25036207346591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-2.8421709430404007E-13</v>
      </c>
      <c r="AJ201" s="14">
        <f>AI201*VLOOKUP('Données projet'!$B$10,Paramètres!$A$1:$I$89,3,0)*VLOOKUP('Données projet'!$B$10,Paramètres!$A$1:$I$89,5,0)</f>
        <v>-2.5715962692629546E-13</v>
      </c>
      <c r="AK201" s="14" t="e">
        <f t="shared" si="164"/>
        <v>#NUM!</v>
      </c>
      <c r="AL201" s="22" t="e">
        <f t="shared" si="165"/>
        <v>#NUM!</v>
      </c>
      <c r="AM201" s="58" t="e">
        <f t="shared" si="193"/>
        <v>#NUM!</v>
      </c>
      <c r="AN201" s="58">
        <f ca="1">AVERAGE(OFFSET($AM$3,0,0,'Données projet'!$E$10+1,1))-AVERAGE(OFFSET($H$3,0,0,'Données projet'!$E$10+1,1))</f>
        <v>435.7095890216213</v>
      </c>
      <c r="AO201" s="58">
        <f t="shared" si="205"/>
        <v>231.36959598460686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-4.9658410716801891E-14</v>
      </c>
      <c r="BF201" s="14" t="e">
        <f t="shared" si="167"/>
        <v>#NUM!</v>
      </c>
      <c r="BG201" s="22" t="e">
        <f t="shared" si="168"/>
        <v>#NUM!</v>
      </c>
      <c r="BH201" s="58" t="e">
        <f t="shared" si="194"/>
        <v>#NUM!</v>
      </c>
      <c r="BI201" s="58">
        <f ca="1">AVERAGE(OFFSET($BH$3,0,0,'Données projet'!$E$11+1,1))-AVERAGE(OFFSET($H$3,0,0,'Données projet'!$E$11+1,1))</f>
        <v>218.76424742311815</v>
      </c>
      <c r="BJ201" s="58">
        <f t="shared" si="206"/>
        <v>264.34598683038593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8.4089599868273857E-2</v>
      </c>
      <c r="BQ201" s="23">
        <f>EXP(-LN(2)/25)*BQ200+(1-EXP(-LN(2)/25))/(LN(2)/25)*Calculateur!BL201*Calculateur!BN201*VLOOKUP('Données projet'!$B$11,Paramètres!$A$1:$I$89,3,0)*0.475*44/12</f>
        <v>4.1401949217472159E-2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0.125491549085746</v>
      </c>
      <c r="BT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58" t="e">
        <f t="shared" si="195"/>
        <v>#NUM!</v>
      </c>
      <c r="CD201" s="58">
        <f ca="1">AVERAGE(OFFSET($CC$3,0,0,'Données projet'!$E$12+1,1))-AVERAGE(OFFSET($H$3,0,0,'Données projet'!$E$12+1,1))</f>
        <v>343.86347628565426</v>
      </c>
      <c r="CE201" s="58">
        <f t="shared" si="207"/>
        <v>129.28196646107097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58" t="e">
        <f t="shared" si="196"/>
        <v>#N/A</v>
      </c>
      <c r="CY201" s="58" t="e">
        <f ca="1">AVERAGE(OFFSET($CX$3,0,0,'Données projet'!$E$13+1,1))-AVERAGE(OFFSET($H$3,0,0,'Données projet'!$E$13+1,1))</f>
        <v>#N/A</v>
      </c>
      <c r="CZ201" s="58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5.4092197387944907E-14</v>
      </c>
      <c r="DQ201" s="14">
        <f t="shared" si="176"/>
        <v>8.7287050538073676E-13</v>
      </c>
      <c r="DR201" s="22">
        <f t="shared" si="177"/>
        <v>1.6144600406554537E-12</v>
      </c>
      <c r="DS201" s="58">
        <f t="shared" si="197"/>
        <v>293.33333333333491</v>
      </c>
      <c r="DT201" s="58">
        <f ca="1">AVERAGE(OFFSET($DS$3,0,0,'Données projet'!$E$14+1,1))-AVERAGE(OFFSET($H$3,0,0,'Données projet'!$E$14+1,1))</f>
        <v>332.49889399440514</v>
      </c>
      <c r="DU201" s="58">
        <f t="shared" si="209"/>
        <v>256.06044006790529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5.1159076974727213E-13</v>
      </c>
      <c r="EK201" s="18">
        <f>EJ201*VLOOKUP('Données projet'!$B$15,Paramètres!$A$1:$I$89,3,0)*VLOOKUP('Données projet'!$B$15,Paramètres!$A$1:$I$89,5,0)</f>
        <v>5.3471467253984886E-13</v>
      </c>
      <c r="EL201" s="14">
        <f t="shared" si="179"/>
        <v>6.6087717628803869E-12</v>
      </c>
      <c r="EM201" s="22">
        <f t="shared" si="180"/>
        <v>1.244157220835691E-11</v>
      </c>
      <c r="EN201" s="58">
        <f t="shared" si="198"/>
        <v>293.33333333334576</v>
      </c>
      <c r="EO201" s="58">
        <f ca="1">AVERAGE(OFFSET($EN$3,0,0,'Données projet'!$E$15+1,1))-AVERAGE(OFFSET($H$3,0,0,'Données projet'!$E$15+1,1))</f>
        <v>596.00698505207174</v>
      </c>
      <c r="EP201" s="58">
        <f t="shared" si="210"/>
        <v>378.16197659288338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2.2737367544323206E-13</v>
      </c>
      <c r="FF201" s="18">
        <f>FE201*VLOOKUP('Données projet'!$B$16,Paramètres!$A$1:$I$89,3,0)*VLOOKUP('Données projet'!$B$16,Paramètres!$A$1:$I$89,5,0)</f>
        <v>1.064108801074326E-13</v>
      </c>
      <c r="FG201" s="14">
        <f t="shared" si="182"/>
        <v>1.5870730813698654E-12</v>
      </c>
      <c r="FH201" s="22">
        <f t="shared" si="183"/>
        <v>2.9494845662396269E-12</v>
      </c>
      <c r="FI201" s="58">
        <f t="shared" si="199"/>
        <v>293.33333333333627</v>
      </c>
      <c r="FJ201" s="58">
        <f ca="1">AVERAGE(OFFSET($FI$3,0,0,'Données projet'!$E$16+1,1))-AVERAGE(OFFSET($H$3,0,0,'Données projet'!$E$16+1,1))</f>
        <v>294.31042006404056</v>
      </c>
      <c r="FK201" s="58">
        <f t="shared" si="211"/>
        <v>260.93767498478502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2.8421709430404007E-13</v>
      </c>
      <c r="GA201" s="18">
        <f>FZ201*VLOOKUP('Données projet'!$B$17,Paramètres!$A$1:$I$89,3,0)*VLOOKUP('Données projet'!$B$17,Paramètres!$A$1:$I$89,5,0)</f>
        <v>1.9065282685915009E-13</v>
      </c>
      <c r="GB201" s="14">
        <f t="shared" si="185"/>
        <v>2.6568987209435707E-12</v>
      </c>
      <c r="GC201" s="22">
        <f t="shared" si="186"/>
        <v>4.959485612423072E-12</v>
      </c>
      <c r="GD201" s="58">
        <f t="shared" si="200"/>
        <v>293.33333333333826</v>
      </c>
      <c r="GE201" s="58">
        <f ca="1">AVERAGE(OFFSET($GD$3,0,0,'Données projet'!$E$17+1,1))-AVERAGE(OFFSET($H$3,0,0,'Données projet'!$E$17+1,1))</f>
        <v>362.1372269575329</v>
      </c>
      <c r="GF201" s="58">
        <f t="shared" si="212"/>
        <v>308.1559670593121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58" t="e">
        <f t="shared" si="201"/>
        <v>#N/A</v>
      </c>
      <c r="GZ201" s="58" t="e">
        <f ca="1">AVERAGE(OFFSET($GY$3,0,0,'Données projet'!$E$18+1,1))-AVERAGE(OFFSET($H$3,0,0,'Données projet'!$E$18+1,1))</f>
        <v>#N/A</v>
      </c>
      <c r="HA201" s="58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0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3">
        <f t="shared" si="192"/>
        <v>256.66666666666669</v>
      </c>
      <c r="I202" s="6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-2.8421709430404007E-13</v>
      </c>
      <c r="O202" s="14">
        <f>N202*VLOOKUP('Données projet'!$B$9,Paramètres!$A$1:$I$89,3,0)*VLOOKUP('Données projet'!$B$9,Paramètres!$A$1:$I$89,5,0)</f>
        <v>-2.8819613362429665E-13</v>
      </c>
      <c r="P202" s="14" t="e">
        <f t="shared" si="203"/>
        <v>#NUM!</v>
      </c>
      <c r="Q202" s="22" t="e">
        <f t="shared" si="162"/>
        <v>#NUM!</v>
      </c>
      <c r="R202" s="58" t="e">
        <f t="shared" si="191"/>
        <v>#NUM!</v>
      </c>
      <c r="S202" s="58">
        <f ca="1">AVERAGE(OFFSET($R$3,0,0,'Données projet'!$E$9+1,1))-AVERAGE(OFFSET($H$3,0,0,'Données projet'!$E$9+1,1))</f>
        <v>483.15009705023641</v>
      </c>
      <c r="T202" s="58">
        <f t="shared" si="204"/>
        <v>254.25036207346591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-2.8421709430404007E-13</v>
      </c>
      <c r="AJ202" s="14">
        <f>AI202*VLOOKUP('Données projet'!$B$10,Paramètres!$A$1:$I$89,3,0)*VLOOKUP('Données projet'!$B$10,Paramètres!$A$1:$I$89,5,0)</f>
        <v>-2.5715962692629546E-13</v>
      </c>
      <c r="AK202" s="14" t="e">
        <f t="shared" si="164"/>
        <v>#NUM!</v>
      </c>
      <c r="AL202" s="22" t="e">
        <f t="shared" si="165"/>
        <v>#NUM!</v>
      </c>
      <c r="AM202" s="58" t="e">
        <f t="shared" si="193"/>
        <v>#NUM!</v>
      </c>
      <c r="AN202" s="58">
        <f ca="1">AVERAGE(OFFSET($AM$3,0,0,'Données projet'!$E$10+1,1))-AVERAGE(OFFSET($H$3,0,0,'Données projet'!$E$10+1,1))</f>
        <v>435.7095890216213</v>
      </c>
      <c r="AO202" s="58">
        <f t="shared" si="205"/>
        <v>231.36959598460686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-4.9658410716801891E-14</v>
      </c>
      <c r="BF202" s="14" t="e">
        <f t="shared" si="167"/>
        <v>#NUM!</v>
      </c>
      <c r="BG202" s="22" t="e">
        <f t="shared" si="168"/>
        <v>#NUM!</v>
      </c>
      <c r="BH202" s="58" t="e">
        <f t="shared" si="194"/>
        <v>#NUM!</v>
      </c>
      <c r="BI202" s="58">
        <f ca="1">AVERAGE(OFFSET($BH$3,0,0,'Données projet'!$E$11+1,1))-AVERAGE(OFFSET($H$3,0,0,'Données projet'!$E$11+1,1))</f>
        <v>218.76424742311815</v>
      </c>
      <c r="BJ202" s="58">
        <f t="shared" si="206"/>
        <v>264.34598683038593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8.2440654104448494E-2</v>
      </c>
      <c r="BQ202" s="23">
        <f>EXP(-LN(2)/25)*BQ201+(1-EXP(-LN(2)/25))/(LN(2)/25)*Calculateur!BL202*Calculateur!BN202*VLOOKUP('Données projet'!$B$11,Paramètres!$A$1:$I$89,3,0)*0.475*44/12</f>
        <v>4.0269810738886497E-2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0.12271046484333499</v>
      </c>
      <c r="BT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58" t="e">
        <f t="shared" si="195"/>
        <v>#NUM!</v>
      </c>
      <c r="CD202" s="58">
        <f ca="1">AVERAGE(OFFSET($CC$3,0,0,'Données projet'!$E$12+1,1))-AVERAGE(OFFSET($H$3,0,0,'Données projet'!$E$12+1,1))</f>
        <v>343.86347628565426</v>
      </c>
      <c r="CE202" s="58">
        <f t="shared" si="207"/>
        <v>129.28196646107097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58" t="e">
        <f t="shared" si="196"/>
        <v>#N/A</v>
      </c>
      <c r="CY202" s="58" t="e">
        <f ca="1">AVERAGE(OFFSET($CX$3,0,0,'Données projet'!$E$13+1,1))-AVERAGE(OFFSET($H$3,0,0,'Données projet'!$E$13+1,1))</f>
        <v>#N/A</v>
      </c>
      <c r="CZ202" s="58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5.4092197387944907E-14</v>
      </c>
      <c r="DQ202" s="14">
        <f t="shared" si="176"/>
        <v>8.7287050538073676E-13</v>
      </c>
      <c r="DR202" s="22">
        <f t="shared" si="177"/>
        <v>1.6144600406554537E-12</v>
      </c>
      <c r="DS202" s="58">
        <f t="shared" si="197"/>
        <v>293.33333333333491</v>
      </c>
      <c r="DT202" s="58">
        <f ca="1">AVERAGE(OFFSET($DS$3,0,0,'Données projet'!$E$14+1,1))-AVERAGE(OFFSET($H$3,0,0,'Données projet'!$E$14+1,1))</f>
        <v>332.49889399440514</v>
      </c>
      <c r="DU202" s="58">
        <f t="shared" si="209"/>
        <v>256.06044006790529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5.1159076974727213E-13</v>
      </c>
      <c r="EK202" s="18">
        <f>EJ202*VLOOKUP('Données projet'!$B$15,Paramètres!$A$1:$I$89,3,0)*VLOOKUP('Données projet'!$B$15,Paramètres!$A$1:$I$89,5,0)</f>
        <v>5.3471467253984886E-13</v>
      </c>
      <c r="EL202" s="14">
        <f t="shared" si="179"/>
        <v>6.6087717628803869E-12</v>
      </c>
      <c r="EM202" s="22">
        <f t="shared" si="180"/>
        <v>1.244157220835691E-11</v>
      </c>
      <c r="EN202" s="58">
        <f t="shared" si="198"/>
        <v>293.33333333334576</v>
      </c>
      <c r="EO202" s="58">
        <f ca="1">AVERAGE(OFFSET($EN$3,0,0,'Données projet'!$E$15+1,1))-AVERAGE(OFFSET($H$3,0,0,'Données projet'!$E$15+1,1))</f>
        <v>596.00698505207174</v>
      </c>
      <c r="EP202" s="58">
        <f t="shared" si="210"/>
        <v>378.16197659288338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2.2737367544323206E-13</v>
      </c>
      <c r="FF202" s="18">
        <f>FE202*VLOOKUP('Données projet'!$B$16,Paramètres!$A$1:$I$89,3,0)*VLOOKUP('Données projet'!$B$16,Paramètres!$A$1:$I$89,5,0)</f>
        <v>1.064108801074326E-13</v>
      </c>
      <c r="FG202" s="14">
        <f t="shared" si="182"/>
        <v>1.5870730813698654E-12</v>
      </c>
      <c r="FH202" s="22">
        <f t="shared" si="183"/>
        <v>2.9494845662396269E-12</v>
      </c>
      <c r="FI202" s="58">
        <f t="shared" si="199"/>
        <v>293.33333333333627</v>
      </c>
      <c r="FJ202" s="58">
        <f ca="1">AVERAGE(OFFSET($FI$3,0,0,'Données projet'!$E$16+1,1))-AVERAGE(OFFSET($H$3,0,0,'Données projet'!$E$16+1,1))</f>
        <v>294.31042006404056</v>
      </c>
      <c r="FK202" s="58">
        <f t="shared" si="211"/>
        <v>260.93767498478502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2.8421709430404007E-13</v>
      </c>
      <c r="GA202" s="18">
        <f>FZ202*VLOOKUP('Données projet'!$B$17,Paramètres!$A$1:$I$89,3,0)*VLOOKUP('Données projet'!$B$17,Paramètres!$A$1:$I$89,5,0)</f>
        <v>1.9065282685915009E-13</v>
      </c>
      <c r="GB202" s="14">
        <f t="shared" si="185"/>
        <v>2.6568987209435707E-12</v>
      </c>
      <c r="GC202" s="22">
        <f t="shared" si="186"/>
        <v>4.959485612423072E-12</v>
      </c>
      <c r="GD202" s="58">
        <f t="shared" si="200"/>
        <v>293.33333333333826</v>
      </c>
      <c r="GE202" s="58">
        <f ca="1">AVERAGE(OFFSET($GD$3,0,0,'Données projet'!$E$17+1,1))-AVERAGE(OFFSET($H$3,0,0,'Données projet'!$E$17+1,1))</f>
        <v>362.1372269575329</v>
      </c>
      <c r="GF202" s="58">
        <f t="shared" si="212"/>
        <v>308.1559670593121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58" t="e">
        <f t="shared" si="201"/>
        <v>#N/A</v>
      </c>
      <c r="GZ202" s="58" t="e">
        <f ca="1">AVERAGE(OFFSET($GY$3,0,0,'Données projet'!$E$18+1,1))-AVERAGE(OFFSET($H$3,0,0,'Données projet'!$E$18+1,1))</f>
        <v>#N/A</v>
      </c>
      <c r="HA202" s="58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0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3">
        <f t="shared" si="192"/>
        <v>256.66666666666669</v>
      </c>
      <c r="I203" s="6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-2.8421709430404007E-13</v>
      </c>
      <c r="O203" s="14">
        <f>N203*VLOOKUP('Données projet'!$B$9,Paramètres!$A$1:$I$89,3,0)*VLOOKUP('Données projet'!$B$9,Paramètres!$A$1:$I$89,5,0)</f>
        <v>-2.8819613362429665E-13</v>
      </c>
      <c r="P203" s="14" t="e">
        <f t="shared" si="203"/>
        <v>#NUM!</v>
      </c>
      <c r="Q203" s="22" t="e">
        <f t="shared" si="162"/>
        <v>#NUM!</v>
      </c>
      <c r="R203" s="58" t="e">
        <f t="shared" si="191"/>
        <v>#NUM!</v>
      </c>
      <c r="S203" s="58">
        <f ca="1">AVERAGE(OFFSET($R$3,0,0,'Données projet'!$E$9+1,1))-AVERAGE(OFFSET($H$3,0,0,'Données projet'!$E$9+1,1))</f>
        <v>483.15009705023641</v>
      </c>
      <c r="T203" s="58">
        <f t="shared" si="204"/>
        <v>254.25036207346591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-2.8421709430404007E-13</v>
      </c>
      <c r="AJ203" s="14">
        <f>AI203*VLOOKUP('Données projet'!$B$10,Paramètres!$A$1:$I$89,3,0)*VLOOKUP('Données projet'!$B$10,Paramètres!$A$1:$I$89,5,0)</f>
        <v>-2.5715962692629546E-13</v>
      </c>
      <c r="AK203" s="14" t="e">
        <f t="shared" si="164"/>
        <v>#NUM!</v>
      </c>
      <c r="AL203" s="22" t="e">
        <f t="shared" si="165"/>
        <v>#NUM!</v>
      </c>
      <c r="AM203" s="58" t="e">
        <f t="shared" si="193"/>
        <v>#NUM!</v>
      </c>
      <c r="AN203" s="58">
        <f ca="1">AVERAGE(OFFSET($AM$3,0,0,'Données projet'!$E$10+1,1))-AVERAGE(OFFSET($H$3,0,0,'Données projet'!$E$10+1,1))</f>
        <v>435.7095890216213</v>
      </c>
      <c r="AO203" s="58">
        <f t="shared" si="205"/>
        <v>231.36959598460686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-4.9658410716801891E-14</v>
      </c>
      <c r="BF203" s="14" t="e">
        <f t="shared" si="167"/>
        <v>#NUM!</v>
      </c>
      <c r="BG203" s="22" t="e">
        <f t="shared" si="168"/>
        <v>#NUM!</v>
      </c>
      <c r="BH203" s="58" t="e">
        <f t="shared" si="194"/>
        <v>#NUM!</v>
      </c>
      <c r="BI203" s="58">
        <f ca="1">AVERAGE(OFFSET($BH$3,0,0,'Données projet'!$E$11+1,1))-AVERAGE(OFFSET($H$3,0,0,'Données projet'!$E$11+1,1))</f>
        <v>218.76424742311815</v>
      </c>
      <c r="BJ203" s="58">
        <f t="shared" si="206"/>
        <v>264.34598683038593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8.0824043161294143E-2</v>
      </c>
      <c r="BQ203" s="23">
        <f>EXP(-LN(2)/25)*BQ202+(1-EXP(-LN(2)/25))/(LN(2)/25)*Calculateur!BL203*Calculateur!BN203*VLOOKUP('Données projet'!$B$11,Paramètres!$A$1:$I$89,3,0)*0.475*44/12</f>
        <v>3.9168630646534336E-2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0.11999267380782848</v>
      </c>
      <c r="BT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58" t="e">
        <f t="shared" si="195"/>
        <v>#NUM!</v>
      </c>
      <c r="CD203" s="58">
        <f ca="1">AVERAGE(OFFSET($CC$3,0,0,'Données projet'!$E$12+1,1))-AVERAGE(OFFSET($H$3,0,0,'Données projet'!$E$12+1,1))</f>
        <v>343.86347628565426</v>
      </c>
      <c r="CE203" s="58">
        <f t="shared" si="207"/>
        <v>129.28196646107097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58" t="e">
        <f t="shared" si="196"/>
        <v>#N/A</v>
      </c>
      <c r="CY203" s="58" t="e">
        <f ca="1">AVERAGE(OFFSET($CX$3,0,0,'Données projet'!$E$13+1,1))-AVERAGE(OFFSET($H$3,0,0,'Données projet'!$E$13+1,1))</f>
        <v>#N/A</v>
      </c>
      <c r="CZ203" s="58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5.4092197387944907E-14</v>
      </c>
      <c r="DQ203" s="14">
        <f t="shared" si="176"/>
        <v>8.7287050538073676E-13</v>
      </c>
      <c r="DR203" s="22">
        <f t="shared" si="177"/>
        <v>1.6144600406554537E-12</v>
      </c>
      <c r="DS203" s="58">
        <f t="shared" si="197"/>
        <v>293.33333333333491</v>
      </c>
      <c r="DT203" s="58">
        <f ca="1">AVERAGE(OFFSET($DS$3,0,0,'Données projet'!$E$14+1,1))-AVERAGE(OFFSET($H$3,0,0,'Données projet'!$E$14+1,1))</f>
        <v>332.49889399440514</v>
      </c>
      <c r="DU203" s="58">
        <f t="shared" si="209"/>
        <v>256.06044006790529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5.1159076974727213E-13</v>
      </c>
      <c r="EK203" s="18">
        <f>EJ203*VLOOKUP('Données projet'!$B$15,Paramètres!$A$1:$I$89,3,0)*VLOOKUP('Données projet'!$B$15,Paramètres!$A$1:$I$89,5,0)</f>
        <v>5.3471467253984886E-13</v>
      </c>
      <c r="EL203" s="14">
        <f t="shared" si="179"/>
        <v>6.6087717628803869E-12</v>
      </c>
      <c r="EM203" s="22">
        <f t="shared" si="180"/>
        <v>1.244157220835691E-11</v>
      </c>
      <c r="EN203" s="58">
        <f t="shared" si="198"/>
        <v>293.33333333334576</v>
      </c>
      <c r="EO203" s="58">
        <f ca="1">AVERAGE(OFFSET($EN$3,0,0,'Données projet'!$E$15+1,1))-AVERAGE(OFFSET($H$3,0,0,'Données projet'!$E$15+1,1))</f>
        <v>596.00698505207174</v>
      </c>
      <c r="EP203" s="58">
        <f t="shared" si="210"/>
        <v>378.16197659288338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2.2737367544323206E-13</v>
      </c>
      <c r="FF203" s="18">
        <f>FE203*VLOOKUP('Données projet'!$B$16,Paramètres!$A$1:$I$89,3,0)*VLOOKUP('Données projet'!$B$16,Paramètres!$A$1:$I$89,5,0)</f>
        <v>1.064108801074326E-13</v>
      </c>
      <c r="FG203" s="14">
        <f t="shared" si="182"/>
        <v>1.5870730813698654E-12</v>
      </c>
      <c r="FH203" s="22">
        <f t="shared" si="183"/>
        <v>2.9494845662396269E-12</v>
      </c>
      <c r="FI203" s="58">
        <f t="shared" si="199"/>
        <v>293.33333333333627</v>
      </c>
      <c r="FJ203" s="58">
        <f ca="1">AVERAGE(OFFSET($FI$3,0,0,'Données projet'!$E$16+1,1))-AVERAGE(OFFSET($H$3,0,0,'Données projet'!$E$16+1,1))</f>
        <v>294.31042006404056</v>
      </c>
      <c r="FK203" s="58">
        <f t="shared" si="211"/>
        <v>260.93767498478502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2.8421709430404007E-13</v>
      </c>
      <c r="GA203" s="18">
        <f>FZ203*VLOOKUP('Données projet'!$B$17,Paramètres!$A$1:$I$89,3,0)*VLOOKUP('Données projet'!$B$17,Paramètres!$A$1:$I$89,5,0)</f>
        <v>1.9065282685915009E-13</v>
      </c>
      <c r="GB203" s="14">
        <f t="shared" si="185"/>
        <v>2.6568987209435707E-12</v>
      </c>
      <c r="GC203" s="22">
        <f t="shared" si="186"/>
        <v>4.959485612423072E-12</v>
      </c>
      <c r="GD203" s="58">
        <f t="shared" si="200"/>
        <v>293.33333333333826</v>
      </c>
      <c r="GE203" s="58">
        <f ca="1">AVERAGE(OFFSET($GD$3,0,0,'Données projet'!$E$17+1,1))-AVERAGE(OFFSET($H$3,0,0,'Données projet'!$E$17+1,1))</f>
        <v>362.1372269575329</v>
      </c>
      <c r="GF203" s="58">
        <f t="shared" si="212"/>
        <v>308.1559670593121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58" t="e">
        <f t="shared" si="201"/>
        <v>#N/A</v>
      </c>
      <c r="GZ203" s="58" t="e">
        <f ca="1">AVERAGE(OFFSET($GY$3,0,0,'Données projet'!$E$18+1,1))-AVERAGE(OFFSET($H$3,0,0,'Données projet'!$E$18+1,1))</f>
        <v>#N/A</v>
      </c>
      <c r="HA203" s="58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76"/>
      <c r="C204" s="74"/>
      <c r="D204" s="75"/>
      <c r="E204" s="75"/>
      <c r="F204" s="75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4"/>
      <c r="I204" s="74"/>
      <c r="J204" s="74"/>
      <c r="K204" s="83" t="s">
        <v>293</v>
      </c>
      <c r="L204" s="77"/>
      <c r="M204" s="77"/>
      <c r="N204" s="77"/>
      <c r="O204" s="74"/>
      <c r="P204" s="74"/>
      <c r="Q204" s="75"/>
      <c r="R204" s="78"/>
      <c r="S204" s="78"/>
      <c r="T204" s="78"/>
      <c r="U204" s="77"/>
      <c r="V204" s="77"/>
      <c r="W204" s="79"/>
      <c r="X204" s="79"/>
      <c r="Y204" s="79"/>
      <c r="Z204" s="74"/>
      <c r="AA204" s="74"/>
      <c r="AB204" s="74"/>
      <c r="AC204" s="74"/>
      <c r="AD204" s="74"/>
      <c r="AE204" s="74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76"/>
      <c r="C205" s="74"/>
      <c r="D205" s="75"/>
      <c r="E205" s="75"/>
      <c r="F205" s="75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4"/>
      <c r="I205" s="74"/>
      <c r="J205" s="74"/>
      <c r="K205" s="81">
        <f>EXP(LN('Données projet'!B36)/'Données projet'!A36)</f>
        <v>1.2054868146447177</v>
      </c>
      <c r="L205" s="77"/>
      <c r="M205" s="77"/>
      <c r="N205" s="77"/>
      <c r="O205" s="74"/>
      <c r="P205" s="74"/>
      <c r="Q205" s="75"/>
      <c r="R205" s="78"/>
      <c r="S205" s="78"/>
      <c r="T205" s="78"/>
      <c r="U205" s="77"/>
      <c r="V205" s="77"/>
      <c r="W205" s="79"/>
      <c r="X205" s="79"/>
      <c r="Y205" s="79"/>
      <c r="Z205" s="74"/>
      <c r="AA205" s="74"/>
      <c r="AB205" s="74"/>
      <c r="AC205" s="74"/>
      <c r="AD205" s="74"/>
      <c r="AE205" s="74"/>
      <c r="AF205" s="82">
        <f>EXP(LN('Données projet'!B62)/'Données projet'!A62)</f>
        <v>1.2054868146447177</v>
      </c>
      <c r="BA205" s="81">
        <f>EXP(LN('Données projet'!B88)/'Données projet'!A88)</f>
        <v>1.3074536754888892</v>
      </c>
      <c r="BV205" s="81">
        <f>EXP(LN('Données projet'!B114)/'Données projet'!A114)</f>
        <v>1.1329687128267454</v>
      </c>
      <c r="CQ205" s="81" t="e">
        <f>EXP(LN('Données projet'!B140)/'Données projet'!A140)</f>
        <v>#NUM!</v>
      </c>
      <c r="DL205" s="81">
        <f>EXP(LN('Données projet'!B166)/'Données projet'!A166)</f>
        <v>1.2271780044536826</v>
      </c>
      <c r="EG205" s="81">
        <f>EXP(LN('Données projet'!B192)/'Données projet'!A192)</f>
        <v>1.2835948199965717</v>
      </c>
      <c r="FB205" s="81">
        <f>EXP(LN('Données projet'!B218)/'Données projet'!A218)</f>
        <v>1.1963772029987372</v>
      </c>
      <c r="FW205" s="81">
        <f>EXP(LN('Données projet'!B244)/'Données projet'!A244)</f>
        <v>1.3372594701735672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2" t="s">
        <v>0</v>
      </c>
      <c r="B1" s="113" t="s">
        <v>106</v>
      </c>
      <c r="C1" s="114" t="s">
        <v>144</v>
      </c>
      <c r="D1" s="113" t="s">
        <v>100</v>
      </c>
      <c r="E1" s="114" t="s">
        <v>145</v>
      </c>
      <c r="F1" s="114" t="s">
        <v>100</v>
      </c>
      <c r="G1" s="114" t="s">
        <v>146</v>
      </c>
      <c r="H1" s="114" t="s">
        <v>100</v>
      </c>
      <c r="I1" s="115" t="s">
        <v>147</v>
      </c>
      <c r="J1" s="92"/>
      <c r="K1" s="92"/>
      <c r="L1" s="92"/>
      <c r="M1" s="92"/>
      <c r="N1" s="92"/>
    </row>
    <row r="2" spans="1:16" x14ac:dyDescent="0.3">
      <c r="A2" s="116" t="s">
        <v>1</v>
      </c>
      <c r="B2" s="117" t="s">
        <v>53</v>
      </c>
      <c r="C2" s="118">
        <v>0.62</v>
      </c>
      <c r="D2" s="118" t="s">
        <v>161</v>
      </c>
      <c r="E2" s="118">
        <v>1.56</v>
      </c>
      <c r="F2" s="118" t="s">
        <v>274</v>
      </c>
      <c r="G2" s="119">
        <v>0.43</v>
      </c>
      <c r="H2" s="120" t="s">
        <v>278</v>
      </c>
      <c r="I2" s="121">
        <v>0.25</v>
      </c>
      <c r="J2" s="92"/>
      <c r="K2" s="92"/>
      <c r="L2" s="92"/>
      <c r="M2" s="92"/>
      <c r="N2" s="92"/>
      <c r="O2" s="309" t="s">
        <v>238</v>
      </c>
      <c r="P2" s="122">
        <v>0</v>
      </c>
    </row>
    <row r="3" spans="1:16" ht="15" thickBot="1" x14ac:dyDescent="0.35">
      <c r="A3" s="123" t="s">
        <v>2</v>
      </c>
      <c r="B3" s="124" t="s">
        <v>54</v>
      </c>
      <c r="C3" s="125">
        <v>0.64</v>
      </c>
      <c r="D3" s="125" t="s">
        <v>161</v>
      </c>
      <c r="E3" s="125">
        <v>1.56</v>
      </c>
      <c r="F3" s="126" t="s">
        <v>274</v>
      </c>
      <c r="G3" s="127">
        <v>0.43</v>
      </c>
      <c r="H3" s="125" t="s">
        <v>278</v>
      </c>
      <c r="I3" s="128">
        <v>0.25</v>
      </c>
      <c r="J3" s="92"/>
      <c r="K3" s="92"/>
      <c r="L3" s="92"/>
      <c r="M3" s="92"/>
      <c r="N3" s="92"/>
      <c r="O3" s="310"/>
      <c r="P3" s="129">
        <v>0.2</v>
      </c>
    </row>
    <row r="4" spans="1:16" ht="15" thickBot="1" x14ac:dyDescent="0.35">
      <c r="A4" s="123" t="s">
        <v>98</v>
      </c>
      <c r="B4" s="124" t="s">
        <v>99</v>
      </c>
      <c r="C4" s="125">
        <v>0.42</v>
      </c>
      <c r="D4" s="125" t="s">
        <v>161</v>
      </c>
      <c r="E4" s="125">
        <v>1.56</v>
      </c>
      <c r="F4" s="126" t="s">
        <v>274</v>
      </c>
      <c r="G4" s="127">
        <v>0.43</v>
      </c>
      <c r="H4" s="125" t="s">
        <v>278</v>
      </c>
      <c r="I4" s="128">
        <v>0.25</v>
      </c>
      <c r="J4" s="92"/>
      <c r="K4" s="92"/>
      <c r="L4" s="92"/>
      <c r="M4" s="92"/>
      <c r="N4" s="92"/>
    </row>
    <row r="5" spans="1:16" x14ac:dyDescent="0.3">
      <c r="A5" s="123" t="s">
        <v>4</v>
      </c>
      <c r="B5" s="124" t="s">
        <v>55</v>
      </c>
      <c r="C5" s="125">
        <v>0.42</v>
      </c>
      <c r="D5" s="125" t="s">
        <v>161</v>
      </c>
      <c r="E5" s="125">
        <v>1.56</v>
      </c>
      <c r="F5" s="126" t="s">
        <v>274</v>
      </c>
      <c r="G5" s="127">
        <v>0.43</v>
      </c>
      <c r="H5" s="125" t="s">
        <v>278</v>
      </c>
      <c r="I5" s="128">
        <v>0.25</v>
      </c>
      <c r="J5" s="92"/>
      <c r="K5" s="92"/>
      <c r="L5" s="92"/>
      <c r="M5" s="92"/>
      <c r="N5" s="92"/>
      <c r="O5" s="309" t="s">
        <v>237</v>
      </c>
      <c r="P5" s="122">
        <v>0</v>
      </c>
    </row>
    <row r="6" spans="1:16" x14ac:dyDescent="0.3">
      <c r="A6" s="123" t="s">
        <v>3</v>
      </c>
      <c r="B6" s="124" t="s">
        <v>97</v>
      </c>
      <c r="C6" s="125">
        <v>0.42</v>
      </c>
      <c r="D6" s="125" t="s">
        <v>161</v>
      </c>
      <c r="E6" s="125">
        <v>1.56</v>
      </c>
      <c r="F6" s="126" t="s">
        <v>274</v>
      </c>
      <c r="G6" s="127">
        <v>0.43</v>
      </c>
      <c r="H6" s="125" t="s">
        <v>278</v>
      </c>
      <c r="I6" s="128">
        <v>0.25</v>
      </c>
      <c r="J6" s="92"/>
      <c r="K6" s="92"/>
      <c r="L6" s="92"/>
      <c r="M6" s="92"/>
      <c r="N6" s="92"/>
      <c r="O6" s="311"/>
      <c r="P6" s="130">
        <v>0.05</v>
      </c>
    </row>
    <row r="7" spans="1:16" x14ac:dyDescent="0.3">
      <c r="A7" s="123" t="s">
        <v>5</v>
      </c>
      <c r="B7" s="124" t="s">
        <v>56</v>
      </c>
      <c r="C7" s="125">
        <v>0.52</v>
      </c>
      <c r="D7" s="125" t="s">
        <v>161</v>
      </c>
      <c r="E7" s="125">
        <v>1.56</v>
      </c>
      <c r="F7" s="126" t="s">
        <v>274</v>
      </c>
      <c r="G7" s="127">
        <v>0.43</v>
      </c>
      <c r="H7" s="125" t="s">
        <v>278</v>
      </c>
      <c r="I7" s="128">
        <v>0.25</v>
      </c>
      <c r="J7" s="92"/>
      <c r="K7" s="92"/>
      <c r="L7" s="92"/>
      <c r="M7" s="92"/>
      <c r="N7" s="92"/>
      <c r="O7" s="311"/>
      <c r="P7" s="130">
        <v>0.1</v>
      </c>
    </row>
    <row r="8" spans="1:16" ht="15" thickBot="1" x14ac:dyDescent="0.35">
      <c r="A8" s="123" t="s">
        <v>164</v>
      </c>
      <c r="B8" s="124" t="s">
        <v>57</v>
      </c>
      <c r="C8" s="125">
        <v>0.36</v>
      </c>
      <c r="D8" s="125" t="s">
        <v>161</v>
      </c>
      <c r="E8" s="125">
        <v>1.3</v>
      </c>
      <c r="F8" s="126" t="s">
        <v>274</v>
      </c>
      <c r="G8" s="127">
        <v>0.55000000000000004</v>
      </c>
      <c r="H8" s="125" t="s">
        <v>153</v>
      </c>
      <c r="I8" s="128">
        <v>0.43</v>
      </c>
      <c r="J8" s="92"/>
      <c r="K8" s="92"/>
      <c r="L8" s="92"/>
      <c r="M8" s="92"/>
      <c r="N8" s="92"/>
      <c r="O8" s="310"/>
      <c r="P8" s="129">
        <v>0.15</v>
      </c>
    </row>
    <row r="9" spans="1:16" ht="15" thickBot="1" x14ac:dyDescent="0.35">
      <c r="A9" s="123" t="s">
        <v>6</v>
      </c>
      <c r="B9" s="124" t="s">
        <v>58</v>
      </c>
      <c r="C9" s="125">
        <v>0.61</v>
      </c>
      <c r="D9" s="125" t="s">
        <v>161</v>
      </c>
      <c r="E9" s="125">
        <v>1.56</v>
      </c>
      <c r="F9" s="126" t="s">
        <v>274</v>
      </c>
      <c r="G9" s="127">
        <v>0.43</v>
      </c>
      <c r="H9" s="125" t="s">
        <v>278</v>
      </c>
      <c r="I9" s="128">
        <v>0.25</v>
      </c>
      <c r="J9" s="92"/>
      <c r="K9" s="92"/>
      <c r="L9" s="92"/>
      <c r="M9" s="92"/>
      <c r="N9" s="92"/>
    </row>
    <row r="10" spans="1:16" x14ac:dyDescent="0.3">
      <c r="A10" s="123" t="s">
        <v>7</v>
      </c>
      <c r="B10" s="124" t="s">
        <v>59</v>
      </c>
      <c r="C10" s="125">
        <v>0.66</v>
      </c>
      <c r="D10" s="125" t="s">
        <v>161</v>
      </c>
      <c r="E10" s="125">
        <v>1.56</v>
      </c>
      <c r="F10" s="126" t="s">
        <v>274</v>
      </c>
      <c r="G10" s="127">
        <v>0.43</v>
      </c>
      <c r="H10" s="125" t="s">
        <v>278</v>
      </c>
      <c r="I10" s="128">
        <v>0.25</v>
      </c>
      <c r="J10" s="92"/>
      <c r="K10" s="92"/>
      <c r="L10" s="92"/>
      <c r="M10" s="92"/>
      <c r="N10" s="92"/>
      <c r="O10" s="309" t="s">
        <v>236</v>
      </c>
      <c r="P10" s="122">
        <v>0</v>
      </c>
    </row>
    <row r="11" spans="1:16" ht="15" thickBot="1" x14ac:dyDescent="0.35">
      <c r="A11" s="123" t="s">
        <v>8</v>
      </c>
      <c r="B11" s="124" t="s">
        <v>60</v>
      </c>
      <c r="C11" s="125">
        <v>0.47</v>
      </c>
      <c r="D11" s="125" t="s">
        <v>161</v>
      </c>
      <c r="E11" s="125">
        <v>1.56</v>
      </c>
      <c r="F11" s="126" t="s">
        <v>274</v>
      </c>
      <c r="G11" s="127">
        <v>0.43</v>
      </c>
      <c r="H11" s="125" t="s">
        <v>278</v>
      </c>
      <c r="I11" s="128">
        <v>0.25</v>
      </c>
      <c r="J11" s="92"/>
      <c r="K11" s="92"/>
      <c r="L11" s="92"/>
      <c r="M11" s="92"/>
      <c r="N11" s="92"/>
      <c r="O11" s="310"/>
      <c r="P11" s="129">
        <v>0.1</v>
      </c>
    </row>
    <row r="12" spans="1:16" x14ac:dyDescent="0.3">
      <c r="A12" s="123" t="s">
        <v>9</v>
      </c>
      <c r="B12" s="124" t="s">
        <v>61</v>
      </c>
      <c r="C12" s="125">
        <v>0.67</v>
      </c>
      <c r="D12" s="125" t="s">
        <v>161</v>
      </c>
      <c r="E12" s="125">
        <v>1.56</v>
      </c>
      <c r="F12" s="126" t="s">
        <v>274</v>
      </c>
      <c r="G12" s="127">
        <v>0.43</v>
      </c>
      <c r="H12" s="125" t="s">
        <v>152</v>
      </c>
      <c r="I12" s="128">
        <v>0.25</v>
      </c>
      <c r="J12" s="92"/>
      <c r="K12" s="92"/>
      <c r="L12" s="92"/>
      <c r="M12" s="92"/>
      <c r="N12" s="92"/>
    </row>
    <row r="13" spans="1:16" x14ac:dyDescent="0.3">
      <c r="A13" s="123" t="s">
        <v>10</v>
      </c>
      <c r="B13" s="124" t="s">
        <v>62</v>
      </c>
      <c r="C13" s="125">
        <v>0.7</v>
      </c>
      <c r="D13" s="125" t="s">
        <v>161</v>
      </c>
      <c r="E13" s="125">
        <v>1.56</v>
      </c>
      <c r="F13" s="126" t="s">
        <v>274</v>
      </c>
      <c r="G13" s="127">
        <v>0.43</v>
      </c>
      <c r="H13" s="125" t="s">
        <v>152</v>
      </c>
      <c r="I13" s="128">
        <v>0.25</v>
      </c>
      <c r="J13" s="92"/>
      <c r="K13" s="92"/>
      <c r="L13" s="92"/>
      <c r="M13" s="92"/>
      <c r="N13" s="92"/>
    </row>
    <row r="14" spans="1:16" x14ac:dyDescent="0.3">
      <c r="A14" s="123" t="s">
        <v>11</v>
      </c>
      <c r="B14" s="124" t="s">
        <v>63</v>
      </c>
      <c r="C14" s="125">
        <v>0.54</v>
      </c>
      <c r="D14" s="125" t="s">
        <v>161</v>
      </c>
      <c r="E14" s="125">
        <v>1.56</v>
      </c>
      <c r="F14" s="126" t="s">
        <v>274</v>
      </c>
      <c r="G14" s="127">
        <v>0.43</v>
      </c>
      <c r="H14" s="125" t="s">
        <v>152</v>
      </c>
      <c r="I14" s="128">
        <v>0.25</v>
      </c>
      <c r="J14" s="92"/>
      <c r="K14" s="92"/>
      <c r="L14" s="92"/>
      <c r="M14" s="92"/>
      <c r="N14" s="92"/>
    </row>
    <row r="15" spans="1:16" x14ac:dyDescent="0.3">
      <c r="A15" s="123" t="s">
        <v>12</v>
      </c>
      <c r="B15" s="124" t="s">
        <v>64</v>
      </c>
      <c r="C15" s="125">
        <v>0.65</v>
      </c>
      <c r="D15" s="125" t="s">
        <v>161</v>
      </c>
      <c r="E15" s="125">
        <v>1.56</v>
      </c>
      <c r="F15" s="126" t="s">
        <v>274</v>
      </c>
      <c r="G15" s="127">
        <v>0.43</v>
      </c>
      <c r="H15" s="125" t="s">
        <v>152</v>
      </c>
      <c r="I15" s="128">
        <v>0.25</v>
      </c>
      <c r="J15" s="92"/>
      <c r="K15" s="92"/>
      <c r="L15" s="92"/>
      <c r="M15" s="92"/>
      <c r="N15" s="92"/>
    </row>
    <row r="16" spans="1:16" x14ac:dyDescent="0.3">
      <c r="A16" s="123" t="s">
        <v>13</v>
      </c>
      <c r="B16" s="124" t="s">
        <v>65</v>
      </c>
      <c r="C16" s="125">
        <v>0.56000000000000005</v>
      </c>
      <c r="D16" s="125" t="s">
        <v>161</v>
      </c>
      <c r="E16" s="125">
        <v>1.56</v>
      </c>
      <c r="F16" s="126" t="s">
        <v>274</v>
      </c>
      <c r="G16" s="127">
        <v>0.43</v>
      </c>
      <c r="H16" s="125" t="s">
        <v>152</v>
      </c>
      <c r="I16" s="128">
        <v>0.25</v>
      </c>
      <c r="J16" s="92"/>
      <c r="K16" s="92"/>
      <c r="L16" s="92"/>
      <c r="M16" s="92"/>
      <c r="N16" s="92"/>
    </row>
    <row r="17" spans="1:14" x14ac:dyDescent="0.3">
      <c r="A17" s="123" t="s">
        <v>14</v>
      </c>
      <c r="B17" s="124" t="s">
        <v>66</v>
      </c>
      <c r="C17" s="125">
        <v>0.57999999999999996</v>
      </c>
      <c r="D17" s="125" t="s">
        <v>161</v>
      </c>
      <c r="E17" s="125">
        <v>1.56</v>
      </c>
      <c r="F17" s="126" t="s">
        <v>274</v>
      </c>
      <c r="G17" s="127">
        <v>0.43</v>
      </c>
      <c r="H17" s="125" t="s">
        <v>152</v>
      </c>
      <c r="I17" s="128">
        <v>0.25</v>
      </c>
      <c r="J17" s="92"/>
      <c r="K17" s="92"/>
      <c r="L17" s="92"/>
      <c r="M17" s="92"/>
      <c r="N17" s="92"/>
    </row>
    <row r="18" spans="1:14" x14ac:dyDescent="0.3">
      <c r="A18" s="123" t="s">
        <v>15</v>
      </c>
      <c r="B18" s="124" t="s">
        <v>67</v>
      </c>
      <c r="C18" s="125">
        <v>0.64</v>
      </c>
      <c r="D18" s="125" t="s">
        <v>161</v>
      </c>
      <c r="E18" s="125">
        <v>1.56</v>
      </c>
      <c r="F18" s="126" t="s">
        <v>274</v>
      </c>
      <c r="G18" s="127">
        <v>0.43</v>
      </c>
      <c r="H18" s="125" t="s">
        <v>152</v>
      </c>
      <c r="I18" s="128">
        <v>0.25</v>
      </c>
      <c r="J18" s="92"/>
      <c r="K18" s="92"/>
      <c r="L18" s="92"/>
      <c r="M18" s="92"/>
      <c r="N18" s="92"/>
    </row>
    <row r="19" spans="1:14" x14ac:dyDescent="0.3">
      <c r="A19" s="123" t="s">
        <v>16</v>
      </c>
      <c r="B19" s="124" t="s">
        <v>68</v>
      </c>
      <c r="C19" s="125">
        <v>0.73</v>
      </c>
      <c r="D19" s="125" t="s">
        <v>161</v>
      </c>
      <c r="E19" s="125">
        <v>1.56</v>
      </c>
      <c r="F19" s="126" t="s">
        <v>274</v>
      </c>
      <c r="G19" s="127">
        <v>0.43</v>
      </c>
      <c r="H19" s="125" t="s">
        <v>152</v>
      </c>
      <c r="I19" s="128">
        <v>0.25</v>
      </c>
      <c r="J19" s="92"/>
      <c r="K19" s="92"/>
      <c r="L19" s="92"/>
      <c r="M19" s="92"/>
      <c r="N19" s="92"/>
    </row>
    <row r="20" spans="1:14" x14ac:dyDescent="0.3">
      <c r="A20" s="123" t="s">
        <v>52</v>
      </c>
      <c r="B20" s="124" t="s">
        <v>69</v>
      </c>
      <c r="C20" s="125">
        <v>0.69</v>
      </c>
      <c r="D20" s="125" t="s">
        <v>131</v>
      </c>
      <c r="E20" s="125">
        <v>1.56</v>
      </c>
      <c r="F20" s="126" t="s">
        <v>274</v>
      </c>
      <c r="G20" s="127">
        <v>0.43</v>
      </c>
      <c r="H20" s="125" t="s">
        <v>282</v>
      </c>
      <c r="I20" s="128">
        <v>0.25</v>
      </c>
      <c r="J20" s="92"/>
      <c r="K20" s="92"/>
      <c r="L20" s="92"/>
      <c r="M20" s="92"/>
      <c r="N20" s="92"/>
    </row>
    <row r="21" spans="1:14" x14ac:dyDescent="0.3">
      <c r="A21" s="123" t="s">
        <v>154</v>
      </c>
      <c r="B21" s="124" t="s">
        <v>155</v>
      </c>
      <c r="C21" s="125">
        <v>0.36</v>
      </c>
      <c r="D21" s="125" t="s">
        <v>161</v>
      </c>
      <c r="E21" s="125">
        <v>1.3</v>
      </c>
      <c r="F21" s="126" t="s">
        <v>274</v>
      </c>
      <c r="G21" s="127">
        <v>0.55000000000000004</v>
      </c>
      <c r="H21" s="125" t="s">
        <v>153</v>
      </c>
      <c r="I21" s="128">
        <v>0.43</v>
      </c>
      <c r="J21" s="92"/>
      <c r="K21" s="92"/>
      <c r="L21" s="92"/>
      <c r="M21" s="92"/>
      <c r="N21" s="92"/>
    </row>
    <row r="22" spans="1:14" x14ac:dyDescent="0.3">
      <c r="A22" s="123" t="s">
        <v>17</v>
      </c>
      <c r="B22" s="124" t="s">
        <v>70</v>
      </c>
      <c r="C22" s="125">
        <v>0.4</v>
      </c>
      <c r="D22" s="125" t="s">
        <v>161</v>
      </c>
      <c r="E22" s="125">
        <v>1.3</v>
      </c>
      <c r="F22" s="126" t="s">
        <v>274</v>
      </c>
      <c r="G22" s="127">
        <v>0.55000000000000004</v>
      </c>
      <c r="H22" s="125" t="s">
        <v>153</v>
      </c>
      <c r="I22" s="128">
        <v>0.43</v>
      </c>
      <c r="J22" s="92"/>
      <c r="K22" s="92"/>
      <c r="L22" s="92"/>
      <c r="M22" s="92"/>
      <c r="N22" s="92"/>
    </row>
    <row r="23" spans="1:14" x14ac:dyDescent="0.3">
      <c r="A23" s="123" t="s">
        <v>18</v>
      </c>
      <c r="B23" s="124" t="s">
        <v>71</v>
      </c>
      <c r="C23" s="125">
        <v>0.43</v>
      </c>
      <c r="D23" s="125" t="s">
        <v>161</v>
      </c>
      <c r="E23" s="125">
        <v>1.3</v>
      </c>
      <c r="F23" s="126" t="s">
        <v>274</v>
      </c>
      <c r="G23" s="127">
        <v>0.55000000000000004</v>
      </c>
      <c r="H23" s="125" t="s">
        <v>153</v>
      </c>
      <c r="I23" s="128">
        <v>0.43</v>
      </c>
      <c r="J23" s="92"/>
      <c r="K23" s="92"/>
      <c r="L23" s="92"/>
      <c r="M23" s="92"/>
      <c r="N23" s="92"/>
    </row>
    <row r="24" spans="1:14" x14ac:dyDescent="0.3">
      <c r="A24" s="123" t="s">
        <v>19</v>
      </c>
      <c r="B24" s="124" t="s">
        <v>72</v>
      </c>
      <c r="C24" s="125">
        <v>0.37</v>
      </c>
      <c r="D24" s="125" t="s">
        <v>161</v>
      </c>
      <c r="E24" s="125">
        <v>1.3</v>
      </c>
      <c r="F24" s="126" t="s">
        <v>274</v>
      </c>
      <c r="G24" s="127">
        <v>0.55000000000000004</v>
      </c>
      <c r="H24" s="125" t="s">
        <v>152</v>
      </c>
      <c r="I24" s="128">
        <v>0.43</v>
      </c>
      <c r="J24" s="92"/>
      <c r="K24" s="92"/>
      <c r="L24" s="92"/>
      <c r="M24" s="92"/>
      <c r="N24" s="92"/>
    </row>
    <row r="25" spans="1:14" x14ac:dyDescent="0.3">
      <c r="A25" s="123" t="s">
        <v>20</v>
      </c>
      <c r="B25" s="124" t="s">
        <v>73</v>
      </c>
      <c r="C25" s="125">
        <v>0.36</v>
      </c>
      <c r="D25" s="125" t="s">
        <v>161</v>
      </c>
      <c r="E25" s="125">
        <v>1.3</v>
      </c>
      <c r="F25" s="126" t="s">
        <v>274</v>
      </c>
      <c r="G25" s="127">
        <v>0.55000000000000004</v>
      </c>
      <c r="H25" s="125" t="s">
        <v>152</v>
      </c>
      <c r="I25" s="128">
        <v>0.43</v>
      </c>
      <c r="J25" s="92"/>
      <c r="K25" s="92"/>
      <c r="L25" s="92"/>
      <c r="M25" s="92"/>
      <c r="N25" s="92"/>
    </row>
    <row r="26" spans="1:14" x14ac:dyDescent="0.3">
      <c r="A26" s="123" t="s">
        <v>21</v>
      </c>
      <c r="B26" s="124" t="s">
        <v>74</v>
      </c>
      <c r="C26" s="125">
        <v>0.56000000000000005</v>
      </c>
      <c r="D26" s="125" t="s">
        <v>161</v>
      </c>
      <c r="E26" s="125">
        <v>1.56</v>
      </c>
      <c r="F26" s="126" t="s">
        <v>274</v>
      </c>
      <c r="G26" s="127">
        <v>0.53</v>
      </c>
      <c r="H26" s="125" t="s">
        <v>275</v>
      </c>
      <c r="I26" s="128">
        <v>0.25</v>
      </c>
      <c r="J26" s="92"/>
      <c r="K26" s="92"/>
      <c r="L26" s="92"/>
      <c r="M26" s="92"/>
      <c r="N26" s="92"/>
    </row>
    <row r="27" spans="1:14" x14ac:dyDescent="0.3">
      <c r="A27" s="123" t="s">
        <v>22</v>
      </c>
      <c r="B27" s="124" t="s">
        <v>75</v>
      </c>
      <c r="C27" s="125">
        <v>0.51</v>
      </c>
      <c r="D27" s="125" t="s">
        <v>161</v>
      </c>
      <c r="E27" s="125">
        <v>1.56</v>
      </c>
      <c r="F27" s="126" t="s">
        <v>274</v>
      </c>
      <c r="G27" s="127">
        <v>0.53</v>
      </c>
      <c r="H27" s="125" t="s">
        <v>275</v>
      </c>
      <c r="I27" s="128">
        <v>0.25</v>
      </c>
      <c r="J27" s="92"/>
      <c r="K27" s="92"/>
      <c r="L27" s="92"/>
      <c r="M27" s="92"/>
      <c r="N27" s="92"/>
    </row>
    <row r="28" spans="1:14" x14ac:dyDescent="0.3">
      <c r="A28" s="123" t="s">
        <v>23</v>
      </c>
      <c r="B28" s="124" t="s">
        <v>76</v>
      </c>
      <c r="C28" s="125">
        <v>0.51</v>
      </c>
      <c r="D28" s="125" t="s">
        <v>161</v>
      </c>
      <c r="E28" s="125">
        <v>1.56</v>
      </c>
      <c r="F28" s="126" t="s">
        <v>274</v>
      </c>
      <c r="G28" s="127">
        <v>0.53</v>
      </c>
      <c r="H28" s="125" t="s">
        <v>275</v>
      </c>
      <c r="I28" s="128">
        <v>0.25</v>
      </c>
      <c r="J28" s="92"/>
      <c r="K28" s="92"/>
      <c r="L28" s="92"/>
      <c r="M28" s="92"/>
      <c r="N28" s="92"/>
    </row>
    <row r="29" spans="1:14" x14ac:dyDescent="0.3">
      <c r="A29" s="123" t="s">
        <v>24</v>
      </c>
      <c r="B29" s="124" t="s">
        <v>24</v>
      </c>
      <c r="C29" s="125">
        <v>0.56000000000000005</v>
      </c>
      <c r="D29" s="125" t="s">
        <v>161</v>
      </c>
      <c r="E29" s="125">
        <v>1.56</v>
      </c>
      <c r="F29" s="126" t="s">
        <v>274</v>
      </c>
      <c r="G29" s="127">
        <v>0.53</v>
      </c>
      <c r="H29" s="125" t="s">
        <v>275</v>
      </c>
      <c r="I29" s="128">
        <v>0.25</v>
      </c>
      <c r="J29" s="92"/>
      <c r="K29" s="92"/>
      <c r="L29" s="92"/>
      <c r="M29" s="92"/>
      <c r="N29" s="92"/>
    </row>
    <row r="30" spans="1:14" x14ac:dyDescent="0.3">
      <c r="A30" s="123" t="s">
        <v>25</v>
      </c>
      <c r="B30" s="124" t="s">
        <v>77</v>
      </c>
      <c r="C30" s="125">
        <v>0.55000000000000004</v>
      </c>
      <c r="D30" s="125" t="s">
        <v>161</v>
      </c>
      <c r="E30" s="125">
        <v>1.56</v>
      </c>
      <c r="F30" s="126" t="s">
        <v>274</v>
      </c>
      <c r="G30" s="127">
        <v>0.53</v>
      </c>
      <c r="H30" s="125" t="s">
        <v>152</v>
      </c>
      <c r="I30" s="128">
        <v>0.25</v>
      </c>
      <c r="J30" s="92"/>
      <c r="K30" s="92"/>
      <c r="L30" s="92"/>
      <c r="M30" s="92"/>
      <c r="N30" s="92"/>
    </row>
    <row r="31" spans="1:14" x14ac:dyDescent="0.3">
      <c r="A31" s="123" t="s">
        <v>26</v>
      </c>
      <c r="B31" s="124" t="s">
        <v>78</v>
      </c>
      <c r="C31" s="125">
        <v>0.56000000000000005</v>
      </c>
      <c r="D31" s="125" t="s">
        <v>161</v>
      </c>
      <c r="E31" s="125">
        <v>1.56</v>
      </c>
      <c r="F31" s="126" t="s">
        <v>274</v>
      </c>
      <c r="G31" s="127">
        <v>0.43</v>
      </c>
      <c r="H31" s="125" t="s">
        <v>278</v>
      </c>
      <c r="I31" s="128">
        <v>0.25</v>
      </c>
      <c r="J31" s="92"/>
      <c r="K31" s="92"/>
      <c r="L31" s="92"/>
      <c r="M31" s="92"/>
      <c r="N31" s="92"/>
    </row>
    <row r="32" spans="1:14" x14ac:dyDescent="0.3">
      <c r="A32" s="123" t="s">
        <v>27</v>
      </c>
      <c r="B32" s="124" t="s">
        <v>79</v>
      </c>
      <c r="C32" s="125">
        <v>0.48</v>
      </c>
      <c r="D32" s="125" t="s">
        <v>161</v>
      </c>
      <c r="E32" s="125">
        <v>1.3</v>
      </c>
      <c r="F32" s="126" t="s">
        <v>274</v>
      </c>
      <c r="G32" s="127">
        <v>0.6</v>
      </c>
      <c r="H32" s="125" t="s">
        <v>281</v>
      </c>
      <c r="I32" s="128">
        <v>0.43</v>
      </c>
      <c r="J32" s="92"/>
      <c r="K32" s="92"/>
      <c r="L32" s="92"/>
      <c r="M32" s="92"/>
      <c r="N32" s="92"/>
    </row>
    <row r="33" spans="1:14" x14ac:dyDescent="0.3">
      <c r="A33" s="123" t="s">
        <v>28</v>
      </c>
      <c r="B33" s="124" t="s">
        <v>80</v>
      </c>
      <c r="C33" s="125">
        <v>0.42</v>
      </c>
      <c r="D33" s="125" t="s">
        <v>161</v>
      </c>
      <c r="E33" s="125">
        <v>1.3</v>
      </c>
      <c r="F33" s="126" t="s">
        <v>274</v>
      </c>
      <c r="G33" s="127">
        <v>0.6</v>
      </c>
      <c r="H33" s="125" t="s">
        <v>281</v>
      </c>
      <c r="I33" s="128">
        <v>0.43</v>
      </c>
      <c r="J33" s="92"/>
      <c r="K33" s="92"/>
      <c r="L33" s="92"/>
      <c r="M33" s="92"/>
      <c r="N33" s="92"/>
    </row>
    <row r="34" spans="1:14" x14ac:dyDescent="0.3">
      <c r="A34" s="123" t="s">
        <v>81</v>
      </c>
      <c r="B34" s="124" t="s">
        <v>163</v>
      </c>
      <c r="C34" s="125">
        <v>0.42</v>
      </c>
      <c r="D34" s="125" t="s">
        <v>103</v>
      </c>
      <c r="E34" s="125">
        <v>1.3</v>
      </c>
      <c r="F34" s="126" t="s">
        <v>274</v>
      </c>
      <c r="G34" s="127">
        <v>0.6</v>
      </c>
      <c r="H34" s="124" t="s">
        <v>280</v>
      </c>
      <c r="I34" s="128">
        <v>0.43</v>
      </c>
      <c r="J34" s="92"/>
      <c r="K34" s="92"/>
      <c r="L34" s="92"/>
      <c r="M34" s="92"/>
      <c r="N34" s="92"/>
    </row>
    <row r="35" spans="1:14" x14ac:dyDescent="0.3">
      <c r="A35" s="123" t="s">
        <v>29</v>
      </c>
      <c r="B35" s="124" t="s">
        <v>82</v>
      </c>
      <c r="C35" s="125">
        <v>0.5</v>
      </c>
      <c r="D35" s="125" t="s">
        <v>161</v>
      </c>
      <c r="E35" s="125">
        <v>1.56</v>
      </c>
      <c r="F35" s="126" t="s">
        <v>274</v>
      </c>
      <c r="G35" s="127">
        <v>0.43</v>
      </c>
      <c r="H35" s="125" t="s">
        <v>278</v>
      </c>
      <c r="I35" s="128">
        <v>0.25</v>
      </c>
      <c r="J35" s="92"/>
      <c r="K35" s="92"/>
      <c r="L35" s="92"/>
      <c r="M35" s="92"/>
      <c r="N35" s="92"/>
    </row>
    <row r="36" spans="1:14" x14ac:dyDescent="0.3">
      <c r="A36" s="123" t="s">
        <v>102</v>
      </c>
      <c r="B36" s="124" t="s">
        <v>101</v>
      </c>
      <c r="C36" s="125">
        <v>0.55000000000000004</v>
      </c>
      <c r="D36" s="125" t="s">
        <v>161</v>
      </c>
      <c r="E36" s="125">
        <v>1.56</v>
      </c>
      <c r="F36" s="126" t="s">
        <v>274</v>
      </c>
      <c r="G36" s="127">
        <v>0.53</v>
      </c>
      <c r="H36" s="125" t="s">
        <v>275</v>
      </c>
      <c r="I36" s="128">
        <v>0.25</v>
      </c>
      <c r="J36" s="92"/>
      <c r="K36" s="92"/>
      <c r="L36" s="92"/>
      <c r="M36" s="92"/>
      <c r="N36" s="92"/>
    </row>
    <row r="37" spans="1:14" x14ac:dyDescent="0.3">
      <c r="A37" s="123" t="s">
        <v>30</v>
      </c>
      <c r="B37" s="124" t="s">
        <v>104</v>
      </c>
      <c r="C37" s="125">
        <v>0.52</v>
      </c>
      <c r="D37" s="125" t="s">
        <v>161</v>
      </c>
      <c r="E37" s="125">
        <v>1.56</v>
      </c>
      <c r="F37" s="126" t="s">
        <v>274</v>
      </c>
      <c r="G37" s="127">
        <v>0.53</v>
      </c>
      <c r="H37" s="125" t="s">
        <v>275</v>
      </c>
      <c r="I37" s="128">
        <v>0.25</v>
      </c>
      <c r="J37" s="92"/>
      <c r="K37" s="92"/>
      <c r="L37" s="92"/>
      <c r="M37" s="92"/>
      <c r="N37" s="92"/>
    </row>
    <row r="38" spans="1:14" x14ac:dyDescent="0.3">
      <c r="A38" s="123" t="s">
        <v>31</v>
      </c>
      <c r="B38" s="124" t="s">
        <v>105</v>
      </c>
      <c r="C38" s="125">
        <v>0.52</v>
      </c>
      <c r="D38" s="125" t="s">
        <v>161</v>
      </c>
      <c r="E38" s="125">
        <v>1.56</v>
      </c>
      <c r="F38" s="126" t="s">
        <v>274</v>
      </c>
      <c r="G38" s="127">
        <v>0.43</v>
      </c>
      <c r="H38" s="125" t="s">
        <v>278</v>
      </c>
      <c r="I38" s="128">
        <v>0.25</v>
      </c>
      <c r="J38" s="92"/>
      <c r="K38" s="92"/>
      <c r="L38" s="92"/>
      <c r="M38" s="92"/>
      <c r="N38" s="92"/>
    </row>
    <row r="39" spans="1:14" x14ac:dyDescent="0.3">
      <c r="A39" s="123" t="s">
        <v>107</v>
      </c>
      <c r="B39" s="124" t="s">
        <v>132</v>
      </c>
      <c r="C39" s="125">
        <v>0.313</v>
      </c>
      <c r="D39" s="125" t="s">
        <v>130</v>
      </c>
      <c r="E39" s="125">
        <v>1.56</v>
      </c>
      <c r="F39" s="126" t="s">
        <v>274</v>
      </c>
      <c r="G39" s="127">
        <v>0.6</v>
      </c>
      <c r="H39" s="125" t="s">
        <v>283</v>
      </c>
      <c r="I39" s="128">
        <v>1.03</v>
      </c>
      <c r="J39" s="92"/>
      <c r="K39" s="92"/>
      <c r="L39" s="92"/>
      <c r="M39" s="92"/>
      <c r="N39" s="92"/>
    </row>
    <row r="40" spans="1:14" x14ac:dyDescent="0.3">
      <c r="A40" s="123" t="s">
        <v>108</v>
      </c>
      <c r="B40" s="124" t="s">
        <v>132</v>
      </c>
      <c r="C40" s="125">
        <v>0.35199999999999998</v>
      </c>
      <c r="D40" s="125" t="s">
        <v>130</v>
      </c>
      <c r="E40" s="125">
        <v>1.56</v>
      </c>
      <c r="F40" s="126" t="s">
        <v>274</v>
      </c>
      <c r="G40" s="127">
        <v>0.6</v>
      </c>
      <c r="H40" s="125" t="s">
        <v>283</v>
      </c>
      <c r="I40" s="128">
        <v>1.03</v>
      </c>
      <c r="J40" s="92"/>
      <c r="K40" s="92"/>
      <c r="L40" s="92"/>
      <c r="M40" s="92"/>
      <c r="N40" s="92"/>
    </row>
    <row r="41" spans="1:14" x14ac:dyDescent="0.3">
      <c r="A41" s="123" t="s">
        <v>121</v>
      </c>
      <c r="B41" s="124" t="s">
        <v>132</v>
      </c>
      <c r="C41" s="125">
        <v>0.32200000000000001</v>
      </c>
      <c r="D41" s="125" t="s">
        <v>130</v>
      </c>
      <c r="E41" s="125">
        <v>1.56</v>
      </c>
      <c r="F41" s="126" t="s">
        <v>274</v>
      </c>
      <c r="G41" s="127">
        <v>0.6</v>
      </c>
      <c r="H41" s="125" t="s">
        <v>283</v>
      </c>
      <c r="I41" s="128">
        <v>1.03</v>
      </c>
      <c r="J41" s="92"/>
      <c r="K41" s="92"/>
      <c r="L41" s="92"/>
      <c r="M41" s="92"/>
      <c r="N41" s="92"/>
    </row>
    <row r="42" spans="1:14" x14ac:dyDescent="0.3">
      <c r="A42" s="123" t="s">
        <v>122</v>
      </c>
      <c r="B42" s="124" t="s">
        <v>132</v>
      </c>
      <c r="C42" s="125">
        <v>0.311</v>
      </c>
      <c r="D42" s="125" t="s">
        <v>130</v>
      </c>
      <c r="E42" s="125">
        <v>1.56</v>
      </c>
      <c r="F42" s="126" t="s">
        <v>274</v>
      </c>
      <c r="G42" s="127">
        <v>0.6</v>
      </c>
      <c r="H42" s="125" t="s">
        <v>283</v>
      </c>
      <c r="I42" s="128">
        <v>1.03</v>
      </c>
      <c r="J42" s="92"/>
      <c r="K42" s="92"/>
      <c r="L42" s="92"/>
      <c r="M42" s="92"/>
      <c r="N42" s="92"/>
    </row>
    <row r="43" spans="1:14" x14ac:dyDescent="0.3">
      <c r="A43" s="123" t="s">
        <v>109</v>
      </c>
      <c r="B43" s="124" t="s">
        <v>132</v>
      </c>
      <c r="C43" s="125">
        <v>0.33900000000000002</v>
      </c>
      <c r="D43" s="125" t="s">
        <v>130</v>
      </c>
      <c r="E43" s="125">
        <v>1.56</v>
      </c>
      <c r="F43" s="126" t="s">
        <v>274</v>
      </c>
      <c r="G43" s="127">
        <v>0.6</v>
      </c>
      <c r="H43" s="125" t="s">
        <v>283</v>
      </c>
      <c r="I43" s="128">
        <v>1.03</v>
      </c>
      <c r="J43" s="92"/>
      <c r="K43" s="92"/>
      <c r="L43" s="92"/>
      <c r="M43" s="92"/>
      <c r="N43" s="92"/>
    </row>
    <row r="44" spans="1:14" x14ac:dyDescent="0.3">
      <c r="A44" s="123" t="s">
        <v>123</v>
      </c>
      <c r="B44" s="124" t="s">
        <v>132</v>
      </c>
      <c r="C44" s="125">
        <v>0.33600000000000002</v>
      </c>
      <c r="D44" s="125" t="s">
        <v>130</v>
      </c>
      <c r="E44" s="125">
        <v>1.56</v>
      </c>
      <c r="F44" s="126" t="s">
        <v>274</v>
      </c>
      <c r="G44" s="127">
        <v>0.6</v>
      </c>
      <c r="H44" s="125" t="s">
        <v>283</v>
      </c>
      <c r="I44" s="128">
        <v>1.03</v>
      </c>
      <c r="J44" s="92"/>
      <c r="K44" s="92"/>
      <c r="L44" s="92"/>
      <c r="M44" s="92"/>
      <c r="N44" s="92"/>
    </row>
    <row r="45" spans="1:14" x14ac:dyDescent="0.3">
      <c r="A45" s="123" t="s">
        <v>110</v>
      </c>
      <c r="B45" s="124" t="s">
        <v>132</v>
      </c>
      <c r="C45" s="125">
        <v>0.32900000000000001</v>
      </c>
      <c r="D45" s="125" t="s">
        <v>130</v>
      </c>
      <c r="E45" s="125">
        <v>1.56</v>
      </c>
      <c r="F45" s="126" t="s">
        <v>274</v>
      </c>
      <c r="G45" s="127">
        <v>0.6</v>
      </c>
      <c r="H45" s="125" t="s">
        <v>283</v>
      </c>
      <c r="I45" s="128">
        <v>1.03</v>
      </c>
      <c r="J45" s="92"/>
      <c r="K45" s="92"/>
      <c r="L45" s="92"/>
      <c r="M45" s="92"/>
      <c r="N45" s="92"/>
    </row>
    <row r="46" spans="1:14" x14ac:dyDescent="0.3">
      <c r="A46" s="123" t="s">
        <v>124</v>
      </c>
      <c r="B46" s="124" t="s">
        <v>132</v>
      </c>
      <c r="C46" s="125">
        <v>0.34300000000000003</v>
      </c>
      <c r="D46" s="125" t="s">
        <v>130</v>
      </c>
      <c r="E46" s="125">
        <v>1.56</v>
      </c>
      <c r="F46" s="126" t="s">
        <v>274</v>
      </c>
      <c r="G46" s="127">
        <v>0.6</v>
      </c>
      <c r="H46" s="125" t="s">
        <v>283</v>
      </c>
      <c r="I46" s="128">
        <v>1.03</v>
      </c>
      <c r="J46" s="92"/>
      <c r="K46" s="92"/>
      <c r="L46" s="92"/>
      <c r="M46" s="92"/>
      <c r="N46" s="92"/>
    </row>
    <row r="47" spans="1:14" x14ac:dyDescent="0.3">
      <c r="A47" s="123" t="s">
        <v>125</v>
      </c>
      <c r="B47" s="124" t="s">
        <v>132</v>
      </c>
      <c r="C47" s="125">
        <v>0.32500000000000001</v>
      </c>
      <c r="D47" s="125" t="s">
        <v>130</v>
      </c>
      <c r="E47" s="125">
        <v>1.56</v>
      </c>
      <c r="F47" s="126" t="s">
        <v>274</v>
      </c>
      <c r="G47" s="127">
        <v>0.6</v>
      </c>
      <c r="H47" s="125" t="s">
        <v>283</v>
      </c>
      <c r="I47" s="128">
        <v>1.03</v>
      </c>
      <c r="J47" s="92"/>
      <c r="K47" s="92"/>
      <c r="L47" s="92"/>
      <c r="M47" s="92"/>
      <c r="N47" s="92"/>
    </row>
    <row r="48" spans="1:14" x14ac:dyDescent="0.3">
      <c r="A48" s="123" t="s">
        <v>126</v>
      </c>
      <c r="B48" s="124" t="s">
        <v>132</v>
      </c>
      <c r="C48" s="125">
        <v>0.32</v>
      </c>
      <c r="D48" s="125" t="s">
        <v>130</v>
      </c>
      <c r="E48" s="125">
        <v>1.56</v>
      </c>
      <c r="F48" s="126" t="s">
        <v>274</v>
      </c>
      <c r="G48" s="127">
        <v>0.6</v>
      </c>
      <c r="H48" s="125" t="s">
        <v>283</v>
      </c>
      <c r="I48" s="128">
        <v>1.03</v>
      </c>
      <c r="J48" s="92"/>
      <c r="K48" s="92"/>
      <c r="L48" s="92"/>
      <c r="M48" s="92"/>
      <c r="N48" s="92"/>
    </row>
    <row r="49" spans="1:14" x14ac:dyDescent="0.3">
      <c r="A49" s="123" t="s">
        <v>111</v>
      </c>
      <c r="B49" s="124" t="s">
        <v>132</v>
      </c>
      <c r="C49" s="125">
        <v>0.28199999999999997</v>
      </c>
      <c r="D49" s="125" t="s">
        <v>130</v>
      </c>
      <c r="E49" s="125">
        <v>1.56</v>
      </c>
      <c r="F49" s="126" t="s">
        <v>274</v>
      </c>
      <c r="G49" s="127">
        <v>0.6</v>
      </c>
      <c r="H49" s="125" t="s">
        <v>283</v>
      </c>
      <c r="I49" s="128">
        <v>1.03</v>
      </c>
      <c r="J49" s="92"/>
      <c r="K49" s="92"/>
      <c r="L49" s="92"/>
      <c r="M49" s="92"/>
      <c r="N49" s="92"/>
    </row>
    <row r="50" spans="1:14" x14ac:dyDescent="0.3">
      <c r="A50" s="123" t="s">
        <v>127</v>
      </c>
      <c r="B50" s="124" t="s">
        <v>132</v>
      </c>
      <c r="C50" s="125">
        <v>0.32800000000000001</v>
      </c>
      <c r="D50" s="125" t="s">
        <v>130</v>
      </c>
      <c r="E50" s="125">
        <v>1.56</v>
      </c>
      <c r="F50" s="126" t="s">
        <v>274</v>
      </c>
      <c r="G50" s="127">
        <v>0.6</v>
      </c>
      <c r="H50" s="125" t="s">
        <v>283</v>
      </c>
      <c r="I50" s="128">
        <v>1.03</v>
      </c>
      <c r="J50" s="92"/>
      <c r="K50" s="92"/>
      <c r="L50" s="92"/>
      <c r="M50" s="92"/>
      <c r="N50" s="92"/>
    </row>
    <row r="51" spans="1:14" x14ac:dyDescent="0.3">
      <c r="A51" s="123" t="s">
        <v>112</v>
      </c>
      <c r="B51" s="124" t="s">
        <v>132</v>
      </c>
      <c r="C51" s="125">
        <v>0.32600000000000001</v>
      </c>
      <c r="D51" s="125" t="s">
        <v>130</v>
      </c>
      <c r="E51" s="125">
        <v>1.56</v>
      </c>
      <c r="F51" s="126" t="s">
        <v>274</v>
      </c>
      <c r="G51" s="127">
        <v>0.6</v>
      </c>
      <c r="H51" s="125" t="s">
        <v>283</v>
      </c>
      <c r="I51" s="128">
        <v>1.03</v>
      </c>
      <c r="J51" s="92"/>
      <c r="K51" s="92"/>
      <c r="L51" s="92"/>
      <c r="M51" s="92"/>
      <c r="N51" s="92"/>
    </row>
    <row r="52" spans="1:14" x14ac:dyDescent="0.3">
      <c r="A52" s="123" t="s">
        <v>113</v>
      </c>
      <c r="B52" s="124" t="s">
        <v>132</v>
      </c>
      <c r="C52" s="125">
        <v>0.35899999999999999</v>
      </c>
      <c r="D52" s="125" t="s">
        <v>130</v>
      </c>
      <c r="E52" s="125">
        <v>1.56</v>
      </c>
      <c r="F52" s="126" t="s">
        <v>274</v>
      </c>
      <c r="G52" s="127">
        <v>0.6</v>
      </c>
      <c r="H52" s="125" t="s">
        <v>283</v>
      </c>
      <c r="I52" s="128">
        <v>1.03</v>
      </c>
      <c r="J52" s="92"/>
      <c r="K52" s="92"/>
      <c r="L52" s="92"/>
      <c r="M52" s="92"/>
      <c r="N52" s="92"/>
    </row>
    <row r="53" spans="1:14" x14ac:dyDescent="0.3">
      <c r="A53" s="123" t="s">
        <v>114</v>
      </c>
      <c r="B53" s="124" t="s">
        <v>132</v>
      </c>
      <c r="C53" s="125">
        <v>0.34599999999999997</v>
      </c>
      <c r="D53" s="125" t="s">
        <v>130</v>
      </c>
      <c r="E53" s="125">
        <v>1.56</v>
      </c>
      <c r="F53" s="126" t="s">
        <v>274</v>
      </c>
      <c r="G53" s="127">
        <v>0.6</v>
      </c>
      <c r="H53" s="125" t="s">
        <v>283</v>
      </c>
      <c r="I53" s="128">
        <v>1.03</v>
      </c>
      <c r="J53" s="92"/>
      <c r="K53" s="92"/>
      <c r="L53" s="92"/>
      <c r="M53" s="92"/>
      <c r="N53" s="92"/>
    </row>
    <row r="54" spans="1:14" x14ac:dyDescent="0.3">
      <c r="A54" s="123" t="s">
        <v>115</v>
      </c>
      <c r="B54" s="124" t="s">
        <v>132</v>
      </c>
      <c r="C54" s="125">
        <v>0.32600000000000001</v>
      </c>
      <c r="D54" s="125" t="s">
        <v>130</v>
      </c>
      <c r="E54" s="125">
        <v>1.56</v>
      </c>
      <c r="F54" s="126" t="s">
        <v>274</v>
      </c>
      <c r="G54" s="127">
        <v>0.6</v>
      </c>
      <c r="H54" s="125" t="s">
        <v>283</v>
      </c>
      <c r="I54" s="128">
        <v>1.03</v>
      </c>
      <c r="J54" s="92"/>
      <c r="K54" s="92"/>
      <c r="L54" s="92"/>
      <c r="M54" s="92"/>
      <c r="N54" s="92"/>
    </row>
    <row r="55" spans="1:14" x14ac:dyDescent="0.3">
      <c r="A55" s="123" t="s">
        <v>116</v>
      </c>
      <c r="B55" s="124" t="s">
        <v>132</v>
      </c>
      <c r="C55" s="125">
        <v>0.30499999999999999</v>
      </c>
      <c r="D55" s="125" t="s">
        <v>130</v>
      </c>
      <c r="E55" s="125">
        <v>1.56</v>
      </c>
      <c r="F55" s="126" t="s">
        <v>274</v>
      </c>
      <c r="G55" s="127">
        <v>0.6</v>
      </c>
      <c r="H55" s="125" t="s">
        <v>283</v>
      </c>
      <c r="I55" s="128">
        <v>1.03</v>
      </c>
      <c r="J55" s="92"/>
      <c r="K55" s="92"/>
      <c r="L55" s="92"/>
      <c r="M55" s="92"/>
      <c r="N55" s="92"/>
    </row>
    <row r="56" spans="1:14" x14ac:dyDescent="0.3">
      <c r="A56" s="123" t="s">
        <v>128</v>
      </c>
      <c r="B56" s="124" t="s">
        <v>132</v>
      </c>
      <c r="C56" s="125">
        <v>0.32300000000000001</v>
      </c>
      <c r="D56" s="125" t="s">
        <v>130</v>
      </c>
      <c r="E56" s="125">
        <v>1.56</v>
      </c>
      <c r="F56" s="126" t="s">
        <v>274</v>
      </c>
      <c r="G56" s="127">
        <v>0.6</v>
      </c>
      <c r="H56" s="125" t="s">
        <v>283</v>
      </c>
      <c r="I56" s="128">
        <v>1.03</v>
      </c>
      <c r="J56" s="92"/>
      <c r="K56" s="92"/>
      <c r="L56" s="92"/>
      <c r="M56" s="92"/>
      <c r="N56" s="92"/>
    </row>
    <row r="57" spans="1:14" x14ac:dyDescent="0.3">
      <c r="A57" s="123" t="s">
        <v>129</v>
      </c>
      <c r="B57" s="124" t="s">
        <v>132</v>
      </c>
      <c r="C57" s="125">
        <v>0.36699999999999999</v>
      </c>
      <c r="D57" s="125" t="s">
        <v>130</v>
      </c>
      <c r="E57" s="125">
        <v>1.56</v>
      </c>
      <c r="F57" s="126" t="s">
        <v>274</v>
      </c>
      <c r="G57" s="127">
        <v>0.6</v>
      </c>
      <c r="H57" s="125" t="s">
        <v>283</v>
      </c>
      <c r="I57" s="128">
        <v>1.03</v>
      </c>
      <c r="J57" s="92"/>
      <c r="K57" s="92"/>
      <c r="L57" s="92"/>
      <c r="M57" s="92"/>
      <c r="N57" s="92"/>
    </row>
    <row r="58" spans="1:14" x14ac:dyDescent="0.3">
      <c r="A58" s="123" t="s">
        <v>117</v>
      </c>
      <c r="B58" s="124" t="s">
        <v>132</v>
      </c>
      <c r="C58" s="125">
        <v>0.36</v>
      </c>
      <c r="D58" s="125" t="s">
        <v>130</v>
      </c>
      <c r="E58" s="125">
        <v>1.56</v>
      </c>
      <c r="F58" s="126" t="s">
        <v>274</v>
      </c>
      <c r="G58" s="127">
        <v>0.6</v>
      </c>
      <c r="H58" s="125" t="s">
        <v>283</v>
      </c>
      <c r="I58" s="128">
        <v>1.03</v>
      </c>
      <c r="J58" s="92"/>
      <c r="K58" s="92"/>
      <c r="L58" s="92"/>
      <c r="M58" s="92"/>
      <c r="N58" s="92"/>
    </row>
    <row r="59" spans="1:14" x14ac:dyDescent="0.3">
      <c r="A59" s="123" t="s">
        <v>118</v>
      </c>
      <c r="B59" s="124" t="s">
        <v>132</v>
      </c>
      <c r="C59" s="125">
        <v>0.36799999999999999</v>
      </c>
      <c r="D59" s="125" t="s">
        <v>130</v>
      </c>
      <c r="E59" s="125">
        <v>1.56</v>
      </c>
      <c r="F59" s="126" t="s">
        <v>274</v>
      </c>
      <c r="G59" s="127">
        <v>0.6</v>
      </c>
      <c r="H59" s="125" t="s">
        <v>283</v>
      </c>
      <c r="I59" s="128">
        <v>1.03</v>
      </c>
      <c r="J59" s="92"/>
      <c r="K59" s="92"/>
      <c r="L59" s="92"/>
      <c r="M59" s="92"/>
      <c r="N59" s="92"/>
    </row>
    <row r="60" spans="1:14" x14ac:dyDescent="0.3">
      <c r="A60" s="123" t="s">
        <v>119</v>
      </c>
      <c r="B60" s="124" t="s">
        <v>132</v>
      </c>
      <c r="C60" s="125">
        <v>0.30599999999999999</v>
      </c>
      <c r="D60" s="125" t="s">
        <v>130</v>
      </c>
      <c r="E60" s="125">
        <v>1.56</v>
      </c>
      <c r="F60" s="126" t="s">
        <v>274</v>
      </c>
      <c r="G60" s="127">
        <v>0.6</v>
      </c>
      <c r="H60" s="125" t="s">
        <v>283</v>
      </c>
      <c r="I60" s="128">
        <v>1.03</v>
      </c>
      <c r="J60" s="92"/>
      <c r="K60" s="92"/>
      <c r="L60" s="92"/>
      <c r="M60" s="92"/>
      <c r="N60" s="92"/>
    </row>
    <row r="61" spans="1:14" x14ac:dyDescent="0.3">
      <c r="A61" s="123" t="s">
        <v>120</v>
      </c>
      <c r="B61" s="124" t="s">
        <v>132</v>
      </c>
      <c r="C61" s="125">
        <v>0.313</v>
      </c>
      <c r="D61" s="125" t="s">
        <v>130</v>
      </c>
      <c r="E61" s="125">
        <v>1.56</v>
      </c>
      <c r="F61" s="126" t="s">
        <v>274</v>
      </c>
      <c r="G61" s="127">
        <v>0.6</v>
      </c>
      <c r="H61" s="125" t="s">
        <v>283</v>
      </c>
      <c r="I61" s="128">
        <v>1.03</v>
      </c>
      <c r="J61" s="92"/>
      <c r="K61" s="92"/>
      <c r="L61" s="92"/>
      <c r="M61" s="92"/>
      <c r="N61" s="92"/>
    </row>
    <row r="62" spans="1:14" x14ac:dyDescent="0.3">
      <c r="A62" s="123" t="s">
        <v>32</v>
      </c>
      <c r="B62" s="124" t="s">
        <v>133</v>
      </c>
      <c r="C62" s="125">
        <v>0.37</v>
      </c>
      <c r="D62" s="125" t="s">
        <v>161</v>
      </c>
      <c r="E62" s="125">
        <v>1.56</v>
      </c>
      <c r="F62" s="126" t="s">
        <v>274</v>
      </c>
      <c r="G62" s="127">
        <v>0.6</v>
      </c>
      <c r="H62" s="125" t="s">
        <v>283</v>
      </c>
      <c r="I62" s="128">
        <v>1.03</v>
      </c>
      <c r="J62" s="92"/>
      <c r="K62" s="92"/>
      <c r="L62" s="92"/>
      <c r="M62" s="92"/>
      <c r="N62" s="92"/>
    </row>
    <row r="63" spans="1:14" x14ac:dyDescent="0.3">
      <c r="A63" s="123" t="s">
        <v>90</v>
      </c>
      <c r="B63" s="124" t="s">
        <v>83</v>
      </c>
      <c r="C63" s="125">
        <v>0.45</v>
      </c>
      <c r="D63" s="125" t="s">
        <v>161</v>
      </c>
      <c r="E63" s="125">
        <v>1.3</v>
      </c>
      <c r="F63" s="126" t="s">
        <v>274</v>
      </c>
      <c r="G63" s="127">
        <v>0.45</v>
      </c>
      <c r="H63" s="125" t="s">
        <v>276</v>
      </c>
      <c r="I63" s="128">
        <v>0.43</v>
      </c>
      <c r="J63" s="92"/>
      <c r="K63" s="92"/>
      <c r="L63" s="92"/>
      <c r="M63" s="92"/>
      <c r="N63" s="92"/>
    </row>
    <row r="64" spans="1:14" x14ac:dyDescent="0.3">
      <c r="A64" s="123" t="s">
        <v>33</v>
      </c>
      <c r="B64" s="124" t="s">
        <v>134</v>
      </c>
      <c r="C64" s="125">
        <v>0.39</v>
      </c>
      <c r="D64" s="125" t="s">
        <v>161</v>
      </c>
      <c r="E64" s="125">
        <v>1.3</v>
      </c>
      <c r="F64" s="126" t="s">
        <v>274</v>
      </c>
      <c r="G64" s="127">
        <v>0.45</v>
      </c>
      <c r="H64" s="125" t="s">
        <v>276</v>
      </c>
      <c r="I64" s="128">
        <v>0.43</v>
      </c>
      <c r="J64" s="92"/>
      <c r="K64" s="92"/>
      <c r="L64" s="92"/>
      <c r="M64" s="92"/>
      <c r="N64" s="92"/>
    </row>
    <row r="65" spans="1:14" x14ac:dyDescent="0.3">
      <c r="A65" s="123" t="s">
        <v>34</v>
      </c>
      <c r="B65" s="124" t="s">
        <v>135</v>
      </c>
      <c r="C65" s="125">
        <v>0.44</v>
      </c>
      <c r="D65" s="125" t="s">
        <v>161</v>
      </c>
      <c r="E65" s="125">
        <v>1.3</v>
      </c>
      <c r="F65" s="126" t="s">
        <v>274</v>
      </c>
      <c r="G65" s="127">
        <v>0.45</v>
      </c>
      <c r="H65" s="125" t="s">
        <v>276</v>
      </c>
      <c r="I65" s="128">
        <v>0.43</v>
      </c>
      <c r="J65" s="92"/>
      <c r="K65" s="92"/>
      <c r="L65" s="92"/>
      <c r="M65" s="92"/>
      <c r="N65" s="92"/>
    </row>
    <row r="66" spans="1:14" x14ac:dyDescent="0.3">
      <c r="A66" s="123" t="s">
        <v>35</v>
      </c>
      <c r="B66" s="124" t="s">
        <v>84</v>
      </c>
      <c r="C66" s="125">
        <v>0.46</v>
      </c>
      <c r="D66" s="125" t="s">
        <v>161</v>
      </c>
      <c r="E66" s="125">
        <v>1.3</v>
      </c>
      <c r="F66" s="126" t="s">
        <v>274</v>
      </c>
      <c r="G66" s="127">
        <v>0.45</v>
      </c>
      <c r="H66" s="125" t="s">
        <v>276</v>
      </c>
      <c r="I66" s="128">
        <v>0.43</v>
      </c>
      <c r="J66" s="92"/>
      <c r="K66" s="92"/>
      <c r="L66" s="92"/>
      <c r="M66" s="92"/>
      <c r="N66" s="92"/>
    </row>
    <row r="67" spans="1:14" x14ac:dyDescent="0.3">
      <c r="A67" s="123" t="s">
        <v>36</v>
      </c>
      <c r="B67" s="124" t="s">
        <v>85</v>
      </c>
      <c r="C67" s="125">
        <v>0.46</v>
      </c>
      <c r="D67" s="125" t="s">
        <v>161</v>
      </c>
      <c r="E67" s="125">
        <v>1.3</v>
      </c>
      <c r="F67" s="126" t="s">
        <v>274</v>
      </c>
      <c r="G67" s="127">
        <v>0.45</v>
      </c>
      <c r="H67" s="125" t="s">
        <v>152</v>
      </c>
      <c r="I67" s="128">
        <v>0.59</v>
      </c>
      <c r="J67" s="92"/>
      <c r="K67" s="92"/>
      <c r="L67" s="92"/>
      <c r="M67" s="92"/>
      <c r="N67" s="92"/>
    </row>
    <row r="68" spans="1:14" x14ac:dyDescent="0.3">
      <c r="A68" s="123" t="s">
        <v>37</v>
      </c>
      <c r="B68" s="124" t="s">
        <v>136</v>
      </c>
      <c r="C68" s="125">
        <v>0.44</v>
      </c>
      <c r="D68" s="125" t="s">
        <v>161</v>
      </c>
      <c r="E68" s="125">
        <v>1.3</v>
      </c>
      <c r="F68" s="126" t="s">
        <v>274</v>
      </c>
      <c r="G68" s="127">
        <v>0.45</v>
      </c>
      <c r="H68" s="125" t="s">
        <v>276</v>
      </c>
      <c r="I68" s="128">
        <v>0.43</v>
      </c>
      <c r="J68" s="92"/>
      <c r="K68" s="92"/>
      <c r="L68" s="92"/>
      <c r="M68" s="92"/>
      <c r="N68" s="92"/>
    </row>
    <row r="69" spans="1:14" x14ac:dyDescent="0.3">
      <c r="A69" s="123" t="s">
        <v>38</v>
      </c>
      <c r="B69" s="124" t="s">
        <v>86</v>
      </c>
      <c r="C69" s="125">
        <v>0.46</v>
      </c>
      <c r="D69" s="125" t="s">
        <v>161</v>
      </c>
      <c r="E69" s="125">
        <v>1.3</v>
      </c>
      <c r="F69" s="126" t="s">
        <v>274</v>
      </c>
      <c r="G69" s="127">
        <v>0.45</v>
      </c>
      <c r="H69" s="125" t="s">
        <v>276</v>
      </c>
      <c r="I69" s="128">
        <v>0.43</v>
      </c>
      <c r="J69" s="92"/>
      <c r="K69" s="92"/>
      <c r="L69" s="92"/>
      <c r="M69" s="92"/>
      <c r="N69" s="92"/>
    </row>
    <row r="70" spans="1:14" x14ac:dyDescent="0.3">
      <c r="A70" s="123" t="s">
        <v>39</v>
      </c>
      <c r="B70" s="124" t="s">
        <v>137</v>
      </c>
      <c r="C70" s="125">
        <v>0.48</v>
      </c>
      <c r="D70" s="125" t="s">
        <v>161</v>
      </c>
      <c r="E70" s="125">
        <v>2.4</v>
      </c>
      <c r="F70" s="125" t="s">
        <v>284</v>
      </c>
      <c r="G70" s="127">
        <v>0.45</v>
      </c>
      <c r="H70" s="125" t="s">
        <v>276</v>
      </c>
      <c r="I70" s="128">
        <v>0.43</v>
      </c>
      <c r="J70" s="92"/>
      <c r="K70" s="92"/>
      <c r="L70" s="92"/>
      <c r="M70" s="92"/>
      <c r="N70" s="92"/>
    </row>
    <row r="71" spans="1:14" x14ac:dyDescent="0.3">
      <c r="A71" s="123" t="s">
        <v>40</v>
      </c>
      <c r="B71" s="124" t="s">
        <v>87</v>
      </c>
      <c r="C71" s="125">
        <v>0.46</v>
      </c>
      <c r="D71" s="125" t="s">
        <v>150</v>
      </c>
      <c r="E71" s="125">
        <v>1.3</v>
      </c>
      <c r="F71" s="126" t="s">
        <v>274</v>
      </c>
      <c r="G71" s="127">
        <v>0.45</v>
      </c>
      <c r="H71" s="125" t="s">
        <v>276</v>
      </c>
      <c r="I71" s="128">
        <v>0.43</v>
      </c>
      <c r="J71" s="92"/>
      <c r="K71" s="92"/>
      <c r="L71" s="92"/>
      <c r="M71" s="92"/>
      <c r="N71" s="92"/>
    </row>
    <row r="72" spans="1:14" x14ac:dyDescent="0.3">
      <c r="A72" s="123" t="s">
        <v>41</v>
      </c>
      <c r="B72" s="124" t="s">
        <v>88</v>
      </c>
      <c r="C72" s="125">
        <v>0.44</v>
      </c>
      <c r="D72" s="125" t="s">
        <v>161</v>
      </c>
      <c r="E72" s="125">
        <v>1.3</v>
      </c>
      <c r="F72" s="126" t="s">
        <v>274</v>
      </c>
      <c r="G72" s="127">
        <v>0.45</v>
      </c>
      <c r="H72" s="125" t="s">
        <v>276</v>
      </c>
      <c r="I72" s="128">
        <v>0.43</v>
      </c>
      <c r="J72" s="92"/>
      <c r="K72" s="92"/>
      <c r="L72" s="92"/>
      <c r="M72" s="92"/>
      <c r="N72" s="92"/>
    </row>
    <row r="73" spans="1:14" x14ac:dyDescent="0.3">
      <c r="A73" s="123" t="s">
        <v>138</v>
      </c>
      <c r="B73" s="124" t="s">
        <v>140</v>
      </c>
      <c r="C73" s="125">
        <v>0.46</v>
      </c>
      <c r="D73" s="125" t="s">
        <v>151</v>
      </c>
      <c r="E73" s="125">
        <v>1.3</v>
      </c>
      <c r="F73" s="126" t="s">
        <v>274</v>
      </c>
      <c r="G73" s="127">
        <v>0.45</v>
      </c>
      <c r="H73" s="125" t="s">
        <v>276</v>
      </c>
      <c r="I73" s="128">
        <v>0.43</v>
      </c>
      <c r="J73" s="92"/>
      <c r="K73" s="92"/>
      <c r="L73" s="92"/>
      <c r="M73" s="92"/>
      <c r="N73" s="92"/>
    </row>
    <row r="74" spans="1:14" x14ac:dyDescent="0.3">
      <c r="A74" s="123" t="s">
        <v>42</v>
      </c>
      <c r="B74" s="124" t="s">
        <v>139</v>
      </c>
      <c r="C74" s="125">
        <v>0.34</v>
      </c>
      <c r="D74" s="125" t="s">
        <v>161</v>
      </c>
      <c r="E74" s="125">
        <v>1.3</v>
      </c>
      <c r="F74" s="126" t="s">
        <v>274</v>
      </c>
      <c r="G74" s="127">
        <v>0.45</v>
      </c>
      <c r="H74" s="125" t="s">
        <v>276</v>
      </c>
      <c r="I74" s="128">
        <v>0.43</v>
      </c>
      <c r="J74" s="92"/>
      <c r="K74" s="92"/>
      <c r="L74" s="92"/>
      <c r="M74" s="92"/>
      <c r="N74" s="92"/>
    </row>
    <row r="75" spans="1:14" x14ac:dyDescent="0.3">
      <c r="A75" s="123" t="s">
        <v>43</v>
      </c>
      <c r="B75" s="124" t="s">
        <v>162</v>
      </c>
      <c r="C75" s="125">
        <v>0.5</v>
      </c>
      <c r="D75" s="125" t="s">
        <v>161</v>
      </c>
      <c r="E75" s="125">
        <v>1.56</v>
      </c>
      <c r="F75" s="126" t="s">
        <v>274</v>
      </c>
      <c r="G75" s="127">
        <v>0.53</v>
      </c>
      <c r="H75" s="125" t="s">
        <v>275</v>
      </c>
      <c r="I75" s="128">
        <v>0.25</v>
      </c>
      <c r="J75" s="92"/>
      <c r="K75" s="92"/>
      <c r="L75" s="92"/>
      <c r="M75" s="92"/>
      <c r="N75" s="92"/>
    </row>
    <row r="76" spans="1:14" x14ac:dyDescent="0.3">
      <c r="A76" s="123" t="s">
        <v>44</v>
      </c>
      <c r="B76" s="124" t="s">
        <v>89</v>
      </c>
      <c r="C76" s="125">
        <v>0.57999999999999996</v>
      </c>
      <c r="D76" s="125" t="s">
        <v>161</v>
      </c>
      <c r="E76" s="125">
        <v>1.56</v>
      </c>
      <c r="F76" s="126" t="s">
        <v>274</v>
      </c>
      <c r="G76" s="127">
        <v>0.3</v>
      </c>
      <c r="H76" s="125" t="s">
        <v>277</v>
      </c>
      <c r="I76" s="128">
        <v>0.25</v>
      </c>
      <c r="J76" s="92"/>
      <c r="K76" s="92"/>
      <c r="L76" s="92"/>
      <c r="M76" s="92"/>
      <c r="N76" s="92"/>
    </row>
    <row r="77" spans="1:14" x14ac:dyDescent="0.3">
      <c r="A77" s="123" t="s">
        <v>47</v>
      </c>
      <c r="B77" s="124" t="s">
        <v>141</v>
      </c>
      <c r="C77" s="125">
        <v>0.37</v>
      </c>
      <c r="D77" s="125" t="s">
        <v>161</v>
      </c>
      <c r="E77" s="125">
        <v>1.3</v>
      </c>
      <c r="F77" s="126" t="s">
        <v>274</v>
      </c>
      <c r="G77" s="127">
        <v>0.55000000000000004</v>
      </c>
      <c r="H77" s="125" t="s">
        <v>152</v>
      </c>
      <c r="I77" s="128">
        <v>0.43</v>
      </c>
      <c r="J77" s="92"/>
      <c r="K77" s="92"/>
      <c r="L77" s="92"/>
      <c r="M77" s="92"/>
      <c r="N77" s="92"/>
    </row>
    <row r="78" spans="1:14" x14ac:dyDescent="0.3">
      <c r="A78" s="123" t="s">
        <v>45</v>
      </c>
      <c r="B78" s="124" t="s">
        <v>96</v>
      </c>
      <c r="C78" s="125">
        <v>0.37</v>
      </c>
      <c r="D78" s="125" t="s">
        <v>161</v>
      </c>
      <c r="E78" s="125">
        <v>1.3</v>
      </c>
      <c r="F78" s="126" t="s">
        <v>274</v>
      </c>
      <c r="G78" s="127">
        <v>0.55000000000000004</v>
      </c>
      <c r="H78" s="125" t="s">
        <v>152</v>
      </c>
      <c r="I78" s="128">
        <v>0.43</v>
      </c>
      <c r="J78" s="92"/>
      <c r="K78" s="92"/>
      <c r="L78" s="92"/>
      <c r="M78" s="92"/>
      <c r="N78" s="92"/>
    </row>
    <row r="79" spans="1:14" x14ac:dyDescent="0.3">
      <c r="A79" s="123" t="s">
        <v>46</v>
      </c>
      <c r="B79" s="124" t="s">
        <v>95</v>
      </c>
      <c r="C79" s="125">
        <v>0.38</v>
      </c>
      <c r="D79" s="125" t="s">
        <v>161</v>
      </c>
      <c r="E79" s="125">
        <v>1.3</v>
      </c>
      <c r="F79" s="126" t="s">
        <v>274</v>
      </c>
      <c r="G79" s="127">
        <v>0.55000000000000004</v>
      </c>
      <c r="H79" s="125" t="s">
        <v>153</v>
      </c>
      <c r="I79" s="128">
        <v>0.43</v>
      </c>
      <c r="J79" s="92"/>
      <c r="K79" s="92"/>
      <c r="L79" s="92"/>
      <c r="M79" s="92"/>
      <c r="N79" s="92"/>
    </row>
    <row r="80" spans="1:14" x14ac:dyDescent="0.3">
      <c r="A80" s="123" t="s">
        <v>48</v>
      </c>
      <c r="B80" s="124" t="s">
        <v>94</v>
      </c>
      <c r="C80" s="125">
        <v>0.36</v>
      </c>
      <c r="D80" s="125" t="s">
        <v>161</v>
      </c>
      <c r="E80" s="125">
        <v>1.3</v>
      </c>
      <c r="F80" s="126" t="s">
        <v>274</v>
      </c>
      <c r="G80" s="127">
        <v>0.55000000000000004</v>
      </c>
      <c r="H80" s="125" t="s">
        <v>153</v>
      </c>
      <c r="I80" s="128">
        <v>0.43</v>
      </c>
      <c r="J80" s="92"/>
      <c r="K80" s="92"/>
      <c r="L80" s="92"/>
      <c r="M80" s="92"/>
      <c r="N80" s="92"/>
    </row>
    <row r="81" spans="1:14" x14ac:dyDescent="0.3">
      <c r="A81" s="123" t="s">
        <v>49</v>
      </c>
      <c r="B81" s="124" t="s">
        <v>142</v>
      </c>
      <c r="C81" s="125">
        <v>0.37</v>
      </c>
      <c r="D81" s="125" t="s">
        <v>161</v>
      </c>
      <c r="E81" s="125">
        <v>1.56</v>
      </c>
      <c r="F81" s="126" t="s">
        <v>274</v>
      </c>
      <c r="G81" s="127">
        <v>0.43</v>
      </c>
      <c r="H81" s="125" t="s">
        <v>278</v>
      </c>
      <c r="I81" s="128">
        <v>0.25</v>
      </c>
      <c r="J81" s="92"/>
      <c r="K81" s="92"/>
      <c r="L81" s="92"/>
      <c r="M81" s="92"/>
      <c r="N81" s="92"/>
    </row>
    <row r="82" spans="1:14" x14ac:dyDescent="0.3">
      <c r="A82" s="123" t="s">
        <v>158</v>
      </c>
      <c r="B82" s="124" t="s">
        <v>159</v>
      </c>
      <c r="C82" s="125">
        <v>0.35</v>
      </c>
      <c r="D82" s="125" t="s">
        <v>160</v>
      </c>
      <c r="E82" s="125">
        <v>1.3</v>
      </c>
      <c r="F82" s="126" t="s">
        <v>274</v>
      </c>
      <c r="G82" s="127">
        <v>0.55000000000000004</v>
      </c>
      <c r="H82" s="125" t="s">
        <v>153</v>
      </c>
      <c r="I82" s="128">
        <v>0.43</v>
      </c>
      <c r="J82" s="92"/>
      <c r="K82" s="92"/>
      <c r="L82" s="92"/>
      <c r="M82" s="92"/>
      <c r="N82" s="92"/>
    </row>
    <row r="83" spans="1:14" x14ac:dyDescent="0.3">
      <c r="A83" s="123" t="s">
        <v>156</v>
      </c>
      <c r="B83" s="124" t="s">
        <v>157</v>
      </c>
      <c r="C83" s="125">
        <v>0.34</v>
      </c>
      <c r="D83" s="125" t="s">
        <v>161</v>
      </c>
      <c r="E83" s="125">
        <v>1.3</v>
      </c>
      <c r="F83" s="126" t="s">
        <v>274</v>
      </c>
      <c r="G83" s="127">
        <v>0.55000000000000004</v>
      </c>
      <c r="H83" s="125" t="s">
        <v>153</v>
      </c>
      <c r="I83" s="128">
        <v>0.43</v>
      </c>
      <c r="J83" s="92"/>
      <c r="K83" s="92"/>
      <c r="L83" s="92"/>
      <c r="M83" s="92"/>
      <c r="N83" s="92"/>
    </row>
    <row r="84" spans="1:14" x14ac:dyDescent="0.3">
      <c r="A84" s="123" t="s">
        <v>92</v>
      </c>
      <c r="B84" s="124" t="s">
        <v>93</v>
      </c>
      <c r="C84" s="125">
        <v>0.31</v>
      </c>
      <c r="D84" s="125" t="s">
        <v>161</v>
      </c>
      <c r="E84" s="125">
        <v>1.3</v>
      </c>
      <c r="F84" s="126" t="s">
        <v>274</v>
      </c>
      <c r="G84" s="127">
        <v>0.55000000000000004</v>
      </c>
      <c r="H84" s="125" t="s">
        <v>153</v>
      </c>
      <c r="I84" s="128">
        <v>0.43</v>
      </c>
      <c r="J84" s="92"/>
      <c r="K84" s="92"/>
      <c r="L84" s="92"/>
      <c r="M84" s="92"/>
      <c r="N84" s="92"/>
    </row>
    <row r="85" spans="1:14" x14ac:dyDescent="0.3">
      <c r="A85" s="123" t="s">
        <v>50</v>
      </c>
      <c r="B85" s="124" t="s">
        <v>143</v>
      </c>
      <c r="C85" s="125">
        <v>0.43</v>
      </c>
      <c r="D85" s="125" t="s">
        <v>161</v>
      </c>
      <c r="E85" s="125">
        <v>1.56</v>
      </c>
      <c r="F85" s="126" t="s">
        <v>274</v>
      </c>
      <c r="G85" s="127">
        <v>0.53</v>
      </c>
      <c r="H85" s="125" t="s">
        <v>275</v>
      </c>
      <c r="I85" s="128">
        <v>0.25</v>
      </c>
      <c r="J85" s="92"/>
      <c r="K85" s="92"/>
      <c r="L85" s="92"/>
      <c r="M85" s="92"/>
      <c r="N85" s="92"/>
    </row>
    <row r="86" spans="1:14" x14ac:dyDescent="0.3">
      <c r="A86" s="123" t="s">
        <v>51</v>
      </c>
      <c r="B86" s="124" t="s">
        <v>91</v>
      </c>
      <c r="C86" s="125">
        <v>0.38</v>
      </c>
      <c r="D86" s="125" t="s">
        <v>161</v>
      </c>
      <c r="E86" s="125">
        <v>1.56</v>
      </c>
      <c r="F86" s="126" t="s">
        <v>274</v>
      </c>
      <c r="G86" s="127">
        <v>0.6</v>
      </c>
      <c r="H86" s="125" t="s">
        <v>279</v>
      </c>
      <c r="I86" s="128">
        <v>0.25</v>
      </c>
      <c r="J86" s="92"/>
      <c r="K86" s="92"/>
      <c r="L86" s="92"/>
      <c r="M86" s="92"/>
      <c r="N86" s="92"/>
    </row>
    <row r="87" spans="1:14" x14ac:dyDescent="0.3">
      <c r="A87" s="277" t="s">
        <v>321</v>
      </c>
      <c r="B87" s="278" t="s">
        <v>322</v>
      </c>
      <c r="C87" s="279">
        <v>0.41</v>
      </c>
      <c r="D87" s="279" t="s">
        <v>323</v>
      </c>
      <c r="E87" s="279">
        <v>1.56</v>
      </c>
      <c r="F87" s="280" t="s">
        <v>274</v>
      </c>
      <c r="G87" s="281">
        <v>0.43</v>
      </c>
      <c r="H87" s="279" t="s">
        <v>278</v>
      </c>
      <c r="I87" s="282">
        <v>0.25</v>
      </c>
      <c r="J87" s="92"/>
      <c r="K87" s="92"/>
      <c r="L87" s="92"/>
      <c r="M87" s="92"/>
      <c r="N87" s="92"/>
    </row>
    <row r="88" spans="1:14" x14ac:dyDescent="0.3">
      <c r="A88" s="123" t="s">
        <v>148</v>
      </c>
      <c r="B88" s="131"/>
      <c r="C88" s="125">
        <v>0.42</v>
      </c>
      <c r="D88" s="125" t="s">
        <v>161</v>
      </c>
      <c r="E88" s="125">
        <v>1.3</v>
      </c>
      <c r="F88" s="126" t="s">
        <v>274</v>
      </c>
      <c r="G88" s="132"/>
      <c r="H88" s="131"/>
      <c r="I88" s="133"/>
    </row>
    <row r="89" spans="1:14" ht="15" thickBot="1" x14ac:dyDescent="0.35">
      <c r="A89" s="134" t="s">
        <v>149</v>
      </c>
      <c r="B89" s="135"/>
      <c r="C89" s="136">
        <v>0.56999999999999995</v>
      </c>
      <c r="D89" s="137" t="s">
        <v>161</v>
      </c>
      <c r="E89" s="136">
        <v>1.56</v>
      </c>
      <c r="F89" s="136" t="s">
        <v>274</v>
      </c>
      <c r="G89" s="135"/>
      <c r="H89" s="135"/>
      <c r="I89" s="138"/>
    </row>
    <row r="93" spans="1:14" x14ac:dyDescent="0.3">
      <c r="A93" s="123" t="s">
        <v>208</v>
      </c>
    </row>
    <row r="94" spans="1:14" x14ac:dyDescent="0.3">
      <c r="A94" s="123" t="s">
        <v>209</v>
      </c>
    </row>
    <row r="95" spans="1:14" x14ac:dyDescent="0.3">
      <c r="A95" s="123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4" zoomScale="130" zoomScaleNormal="130" workbookViewId="0">
      <selection activeCell="L16" activeCellId="7" sqref="G5 G16 I5 I16 K5 K16 L5 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1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4"/>
      <c r="J1" s="64"/>
      <c r="K1" s="64"/>
      <c r="L1" s="64"/>
      <c r="M1" s="6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0" t="s">
        <v>271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2"/>
      <c r="J3" s="222"/>
      <c r="K3" s="222"/>
      <c r="L3" s="222"/>
      <c r="M3" s="222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2"/>
      <c r="J4" s="222"/>
      <c r="K4" s="222"/>
      <c r="L4" s="222"/>
      <c r="M4" s="222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39" t="s">
        <v>207</v>
      </c>
      <c r="B5" s="140" t="s">
        <v>250</v>
      </c>
      <c r="C5" s="141" t="str">
        <f>Calculateur!S2</f>
        <v>ΔStock moyen de long terme (tCO₂/ha)</v>
      </c>
      <c r="D5" s="141" t="str">
        <f>Calculateur!T2</f>
        <v>Δstock CO₂ 30 ans (tCO₂/ha)</v>
      </c>
      <c r="E5" s="141" t="s">
        <v>228</v>
      </c>
      <c r="F5" s="141" t="s">
        <v>239</v>
      </c>
      <c r="G5" s="141" t="s">
        <v>240</v>
      </c>
      <c r="H5" s="142" t="s">
        <v>241</v>
      </c>
      <c r="I5" s="143" t="s">
        <v>242</v>
      </c>
      <c r="J5" s="144" t="s">
        <v>243</v>
      </c>
      <c r="K5" s="145" t="s">
        <v>244</v>
      </c>
      <c r="L5" s="83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46" t="str">
        <f>IF('Données projet'!$B$9="","",'Données projet'!$B$9)</f>
        <v>Chêne pubescent</v>
      </c>
      <c r="B6" s="147">
        <f>'Données projet'!D9</f>
        <v>1.1564000000000001</v>
      </c>
      <c r="C6" s="148">
        <f ca="1">IF(OR('Données projet'!B9="",'Données projet'!C9="",'Données projet'!C9=0%),0,Calculateur!S3)</f>
        <v>483.15009705023641</v>
      </c>
      <c r="D6" s="148">
        <f>IF(OR('Données projet'!B9="",'Données projet'!C9="",'Données projet'!C9=0%),0,Calculateur!T3)</f>
        <v>254.25036207346591</v>
      </c>
      <c r="E6" s="148">
        <f ca="1">MIN(C6,D6)</f>
        <v>254.25036207346591</v>
      </c>
      <c r="F6" s="148">
        <f ca="1">E6*B6</f>
        <v>294.01511870175602</v>
      </c>
      <c r="G6" s="148">
        <f ca="1">F6*(100%-'Données projet'!$C$24)*(100%-'Données projet'!$C$25)*(100%-'Données projet'!$C$26)*(100%-'Données projet'!$C$27)</f>
        <v>251.38292649000141</v>
      </c>
      <c r="H6" s="149">
        <f>IF(OR('Données projet'!B9="",'Données projet'!C9="",'Données projet'!C9=0%),0,AVERAGE(Calculateur!$AC$3:$AC$33)*B6)</f>
        <v>0</v>
      </c>
      <c r="I6" s="150">
        <f>H6*(100%-'Données projet'!$C$24)*(100%-'Données projet'!$C$25)*(100%-'Données projet'!$C$26)*(100%-'Données projet'!$C$27)</f>
        <v>0</v>
      </c>
      <c r="J6" s="151">
        <f>IF(OR('Données projet'!B9="",'Données projet'!C9="",'Données projet'!C9=0%),0,SUM(Calculateur!$V$3:$V$33)*VLOOKUP('Données projet'!$B$9,Paramètres!$A$1:$I$89,9,0)*B6)</f>
        <v>2.3128000000000002</v>
      </c>
      <c r="K6" s="152">
        <f>J6*(100%-'Données projet'!$C$24)*(100%-'Données projet'!$C$25)*(100%-'Données projet'!$C$26)*(100%-'Données projet'!$C$27)</f>
        <v>1.9774440000000002</v>
      </c>
      <c r="L6" s="153">
        <f ca="1">G6+I6+K6</f>
        <v>253.3603704900014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4" t="str">
        <f>IF('Données projet'!$B$10="","",'Données projet'!$B$10)</f>
        <v>Chêne sessile</v>
      </c>
      <c r="B7" s="155">
        <f>'Données projet'!D10</f>
        <v>1.4258999999999999</v>
      </c>
      <c r="C7" s="148">
        <f ca="1">IF(OR('Données projet'!B10="",'Données projet'!C10="",'Données projet'!C10=0%),0,Calculateur!AN3)</f>
        <v>435.7095890216213</v>
      </c>
      <c r="D7" s="148">
        <f>IF(OR('Données projet'!B10="",'Données projet'!C10="",'Données projet'!C10=0%),0,Calculateur!AO3)</f>
        <v>231.36959598460686</v>
      </c>
      <c r="E7" s="148">
        <f t="shared" ref="E7:E15" ca="1" si="0">MIN(C7,D7)</f>
        <v>231.36959598460686</v>
      </c>
      <c r="F7" s="148">
        <f t="shared" ref="F7:F15" ca="1" si="1">E7*B7</f>
        <v>329.90990691445091</v>
      </c>
      <c r="G7" s="148">
        <f ca="1">F7*(100%-'Données projet'!$C$24)*(100%-'Données projet'!$C$25)*(100%-'Données projet'!$C$26)*(100%-'Données projet'!$C$27)</f>
        <v>282.07297041185552</v>
      </c>
      <c r="H7" s="156">
        <f>IF(OR('Données projet'!B10="",'Données projet'!C10="",'Données projet'!C10=0%),0,AVERAGE(Calculateur!$AX$3:$AX$33)*B7)</f>
        <v>0</v>
      </c>
      <c r="I7" s="150">
        <f>H7*(100%-'Données projet'!$C$24)*(100%-'Données projet'!$C$25)*(100%-'Données projet'!$C$26)*(100%-'Données projet'!$C$27)</f>
        <v>0</v>
      </c>
      <c r="J7" s="151">
        <f>IF(OR('Données projet'!B10="",'Données projet'!C10="",'Données projet'!C10=0%),0,SUM(Calculateur!$AQ$3:$AQ$33)*VLOOKUP('Données projet'!$B$10,Paramètres!$A$1:$I$89,9,0)*B7)</f>
        <v>2.8517999999999999</v>
      </c>
      <c r="K7" s="152">
        <f>J7*(100%-'Données projet'!$C$24)*(100%-'Données projet'!$C$25)*(100%-'Données projet'!$C$26)*(100%-'Données projet'!$C$27)</f>
        <v>2.4382889999999997</v>
      </c>
      <c r="L7" s="153">
        <f t="shared" ref="L7:L15" ca="1" si="2">G7+I7+K7</f>
        <v>284.51125941185552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4" t="str">
        <f>IF('Données projet'!$B$11="","",'Données projet'!$B$11)</f>
        <v>Chêne rouge d'Amérique</v>
      </c>
      <c r="B8" s="155">
        <f>'Données projet'!D11</f>
        <v>0.42630000000000001</v>
      </c>
      <c r="C8" s="148">
        <f ca="1">IF(OR('Données projet'!B11="",'Données projet'!C11="",'Données projet'!C11=0%),0,Calculateur!BI3)</f>
        <v>218.76424742311815</v>
      </c>
      <c r="D8" s="148">
        <f>IF(OR('Données projet'!B11="",'Données projet'!C11="",'Données projet'!C11=0%),0,Calculateur!BJ3)</f>
        <v>264.34598683038593</v>
      </c>
      <c r="E8" s="148">
        <f t="shared" ca="1" si="0"/>
        <v>218.76424742311815</v>
      </c>
      <c r="F8" s="148">
        <f t="shared" ca="1" si="1"/>
        <v>93.259198676475265</v>
      </c>
      <c r="G8" s="148">
        <f ca="1">F8*(100%-'Données projet'!$C$24)*(100%-'Données projet'!$C$25)*(100%-'Données projet'!$C$26)*(100%-'Données projet'!$C$27)</f>
        <v>79.73661486838634</v>
      </c>
      <c r="H8" s="156">
        <f>IF(OR('Données projet'!B11="",'Données projet'!C11="",'Données projet'!C11=0%),0,AVERAGE(Calculateur!$BS$3:$BS$33)*B8)</f>
        <v>0.24413021185602687</v>
      </c>
      <c r="I8" s="150">
        <f>H8*(100%-'Données projet'!$C$24)*(100%-'Données projet'!$C$25)*(100%-'Données projet'!$C$26)*(100%-'Données projet'!$C$27)</f>
        <v>0.20873133113690298</v>
      </c>
      <c r="J8" s="151">
        <f>IF(OR('Données projet'!B11="",'Données projet'!C11="",'Données projet'!C11=0%),0,SUM(Calculateur!$BL$3:$BL$33)*VLOOKUP('Données projet'!$B$11,Paramètres!$A$1:$I$89,9,0)*B8)</f>
        <v>10.384230769230768</v>
      </c>
      <c r="K8" s="152">
        <f>J8*(100%-'Données projet'!$C$24)*(100%-'Données projet'!$C$25)*(100%-'Données projet'!$C$26)*(100%-'Données projet'!$C$27)</f>
        <v>8.8785173076923076</v>
      </c>
      <c r="L8" s="153">
        <f t="shared" ca="1" si="2"/>
        <v>88.823863507215549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4" t="str">
        <f>IF('Données projet'!$B$12="","",'Données projet'!$B$12)</f>
        <v>Alisier torminal</v>
      </c>
      <c r="B9" s="155">
        <f>'Données projet'!D12</f>
        <v>0.26950000000000002</v>
      </c>
      <c r="C9" s="148">
        <f ca="1">IF(OR('Données projet'!B12="",'Données projet'!C12="",'Données projet'!C12=0%),0,Calculateur!CD3)</f>
        <v>343.86347628565426</v>
      </c>
      <c r="D9" s="148">
        <f>IF(OR('Données projet'!B12="",'Données projet'!C12="",'Données projet'!C12=0%),0,Calculateur!CE3)</f>
        <v>129.28196646107097</v>
      </c>
      <c r="E9" s="148">
        <f t="shared" ca="1" si="0"/>
        <v>129.28196646107097</v>
      </c>
      <c r="F9" s="148">
        <f t="shared" ca="1" si="1"/>
        <v>34.841489961258624</v>
      </c>
      <c r="G9" s="148">
        <f ca="1">F9*(100%-'Données projet'!$C$24)*(100%-'Données projet'!$C$25)*(100%-'Données projet'!$C$26)*(100%-'Données projet'!$C$27)</f>
        <v>29.789473916876123</v>
      </c>
      <c r="H9" s="156">
        <f>IF(OR('Données projet'!B12="",'Données projet'!C12="",'Données projet'!C12=0%),0,AVERAGE(Calculateur!$CN$3:$CN$33)*B9)</f>
        <v>0</v>
      </c>
      <c r="I9" s="150">
        <f>H9*(100%-'Données projet'!$C$24)*(100%-'Données projet'!$C$25)*(100%-'Données projet'!$C$26)*(100%-'Données projet'!$C$27)</f>
        <v>0</v>
      </c>
      <c r="J9" s="151">
        <f>IF(OR('Données projet'!B12="",'Données projet'!C12="",'Données projet'!C12=0%),0,SUM(Calculateur!$CG$3:$CG$33)*VLOOKUP('Données projet'!$B$12,Paramètres!$A$1:$I$89,9,0)*B9)</f>
        <v>0</v>
      </c>
      <c r="K9" s="152">
        <f>J9*(100%-'Données projet'!$C$24)*(100%-'Données projet'!$C$25)*(100%-'Données projet'!$C$26)*(100%-'Données projet'!$C$27)</f>
        <v>0</v>
      </c>
      <c r="L9" s="153">
        <f t="shared" ca="1" si="2"/>
        <v>29.789473916876123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4" t="str">
        <f>IF('Données projet'!$B$13="","",'Données projet'!$B$13)</f>
        <v/>
      </c>
      <c r="B10" s="155">
        <f>'Données projet'!D13</f>
        <v>0</v>
      </c>
      <c r="C10" s="148">
        <f>IF(OR('Données projet'!B13="",'Données projet'!C13="",'Données projet'!C13=0%),0,Calculateur!CY3)</f>
        <v>0</v>
      </c>
      <c r="D10" s="148">
        <f>IF(OR('Données projet'!B13="",'Données projet'!C13="",'Données projet'!C13=0%),0,Calculateur!CZ3)</f>
        <v>0</v>
      </c>
      <c r="E10" s="148">
        <f t="shared" si="0"/>
        <v>0</v>
      </c>
      <c r="F10" s="148">
        <f t="shared" si="1"/>
        <v>0</v>
      </c>
      <c r="G10" s="148">
        <f>F10*(100%-'Données projet'!$C$24)*(100%-'Données projet'!$C$25)*(100%-'Données projet'!$C$26)*(100%-'Données projet'!$C$27)</f>
        <v>0</v>
      </c>
      <c r="H10" s="156">
        <f>IF(OR('Données projet'!B13="",'Données projet'!C13="",'Données projet'!C13=0%),0,AVERAGE(Calculateur!$DI$3:$DI$33)*B10)</f>
        <v>0</v>
      </c>
      <c r="I10" s="150">
        <f>H10*(100%-'Données projet'!$C$24)*(100%-'Données projet'!$C$25)*(100%-'Données projet'!$C$26)*(100%-'Données projet'!$C$27)</f>
        <v>0</v>
      </c>
      <c r="J10" s="151">
        <f>IF(OR('Données projet'!B13="",'Données projet'!C13="",'Données projet'!C13=0%),0,SUM(Calculateur!$DB$3:$DB$33)*VLOOKUP('Données projet'!$B$13,Paramètres!$A$1:$I$89,9,0)*B10)</f>
        <v>0</v>
      </c>
      <c r="K10" s="152">
        <f>J10*(100%-'Données projet'!$C$24)*(100%-'Données projet'!$C$25)*(100%-'Données projet'!$C$26)*(100%-'Données projet'!$C$27)</f>
        <v>0</v>
      </c>
      <c r="L10" s="153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4" t="str">
        <f>IF('Données projet'!$B$14="","",'Données projet'!$B$14)</f>
        <v>Charme</v>
      </c>
      <c r="B11" s="155">
        <f>'Données projet'!D14</f>
        <v>0.74480000000000002</v>
      </c>
      <c r="C11" s="148">
        <f ca="1">IF(OR('Données projet'!B14="",'Données projet'!C14="",'Données projet'!C14=0%),0,Calculateur!DT3)</f>
        <v>332.49889399440514</v>
      </c>
      <c r="D11" s="148">
        <f>IF(OR('Données projet'!B14="",'Données projet'!C14="",'Données projet'!C14=0%),0,Calculateur!DU3)</f>
        <v>256.06044006790529</v>
      </c>
      <c r="E11" s="148">
        <f t="shared" ca="1" si="0"/>
        <v>256.06044006790529</v>
      </c>
      <c r="F11" s="148">
        <f t="shared" ca="1" si="1"/>
        <v>190.71381576257588</v>
      </c>
      <c r="G11" s="148">
        <f ca="1">F11*(100%-'Données projet'!$C$24)*(100%-'Données projet'!$C$25)*(100%-'Données projet'!$C$26)*(100%-'Données projet'!$C$27)</f>
        <v>163.06031247700238</v>
      </c>
      <c r="H11" s="156">
        <f>IF(OR('Données projet'!B14="",'Données projet'!C14="",'Données projet'!C14=0%),0,AVERAGE(Calculateur!$ED$3:$ED$33)*B11)</f>
        <v>0</v>
      </c>
      <c r="I11" s="150">
        <f>H11*(100%-'Données projet'!$C$24)*(100%-'Données projet'!$C$25)*(100%-'Données projet'!$C$26)*(100%-'Données projet'!$C$27)</f>
        <v>0</v>
      </c>
      <c r="J11" s="151">
        <f>IF(OR('Données projet'!B14="",'Données projet'!C14="",'Données projet'!C14=0%),0,SUM(Calculateur!$DW$3:$DW$33)*VLOOKUP('Données projet'!$B$14,Paramètres!$A$1:$I$89,9,0)*B11)</f>
        <v>7.400256410256409</v>
      </c>
      <c r="K11" s="152">
        <f>J11*(100%-'Données projet'!$C$24)*(100%-'Données projet'!$C$25)*(100%-'Données projet'!$C$26)*(100%-'Données projet'!$C$27)</f>
        <v>6.3272192307692299</v>
      </c>
      <c r="L11" s="153">
        <f t="shared" ca="1" si="2"/>
        <v>169.38753170777161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4" t="str">
        <f>IF('Données projet'!$B$15="","",'Données projet'!$B$15)</f>
        <v>Chêne chevelu</v>
      </c>
      <c r="B12" s="155">
        <f>'Données projet'!D15</f>
        <v>8.3300000000000013E-2</v>
      </c>
      <c r="C12" s="148">
        <f ca="1">IF(OR('Données projet'!B15="",'Données projet'!C15="",'Données projet'!C15=0%),0,Calculateur!EO3)</f>
        <v>596.00698505207174</v>
      </c>
      <c r="D12" s="148">
        <f>IF(OR('Données projet'!B15="",'Données projet'!C15="",'Données projet'!C15=0%),0,Calculateur!EP3)</f>
        <v>378.16197659288338</v>
      </c>
      <c r="E12" s="148">
        <f t="shared" ca="1" si="0"/>
        <v>378.16197659288338</v>
      </c>
      <c r="F12" s="148">
        <f t="shared" ca="1" si="1"/>
        <v>31.50089265018719</v>
      </c>
      <c r="G12" s="148">
        <f ca="1">F12*(100%-'Données projet'!$C$24)*(100%-'Données projet'!$C$25)*(100%-'Données projet'!$C$26)*(100%-'Données projet'!$C$27)</f>
        <v>26.933263215910046</v>
      </c>
      <c r="H12" s="156">
        <f>IF(OR('Données projet'!B15="",'Données projet'!C15="",'Données projet'!C15=0%),0,AVERAGE(Calculateur!$EY$3:$EY$33)*B12)</f>
        <v>0</v>
      </c>
      <c r="I12" s="150">
        <f>H12*(100%-'Données projet'!$C$24)*(100%-'Données projet'!$C$25)*(100%-'Données projet'!$C$26)*(100%-'Données projet'!$C$27)</f>
        <v>0</v>
      </c>
      <c r="J12" s="151">
        <f>IF(OR('Données projet'!B15="",'Données projet'!C15="",'Données projet'!C15=0%),0,SUM(Calculateur!$ER$3:$ER$33)*VLOOKUP('Données projet'!$B$15,Paramètres!$A$1:$I$89,9,0)*B12)</f>
        <v>0.7342147435897437</v>
      </c>
      <c r="K12" s="152">
        <f>J12*(100%-'Données projet'!$C$24)*(100%-'Données projet'!$C$25)*(100%-'Données projet'!$C$26)*(100%-'Données projet'!$C$27)</f>
        <v>0.62775360576923078</v>
      </c>
      <c r="L12" s="153">
        <f t="shared" ca="1" si="2"/>
        <v>27.561016821679278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4" t="str">
        <f>IF('Données projet'!$B$16="","",'Données projet'!$B$16)</f>
        <v>Cèdre de l'Atlas</v>
      </c>
      <c r="B13" s="155">
        <f>'Données projet'!D16</f>
        <v>0.2646</v>
      </c>
      <c r="C13" s="148">
        <f ca="1">IF(OR('Données projet'!B16="",'Données projet'!C16="",'Données projet'!C16=0%),0,Calculateur!FJ3)</f>
        <v>294.31042006404056</v>
      </c>
      <c r="D13" s="148">
        <f>IF(OR('Données projet'!B16="",'Données projet'!C16="",'Données projet'!C16=0%),0,Calculateur!FK3)</f>
        <v>260.93767498478502</v>
      </c>
      <c r="E13" s="148">
        <f t="shared" ca="1" si="0"/>
        <v>260.93767498478502</v>
      </c>
      <c r="F13" s="148">
        <f t="shared" ca="1" si="1"/>
        <v>69.044108800974115</v>
      </c>
      <c r="G13" s="148">
        <f ca="1">F13*(100%-'Données projet'!$C$24)*(100%-'Données projet'!$C$25)*(100%-'Données projet'!$C$26)*(100%-'Données projet'!$C$27)</f>
        <v>59.032713024832866</v>
      </c>
      <c r="H13" s="156">
        <f>IF(OR('Données projet'!B16="",'Données projet'!C16="",'Données projet'!C16=0%),0,AVERAGE(Calculateur!$FT$3:$FT$33)*B13)</f>
        <v>0</v>
      </c>
      <c r="I13" s="150">
        <f>H13*(100%-'Données projet'!$C$24)*(100%-'Données projet'!$C$25)*(100%-'Données projet'!$C$26)*(100%-'Données projet'!$C$27)</f>
        <v>0</v>
      </c>
      <c r="J13" s="151">
        <f>IF(OR('Données projet'!C16="",'Données projet'!C16=0%),0,SUM(Calculateur!$FM$3:$FM$33)*VLOOKUP('Données projet'!$B$16,Paramètres!$A$1:$I$89,9,0)*B13)</f>
        <v>0</v>
      </c>
      <c r="K13" s="152">
        <f>J13*(100%-'Données projet'!$C$24)*(100%-'Données projet'!$C$25)*(100%-'Données projet'!$C$26)*(100%-'Données projet'!$C$27)</f>
        <v>0</v>
      </c>
      <c r="L13" s="153">
        <f t="shared" ca="1" si="2"/>
        <v>59.032713024832866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4" t="str">
        <f>IF('Données projet'!$B$17="","",'Données projet'!$B$17)</f>
        <v>Tilleul</v>
      </c>
      <c r="B14" s="155">
        <f>'Données projet'!D17</f>
        <v>0.12740000000000001</v>
      </c>
      <c r="C14" s="148">
        <f ca="1">IF(OR('Données projet'!B17="",'Données projet'!C17="",'Données projet'!C17=0%),0,Calculateur!GE3)</f>
        <v>362.1372269575329</v>
      </c>
      <c r="D14" s="148">
        <f>IF(OR('Données projet'!B17="",'Données projet'!C17="",'Données projet'!C17=0%),0,Calculateur!GF3)</f>
        <v>308.1559670593121</v>
      </c>
      <c r="E14" s="148">
        <f t="shared" ca="1" si="0"/>
        <v>308.1559670593121</v>
      </c>
      <c r="F14" s="148">
        <f t="shared" ca="1" si="1"/>
        <v>39.259070203356366</v>
      </c>
      <c r="G14" s="148">
        <f ca="1">F14*(100%-'Données projet'!$C$24)*(100%-'Données projet'!$C$25)*(100%-'Données projet'!$C$26)*(100%-'Données projet'!$C$27)</f>
        <v>33.566505023869695</v>
      </c>
      <c r="H14" s="156">
        <f>IF(OR('Données projet'!B17="",'Données projet'!C17="",'Données projet'!C17=0%),0,AVERAGE(Calculateur!$GO$3:$GO$33)*B14)</f>
        <v>0</v>
      </c>
      <c r="I14" s="150">
        <f>H14*(100%-'Données projet'!$C$24)*(100%-'Données projet'!$C$25)*(100%-'Données projet'!$C$26)*(100%-'Données projet'!$C$27)</f>
        <v>0</v>
      </c>
      <c r="J14" s="151">
        <f>IF(OR('Données projet'!B17="",'Données projet'!C17="",'Données projet'!C17=0%),0,SUM(Calculateur!$GH$3:$GH$33)*VLOOKUP('Données projet'!$B$17,Paramètres!$A$1:$I$89,9,0)*B14)</f>
        <v>2.4908333333333337</v>
      </c>
      <c r="K14" s="152">
        <f>J14*(100%-'Données projet'!$C$24)*(100%-'Données projet'!$C$25)*(100%-'Données projet'!$C$26)*(100%-'Données projet'!$C$27)</f>
        <v>2.1296625000000002</v>
      </c>
      <c r="L14" s="153">
        <f t="shared" ca="1" si="2"/>
        <v>35.696167523869697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57" t="str">
        <f>IF('Données projet'!B18="","",'Données projet'!B18)</f>
        <v/>
      </c>
      <c r="B15" s="158">
        <f>'Données projet'!D18</f>
        <v>0</v>
      </c>
      <c r="C15" s="159">
        <f>IF(OR('Données projet'!B18="",'Données projet'!C18="",'Données projet'!C18=0%),0,Calculateur!GZ3)</f>
        <v>0</v>
      </c>
      <c r="D15" s="159">
        <f>IF(OR('Données projet'!B18="",'Données projet'!C18="",'Données projet'!C18=0%),0,Calculateur!HA3)</f>
        <v>0</v>
      </c>
      <c r="E15" s="159">
        <f t="shared" si="0"/>
        <v>0</v>
      </c>
      <c r="F15" s="160">
        <f t="shared" si="1"/>
        <v>0</v>
      </c>
      <c r="G15" s="160">
        <f>F15*(100%-'Données projet'!$C$24)*(100%-'Données projet'!$C$25)*(100%-'Données projet'!$C$26)*(100%-'Données projet'!$C$27)</f>
        <v>0</v>
      </c>
      <c r="H15" s="161">
        <f>IF(OR('Données projet'!B18="",'Données projet'!C18="",'Données projet'!C18=0%),0,AVERAGE(Calculateur!$HJ$3:$HJ$33)*B15)</f>
        <v>0</v>
      </c>
      <c r="I15" s="162">
        <f>H15*(100%-'Données projet'!$C$24)*(100%-'Données projet'!$C$25)*(100%-'Données projet'!$C$26)*(100%-'Données projet'!$C$27)</f>
        <v>0</v>
      </c>
      <c r="J15" s="163">
        <f>IF(OR('Données projet'!B18="",'Données projet'!C18="",'Données projet'!C18=0%),0,SUM(Calculateur!$HC$3:$HC$33)*VLOOKUP('Données projet'!$B$18,Paramètres!$A$1:$I$89,9,0)*B15)</f>
        <v>0</v>
      </c>
      <c r="K15" s="164">
        <f>J15*(100%-'Données projet'!$C$24)*(100%-'Données projet'!$C$25)*(100%-'Données projet'!$C$26)*(100%-'Données projet'!$C$27)</f>
        <v>0</v>
      </c>
      <c r="L15" s="165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17"/>
      <c r="B16" s="224"/>
      <c r="C16" s="225"/>
      <c r="D16" s="25"/>
      <c r="E16" s="25"/>
      <c r="F16" s="166">
        <f t="shared" ref="F16:L16" ca="1" si="3">SUM(F6:F15)</f>
        <v>1082.5436016710344</v>
      </c>
      <c r="G16" s="167">
        <f t="shared" ca="1" si="3"/>
        <v>925.57477942873447</v>
      </c>
      <c r="H16" s="168">
        <f t="shared" si="3"/>
        <v>0.24413021185602687</v>
      </c>
      <c r="I16" s="168">
        <f t="shared" si="3"/>
        <v>0.20873133113690298</v>
      </c>
      <c r="J16" s="169">
        <f t="shared" si="3"/>
        <v>26.174135256410256</v>
      </c>
      <c r="K16" s="169">
        <f t="shared" si="3"/>
        <v>22.37888564423077</v>
      </c>
      <c r="L16" s="170">
        <f t="shared" ca="1" si="3"/>
        <v>948.16239640410197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17"/>
      <c r="B17" s="224"/>
      <c r="C17" s="225"/>
      <c r="D17" s="222"/>
      <c r="E17" s="222"/>
      <c r="F17" s="312" t="s">
        <v>246</v>
      </c>
      <c r="G17" s="313"/>
      <c r="H17" s="313"/>
      <c r="I17" s="313"/>
      <c r="J17" s="313"/>
      <c r="K17" s="313"/>
      <c r="L17" s="31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17"/>
      <c r="B18" s="224"/>
      <c r="C18" s="225"/>
      <c r="D18" s="222"/>
      <c r="E18" s="222"/>
      <c r="F18" s="314"/>
      <c r="G18" s="314"/>
      <c r="H18" s="314"/>
      <c r="I18" s="314"/>
      <c r="J18" s="314"/>
      <c r="K18" s="314"/>
      <c r="L18" s="31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2"/>
      <c r="J19" s="222"/>
      <c r="K19" s="222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2"/>
      <c r="J20" s="222"/>
      <c r="K20" s="222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1" t="str">
        <f>A6</f>
        <v>Chêne pubescent</v>
      </c>
      <c r="B21" s="5"/>
      <c r="C21" s="5"/>
      <c r="D21" s="5"/>
      <c r="E21" s="5"/>
      <c r="F21" s="5"/>
      <c r="G21" s="5"/>
      <c r="H21" s="5"/>
      <c r="I21" s="222"/>
      <c r="J21" s="222"/>
      <c r="K21" s="222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2"/>
      <c r="J22" s="222"/>
      <c r="K22" s="222"/>
      <c r="L22" s="222"/>
      <c r="M22" s="222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2"/>
      <c r="J23" s="222"/>
      <c r="K23" s="222"/>
      <c r="L23" s="222"/>
      <c r="M23" s="222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2"/>
      <c r="J24" s="222"/>
      <c r="K24" s="222"/>
      <c r="L24" s="222"/>
      <c r="M24" s="222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2"/>
      <c r="J25" s="222"/>
      <c r="K25" s="222"/>
      <c r="L25" s="222"/>
      <c r="M25" s="222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2"/>
      <c r="J26" s="222"/>
      <c r="K26" s="222"/>
      <c r="L26" s="222"/>
      <c r="M26" s="222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2"/>
      <c r="J27" s="222"/>
      <c r="K27" s="222"/>
      <c r="L27" s="222"/>
      <c r="M27" s="222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2"/>
      <c r="J28" s="222"/>
      <c r="K28" s="222"/>
      <c r="L28" s="222"/>
      <c r="M28" s="222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2"/>
      <c r="J29" s="222"/>
      <c r="K29" s="222"/>
      <c r="L29" s="222"/>
      <c r="M29" s="222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2"/>
      <c r="J30" s="222"/>
      <c r="K30" s="222"/>
      <c r="L30" s="222"/>
      <c r="M30" s="222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2"/>
      <c r="J31" s="222"/>
      <c r="K31" s="222"/>
      <c r="L31" s="222"/>
      <c r="M31" s="222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2"/>
      <c r="J32" s="222"/>
      <c r="K32" s="222"/>
      <c r="L32" s="222"/>
      <c r="M32" s="222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2"/>
      <c r="J33" s="222"/>
      <c r="K33" s="222"/>
      <c r="L33" s="222"/>
      <c r="M33" s="222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2"/>
      <c r="J34" s="222"/>
      <c r="K34" s="222"/>
      <c r="L34" s="222"/>
      <c r="M34" s="222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2"/>
      <c r="J35" s="222"/>
      <c r="K35" s="222"/>
      <c r="L35" s="222"/>
      <c r="M35" s="222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2"/>
      <c r="J36" s="222"/>
      <c r="K36" s="222"/>
      <c r="L36" s="222"/>
      <c r="M36" s="222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2"/>
      <c r="J37" s="222"/>
      <c r="K37" s="222"/>
      <c r="L37" s="222"/>
      <c r="M37" s="222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2"/>
      <c r="J38" s="222"/>
      <c r="K38" s="222"/>
      <c r="L38" s="222"/>
      <c r="M38" s="222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1" t="str">
        <f>A7</f>
        <v>Chêne sessile</v>
      </c>
      <c r="B39" s="5"/>
      <c r="C39" s="5"/>
      <c r="D39" s="5"/>
      <c r="E39" s="5"/>
      <c r="F39" s="5"/>
      <c r="G39" s="5"/>
      <c r="H39" s="5"/>
      <c r="I39" s="222"/>
      <c r="J39" s="222"/>
      <c r="K39" s="222"/>
      <c r="L39" s="222"/>
      <c r="M39" s="222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2"/>
      <c r="J40" s="222"/>
      <c r="K40" s="222"/>
      <c r="L40" s="222"/>
      <c r="M40" s="222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2"/>
      <c r="J41" s="222"/>
      <c r="K41" s="222"/>
      <c r="L41" s="222"/>
      <c r="M41" s="222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2"/>
      <c r="J42" s="222"/>
      <c r="K42" s="222"/>
      <c r="L42" s="222"/>
      <c r="M42" s="222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2"/>
      <c r="J43" s="222"/>
      <c r="K43" s="222"/>
      <c r="L43" s="222"/>
      <c r="M43" s="222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2"/>
      <c r="J44" s="222"/>
      <c r="K44" s="222"/>
      <c r="L44" s="222"/>
      <c r="M44" s="222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2"/>
      <c r="J45" s="222"/>
      <c r="K45" s="222"/>
      <c r="L45" s="222"/>
      <c r="M45" s="222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2"/>
      <c r="J46" s="222"/>
      <c r="K46" s="222"/>
      <c r="L46" s="222"/>
      <c r="M46" s="222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2"/>
      <c r="J47" s="222"/>
      <c r="K47" s="222"/>
      <c r="L47" s="222"/>
      <c r="M47" s="222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2"/>
      <c r="J48" s="222"/>
      <c r="K48" s="222"/>
      <c r="L48" s="222"/>
      <c r="M48" s="222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2"/>
      <c r="J49" s="222"/>
      <c r="K49" s="222"/>
      <c r="L49" s="222"/>
      <c r="M49" s="222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2"/>
      <c r="J50" s="222"/>
      <c r="K50" s="222"/>
      <c r="L50" s="222"/>
      <c r="M50" s="222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2"/>
      <c r="J51" s="222"/>
      <c r="K51" s="222"/>
      <c r="L51" s="222"/>
      <c r="M51" s="222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2"/>
      <c r="J52" s="222"/>
      <c r="K52" s="222"/>
      <c r="L52" s="222"/>
      <c r="M52" s="222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2"/>
      <c r="J53" s="222"/>
      <c r="K53" s="222"/>
      <c r="L53" s="222"/>
      <c r="M53" s="222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2"/>
      <c r="J54" s="222"/>
      <c r="K54" s="222"/>
      <c r="L54" s="222"/>
      <c r="M54" s="222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2"/>
      <c r="J55" s="222"/>
      <c r="K55" s="222"/>
      <c r="L55" s="222"/>
      <c r="M55" s="222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2"/>
      <c r="J56" s="222"/>
      <c r="K56" s="222"/>
      <c r="L56" s="222"/>
      <c r="M56" s="222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1" t="str">
        <f>A8</f>
        <v>Chêne rouge d'Amérique</v>
      </c>
      <c r="B57" s="5"/>
      <c r="C57" s="5"/>
      <c r="D57" s="5"/>
      <c r="E57" s="5"/>
      <c r="F57" s="5"/>
      <c r="G57" s="5"/>
      <c r="H57" s="5"/>
      <c r="I57" s="222"/>
      <c r="J57" s="222"/>
      <c r="K57" s="222"/>
      <c r="L57" s="222"/>
      <c r="M57" s="222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2"/>
      <c r="J58" s="222"/>
      <c r="K58" s="222"/>
      <c r="L58" s="222"/>
      <c r="M58" s="222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2"/>
      <c r="J59" s="222"/>
      <c r="K59" s="222"/>
      <c r="L59" s="222"/>
      <c r="M59" s="222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2"/>
      <c r="J60" s="222"/>
      <c r="K60" s="222"/>
      <c r="L60" s="222"/>
      <c r="M60" s="222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2"/>
      <c r="J61" s="222"/>
      <c r="K61" s="222"/>
      <c r="L61" s="222"/>
      <c r="M61" s="222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2"/>
      <c r="J62" s="222"/>
      <c r="K62" s="222"/>
      <c r="L62" s="222"/>
      <c r="M62" s="222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2"/>
      <c r="J63" s="222"/>
      <c r="K63" s="222"/>
      <c r="L63" s="222"/>
      <c r="M63" s="222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2"/>
      <c r="J64" s="222"/>
      <c r="K64" s="222"/>
      <c r="L64" s="222"/>
      <c r="M64" s="222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2"/>
      <c r="J65" s="222"/>
      <c r="K65" s="222"/>
      <c r="L65" s="222"/>
      <c r="M65" s="222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2"/>
      <c r="J66" s="222"/>
      <c r="K66" s="222"/>
      <c r="L66" s="222"/>
      <c r="M66" s="222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2"/>
      <c r="J67" s="222"/>
      <c r="K67" s="222"/>
      <c r="L67" s="222"/>
      <c r="M67" s="222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2"/>
      <c r="J68" s="222"/>
      <c r="K68" s="222"/>
      <c r="L68" s="222"/>
      <c r="M68" s="222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2"/>
      <c r="J69" s="222"/>
      <c r="K69" s="222"/>
      <c r="L69" s="222"/>
      <c r="M69" s="222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2"/>
      <c r="J70" s="222"/>
      <c r="K70" s="222"/>
      <c r="L70" s="222"/>
      <c r="M70" s="222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2"/>
      <c r="J71" s="222"/>
      <c r="K71" s="222"/>
      <c r="L71" s="222"/>
      <c r="M71" s="222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2"/>
      <c r="J72" s="222"/>
      <c r="K72" s="222"/>
      <c r="L72" s="222"/>
      <c r="M72" s="222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2"/>
      <c r="J73" s="222"/>
      <c r="K73" s="222"/>
      <c r="L73" s="222"/>
      <c r="M73" s="222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2"/>
      <c r="J74" s="222"/>
      <c r="K74" s="222"/>
      <c r="L74" s="222"/>
      <c r="M74" s="222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2"/>
      <c r="J75" s="222"/>
      <c r="K75" s="222"/>
      <c r="L75" s="222"/>
      <c r="M75" s="222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1" t="str">
        <f>A9</f>
        <v>Alisier torminal</v>
      </c>
      <c r="B76" s="5"/>
      <c r="C76" s="5"/>
      <c r="D76" s="5"/>
      <c r="E76" s="5"/>
      <c r="F76" s="5"/>
      <c r="G76" s="5"/>
      <c r="H76" s="5"/>
      <c r="I76" s="222"/>
      <c r="J76" s="222"/>
      <c r="K76" s="222"/>
      <c r="L76" s="222"/>
      <c r="M76" s="222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2"/>
      <c r="J77" s="222"/>
      <c r="K77" s="222"/>
      <c r="L77" s="222"/>
      <c r="M77" s="222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2"/>
      <c r="J78" s="222"/>
      <c r="K78" s="222"/>
      <c r="L78" s="222"/>
      <c r="M78" s="222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2"/>
      <c r="J79" s="222"/>
      <c r="K79" s="222"/>
      <c r="L79" s="222"/>
      <c r="M79" s="222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2"/>
      <c r="J80" s="222"/>
      <c r="K80" s="222"/>
      <c r="L80" s="222"/>
      <c r="M80" s="222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2"/>
      <c r="J81" s="222"/>
      <c r="K81" s="222"/>
      <c r="L81" s="222"/>
      <c r="M81" s="222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2"/>
      <c r="J82" s="222"/>
      <c r="K82" s="222"/>
      <c r="L82" s="222"/>
      <c r="M82" s="222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2"/>
      <c r="J83" s="222"/>
      <c r="K83" s="222"/>
      <c r="L83" s="222"/>
      <c r="M83" s="222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2"/>
      <c r="J84" s="222"/>
      <c r="K84" s="222"/>
      <c r="L84" s="222"/>
      <c r="M84" s="222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2"/>
      <c r="J85" s="222"/>
      <c r="K85" s="222"/>
      <c r="L85" s="222"/>
      <c r="M85" s="222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2"/>
      <c r="J86" s="222"/>
      <c r="K86" s="222"/>
      <c r="L86" s="222"/>
      <c r="M86" s="222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2"/>
      <c r="J87" s="222"/>
      <c r="K87" s="222"/>
      <c r="L87" s="222"/>
      <c r="M87" s="222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2"/>
      <c r="J88" s="222"/>
      <c r="K88" s="222"/>
      <c r="L88" s="222"/>
      <c r="M88" s="222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2"/>
      <c r="J89" s="222"/>
      <c r="K89" s="222"/>
      <c r="L89" s="222"/>
      <c r="M89" s="222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2"/>
      <c r="J90" s="222"/>
      <c r="K90" s="222"/>
      <c r="L90" s="222"/>
      <c r="M90" s="222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2"/>
      <c r="J91" s="222"/>
      <c r="K91" s="222"/>
      <c r="L91" s="222"/>
      <c r="M91" s="222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2"/>
      <c r="J92" s="222"/>
      <c r="K92" s="222"/>
      <c r="L92" s="222"/>
      <c r="M92" s="222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2"/>
      <c r="J93" s="222"/>
      <c r="K93" s="222"/>
      <c r="L93" s="222"/>
      <c r="M93" s="222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1" t="str">
        <f>A10</f>
        <v/>
      </c>
      <c r="B94" s="5"/>
      <c r="C94" s="5"/>
      <c r="D94" s="5"/>
      <c r="E94" s="5"/>
      <c r="F94" s="5"/>
      <c r="G94" s="5"/>
      <c r="H94" s="5"/>
      <c r="I94" s="222"/>
      <c r="J94" s="222"/>
      <c r="K94" s="222"/>
      <c r="L94" s="222"/>
      <c r="M94" s="222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2"/>
      <c r="J95" s="222"/>
      <c r="K95" s="222"/>
      <c r="L95" s="222"/>
      <c r="M95" s="222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2"/>
      <c r="J96" s="222"/>
      <c r="K96" s="222"/>
      <c r="L96" s="222"/>
      <c r="M96" s="222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2"/>
      <c r="J97" s="222"/>
      <c r="K97" s="222"/>
      <c r="L97" s="222"/>
      <c r="M97" s="222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2"/>
      <c r="J98" s="222"/>
      <c r="K98" s="222"/>
      <c r="L98" s="222"/>
      <c r="M98" s="222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2"/>
      <c r="J99" s="222"/>
      <c r="K99" s="222"/>
      <c r="L99" s="222"/>
      <c r="M99" s="222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2"/>
      <c r="J100" s="222"/>
      <c r="K100" s="222"/>
      <c r="L100" s="222"/>
      <c r="M100" s="222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2"/>
      <c r="J101" s="222"/>
      <c r="K101" s="222"/>
      <c r="L101" s="222"/>
      <c r="M101" s="222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2"/>
      <c r="J102" s="222"/>
      <c r="K102" s="222"/>
      <c r="L102" s="222"/>
      <c r="M102" s="222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2"/>
      <c r="J103" s="222"/>
      <c r="K103" s="222"/>
      <c r="L103" s="222"/>
      <c r="M103" s="222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2"/>
      <c r="J104" s="222"/>
      <c r="K104" s="222"/>
      <c r="L104" s="222"/>
      <c r="M104" s="222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2"/>
      <c r="J105" s="222"/>
      <c r="K105" s="222"/>
      <c r="L105" s="222"/>
      <c r="M105" s="222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2"/>
      <c r="J106" s="222"/>
      <c r="K106" s="222"/>
      <c r="L106" s="222"/>
      <c r="M106" s="222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2"/>
      <c r="J107" s="222"/>
      <c r="K107" s="222"/>
      <c r="L107" s="222"/>
      <c r="M107" s="222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2"/>
      <c r="J108" s="222"/>
      <c r="K108" s="222"/>
      <c r="L108" s="222"/>
      <c r="M108" s="222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2"/>
      <c r="J109" s="222"/>
      <c r="K109" s="222"/>
      <c r="L109" s="222"/>
      <c r="M109" s="222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2"/>
      <c r="J110" s="222"/>
      <c r="K110" s="222"/>
      <c r="L110" s="222"/>
      <c r="M110" s="222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2"/>
      <c r="J111" s="222"/>
      <c r="K111" s="222"/>
      <c r="L111" s="222"/>
      <c r="M111" s="222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1" t="str">
        <f>A11</f>
        <v>Charme</v>
      </c>
      <c r="B112" s="5"/>
      <c r="C112" s="5"/>
      <c r="D112" s="5"/>
      <c r="E112" s="5"/>
      <c r="F112" s="5"/>
      <c r="G112" s="5"/>
      <c r="H112" s="5"/>
      <c r="I112" s="222"/>
      <c r="J112" s="222"/>
      <c r="K112" s="222"/>
      <c r="L112" s="222"/>
      <c r="M112" s="222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2"/>
      <c r="J113" s="222"/>
      <c r="K113" s="222"/>
      <c r="L113" s="222"/>
      <c r="M113" s="222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2"/>
      <c r="J114" s="222"/>
      <c r="K114" s="222"/>
      <c r="L114" s="222"/>
      <c r="M114" s="222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2"/>
      <c r="J115" s="222"/>
      <c r="K115" s="222"/>
      <c r="L115" s="222"/>
      <c r="M115" s="222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2"/>
      <c r="J116" s="222"/>
      <c r="K116" s="222"/>
      <c r="L116" s="222"/>
      <c r="M116" s="222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2"/>
      <c r="J117" s="222"/>
      <c r="K117" s="222"/>
      <c r="L117" s="222"/>
      <c r="M117" s="222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2"/>
      <c r="J118" s="222"/>
      <c r="K118" s="222"/>
      <c r="L118" s="222"/>
      <c r="M118" s="222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2"/>
      <c r="J119" s="222"/>
      <c r="K119" s="222"/>
      <c r="L119" s="222"/>
      <c r="M119" s="222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2"/>
      <c r="J120" s="222"/>
      <c r="K120" s="222"/>
      <c r="L120" s="222"/>
      <c r="M120" s="222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2"/>
      <c r="J121" s="222"/>
      <c r="K121" s="222"/>
      <c r="L121" s="222"/>
      <c r="M121" s="222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2"/>
      <c r="J122" s="222"/>
      <c r="K122" s="222"/>
      <c r="L122" s="222"/>
      <c r="M122" s="222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2"/>
      <c r="J123" s="222"/>
      <c r="K123" s="222"/>
      <c r="L123" s="222"/>
      <c r="M123" s="222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2"/>
      <c r="J124" s="222"/>
      <c r="K124" s="222"/>
      <c r="L124" s="222"/>
      <c r="M124" s="222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2"/>
      <c r="J125" s="222"/>
      <c r="K125" s="222"/>
      <c r="L125" s="222"/>
      <c r="M125" s="222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2"/>
      <c r="J126" s="222"/>
      <c r="K126" s="222"/>
      <c r="L126" s="222"/>
      <c r="M126" s="222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2"/>
      <c r="J127" s="222"/>
      <c r="K127" s="222"/>
      <c r="L127" s="222"/>
      <c r="M127" s="222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2"/>
      <c r="J128" s="222"/>
      <c r="K128" s="222"/>
      <c r="L128" s="222"/>
      <c r="M128" s="222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2"/>
      <c r="J129" s="222"/>
      <c r="K129" s="222"/>
      <c r="L129" s="222"/>
      <c r="M129" s="222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1" t="str">
        <f>A12</f>
        <v>Chêne chevelu</v>
      </c>
      <c r="B130" s="5"/>
      <c r="C130" s="5"/>
      <c r="D130" s="5"/>
      <c r="E130" s="5"/>
      <c r="F130" s="5"/>
      <c r="G130" s="5"/>
      <c r="H130" s="5"/>
      <c r="I130" s="222"/>
      <c r="J130" s="222"/>
      <c r="K130" s="222"/>
      <c r="L130" s="222"/>
      <c r="M130" s="222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2"/>
      <c r="J131" s="222"/>
      <c r="K131" s="222"/>
      <c r="L131" s="222"/>
      <c r="M131" s="222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2"/>
      <c r="J132" s="222"/>
      <c r="K132" s="222"/>
      <c r="L132" s="222"/>
      <c r="M132" s="222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2"/>
      <c r="J133" s="222"/>
      <c r="K133" s="222"/>
      <c r="L133" s="222"/>
      <c r="M133" s="222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2"/>
      <c r="J134" s="222"/>
      <c r="K134" s="222"/>
      <c r="L134" s="222"/>
      <c r="M134" s="222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2"/>
      <c r="J135" s="222"/>
      <c r="K135" s="222"/>
      <c r="L135" s="222"/>
      <c r="M135" s="222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2"/>
      <c r="J136" s="222"/>
      <c r="K136" s="222"/>
      <c r="L136" s="222"/>
      <c r="M136" s="222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2"/>
      <c r="J137" s="222"/>
      <c r="K137" s="222"/>
      <c r="L137" s="222"/>
      <c r="M137" s="222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2"/>
      <c r="J138" s="222"/>
      <c r="K138" s="222"/>
      <c r="L138" s="222"/>
      <c r="M138" s="222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2"/>
      <c r="J139" s="222"/>
      <c r="K139" s="222"/>
      <c r="L139" s="222"/>
      <c r="M139" s="222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2"/>
      <c r="J140" s="222"/>
      <c r="K140" s="222"/>
      <c r="L140" s="222"/>
      <c r="M140" s="222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2"/>
      <c r="J141" s="222"/>
      <c r="K141" s="222"/>
      <c r="L141" s="222"/>
      <c r="M141" s="222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2"/>
      <c r="J142" s="222"/>
      <c r="K142" s="222"/>
      <c r="L142" s="222"/>
      <c r="M142" s="222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2"/>
      <c r="J143" s="222"/>
      <c r="K143" s="222"/>
      <c r="L143" s="222"/>
      <c r="M143" s="222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2"/>
      <c r="J144" s="222"/>
      <c r="K144" s="222"/>
      <c r="L144" s="222"/>
      <c r="M144" s="222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2"/>
      <c r="J145" s="222"/>
      <c r="K145" s="222"/>
      <c r="L145" s="222"/>
      <c r="M145" s="222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2"/>
      <c r="J146" s="222"/>
      <c r="K146" s="222"/>
      <c r="L146" s="222"/>
      <c r="M146" s="222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2"/>
      <c r="J147" s="222"/>
      <c r="K147" s="222"/>
      <c r="L147" s="222"/>
      <c r="M147" s="222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1" t="str">
        <f>A13</f>
        <v>Cèdre de l'Atlas</v>
      </c>
      <c r="B148" s="5"/>
      <c r="C148" s="5"/>
      <c r="D148" s="5"/>
      <c r="E148" s="5"/>
      <c r="F148" s="5"/>
      <c r="G148" s="5"/>
      <c r="H148" s="5"/>
      <c r="I148" s="222"/>
      <c r="J148" s="222"/>
      <c r="K148" s="222"/>
      <c r="L148" s="222"/>
      <c r="M148" s="222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2"/>
      <c r="J149" s="222"/>
      <c r="K149" s="222"/>
      <c r="L149" s="222"/>
      <c r="M149" s="222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2"/>
      <c r="J150" s="222"/>
      <c r="K150" s="222"/>
      <c r="L150" s="222"/>
      <c r="M150" s="222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2"/>
      <c r="J151" s="222"/>
      <c r="K151" s="222"/>
      <c r="L151" s="222"/>
      <c r="M151" s="222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2"/>
      <c r="J152" s="222"/>
      <c r="K152" s="222"/>
      <c r="L152" s="222"/>
      <c r="M152" s="222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2"/>
      <c r="J153" s="222"/>
      <c r="K153" s="222"/>
      <c r="L153" s="222"/>
      <c r="M153" s="222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2"/>
      <c r="J154" s="222"/>
      <c r="K154" s="222"/>
      <c r="L154" s="222"/>
      <c r="M154" s="222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2"/>
      <c r="J155" s="222"/>
      <c r="K155" s="222"/>
      <c r="L155" s="222"/>
      <c r="M155" s="222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2"/>
      <c r="J156" s="222"/>
      <c r="K156" s="222"/>
      <c r="L156" s="222"/>
      <c r="M156" s="222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2"/>
      <c r="J157" s="222"/>
      <c r="K157" s="222"/>
      <c r="L157" s="222"/>
      <c r="M157" s="222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2"/>
      <c r="J158" s="222"/>
      <c r="K158" s="222"/>
      <c r="L158" s="222"/>
      <c r="M158" s="222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2"/>
      <c r="J159" s="222"/>
      <c r="K159" s="222"/>
      <c r="L159" s="222"/>
      <c r="M159" s="222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2"/>
      <c r="J160" s="222"/>
      <c r="K160" s="222"/>
      <c r="L160" s="222"/>
      <c r="M160" s="222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2"/>
      <c r="J161" s="222"/>
      <c r="K161" s="222"/>
      <c r="L161" s="222"/>
      <c r="M161" s="222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2"/>
      <c r="J162" s="222"/>
      <c r="K162" s="222"/>
      <c r="L162" s="222"/>
      <c r="M162" s="222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2"/>
      <c r="J163" s="222"/>
      <c r="K163" s="222"/>
      <c r="L163" s="222"/>
      <c r="M163" s="222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2"/>
      <c r="J164" s="222"/>
      <c r="K164" s="222"/>
      <c r="L164" s="222"/>
      <c r="M164" s="222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2"/>
      <c r="J165" s="222"/>
      <c r="K165" s="222"/>
      <c r="L165" s="222"/>
      <c r="M165" s="222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1" t="str">
        <f>A14</f>
        <v>Tilleul</v>
      </c>
      <c r="B166" s="5"/>
      <c r="C166" s="5"/>
      <c r="D166" s="5"/>
      <c r="E166" s="5"/>
      <c r="F166" s="5"/>
      <c r="G166" s="5"/>
      <c r="H166" s="5"/>
      <c r="I166" s="222"/>
      <c r="J166" s="222"/>
      <c r="K166" s="222"/>
      <c r="L166" s="222"/>
      <c r="M166" s="222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2"/>
      <c r="J167" s="222"/>
      <c r="K167" s="222"/>
      <c r="L167" s="222"/>
      <c r="M167" s="222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2"/>
      <c r="J168" s="222"/>
      <c r="K168" s="222"/>
      <c r="L168" s="222"/>
      <c r="M168" s="222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2"/>
      <c r="J169" s="222"/>
      <c r="K169" s="222"/>
      <c r="L169" s="222"/>
      <c r="M169" s="222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2"/>
      <c r="J170" s="222"/>
      <c r="K170" s="222"/>
      <c r="L170" s="222"/>
      <c r="M170" s="222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2"/>
      <c r="J171" s="222"/>
      <c r="K171" s="222"/>
      <c r="L171" s="222"/>
      <c r="M171" s="222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2"/>
      <c r="J172" s="222"/>
      <c r="K172" s="222"/>
      <c r="L172" s="222"/>
      <c r="M172" s="222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2"/>
      <c r="J173" s="222"/>
      <c r="K173" s="222"/>
      <c r="L173" s="222"/>
      <c r="M173" s="222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2"/>
      <c r="J174" s="222"/>
      <c r="K174" s="222"/>
      <c r="L174" s="222"/>
      <c r="M174" s="222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2"/>
      <c r="J175" s="222"/>
      <c r="K175" s="222"/>
      <c r="L175" s="222"/>
      <c r="M175" s="222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2"/>
      <c r="J176" s="222"/>
      <c r="K176" s="222"/>
      <c r="L176" s="222"/>
      <c r="M176" s="222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2"/>
      <c r="J177" s="222"/>
      <c r="K177" s="222"/>
      <c r="L177" s="222"/>
      <c r="M177" s="222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2"/>
      <c r="J178" s="222"/>
      <c r="K178" s="222"/>
      <c r="L178" s="222"/>
      <c r="M178" s="222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2"/>
      <c r="J179" s="222"/>
      <c r="K179" s="222"/>
      <c r="L179" s="222"/>
      <c r="M179" s="222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2"/>
      <c r="J180" s="222"/>
      <c r="K180" s="222"/>
      <c r="L180" s="222"/>
      <c r="M180" s="222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2"/>
      <c r="J181" s="222"/>
      <c r="K181" s="222"/>
      <c r="L181" s="222"/>
      <c r="M181" s="222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2"/>
      <c r="J182" s="222"/>
      <c r="K182" s="222"/>
      <c r="L182" s="222"/>
      <c r="M182" s="222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2"/>
      <c r="J183" s="222"/>
      <c r="K183" s="222"/>
      <c r="L183" s="222"/>
      <c r="M183" s="222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1" t="str">
        <f>A15</f>
        <v/>
      </c>
      <c r="B184" s="5"/>
      <c r="C184" s="5"/>
      <c r="D184" s="5"/>
      <c r="E184" s="5"/>
      <c r="F184" s="5"/>
      <c r="G184" s="5"/>
      <c r="H184" s="5"/>
      <c r="I184" s="222"/>
      <c r="J184" s="222"/>
      <c r="K184" s="222"/>
      <c r="L184" s="222"/>
      <c r="M184" s="222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2"/>
      <c r="J185" s="222"/>
      <c r="K185" s="222"/>
      <c r="L185" s="222"/>
      <c r="M185" s="222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2"/>
      <c r="J186" s="222"/>
      <c r="K186" s="222"/>
      <c r="L186" s="222"/>
      <c r="M186" s="222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2"/>
      <c r="J187" s="222"/>
      <c r="K187" s="222"/>
      <c r="L187" s="222"/>
      <c r="M187" s="222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2"/>
      <c r="J188" s="222"/>
      <c r="K188" s="222"/>
      <c r="L188" s="222"/>
      <c r="M188" s="222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2"/>
      <c r="J189" s="222"/>
      <c r="K189" s="222"/>
      <c r="L189" s="222"/>
      <c r="M189" s="222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2"/>
      <c r="J190" s="222"/>
      <c r="K190" s="222"/>
      <c r="L190" s="222"/>
      <c r="M190" s="222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2"/>
      <c r="J191" s="222"/>
      <c r="K191" s="222"/>
      <c r="L191" s="222"/>
      <c r="M191" s="222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2"/>
      <c r="J192" s="222"/>
      <c r="K192" s="222"/>
      <c r="L192" s="222"/>
      <c r="M192" s="222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2"/>
      <c r="J193" s="222"/>
      <c r="K193" s="222"/>
      <c r="L193" s="222"/>
      <c r="M193" s="222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2"/>
      <c r="J194" s="222"/>
      <c r="K194" s="222"/>
      <c r="L194" s="222"/>
      <c r="M194" s="222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2"/>
      <c r="J195" s="222"/>
      <c r="K195" s="222"/>
      <c r="L195" s="222"/>
      <c r="M195" s="222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2"/>
      <c r="J196" s="222"/>
      <c r="K196" s="222"/>
      <c r="L196" s="222"/>
      <c r="M196" s="222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2"/>
      <c r="J197" s="222"/>
      <c r="K197" s="222"/>
      <c r="L197" s="222"/>
      <c r="M197" s="222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2"/>
      <c r="J198" s="222"/>
      <c r="K198" s="222"/>
      <c r="L198" s="222"/>
      <c r="M198" s="222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2"/>
      <c r="J199" s="222"/>
      <c r="K199" s="222"/>
      <c r="L199" s="222"/>
      <c r="M199" s="222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2"/>
      <c r="J200" s="222"/>
      <c r="K200" s="222"/>
      <c r="L200" s="222"/>
      <c r="M200" s="222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2"/>
      <c r="J201" s="222"/>
      <c r="K201" s="222"/>
      <c r="L201" s="222"/>
      <c r="M201" s="222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2"/>
      <c r="J202" s="222"/>
      <c r="K202" s="222"/>
      <c r="L202" s="222"/>
      <c r="M202" s="222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4"/>
      <c r="J203" s="64"/>
      <c r="K203" s="64"/>
      <c r="L203" s="64"/>
      <c r="M203" s="222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4"/>
      <c r="J204" s="64"/>
      <c r="K204" s="64"/>
      <c r="L204" s="64"/>
      <c r="M204" s="6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4"/>
      <c r="J205" s="64"/>
      <c r="K205" s="64"/>
      <c r="L205" s="64"/>
      <c r="M205" s="6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4"/>
      <c r="J206" s="64"/>
      <c r="K206" s="64"/>
      <c r="L206" s="64"/>
      <c r="M206" s="6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4"/>
      <c r="J207" s="64"/>
      <c r="K207" s="64"/>
      <c r="L207" s="64"/>
      <c r="M207" s="6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4"/>
      <c r="J208" s="64"/>
      <c r="K208" s="64"/>
      <c r="L208" s="64"/>
      <c r="M208" s="6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4"/>
      <c r="J209" s="64"/>
      <c r="K209" s="64"/>
      <c r="L209" s="64"/>
      <c r="M209" s="6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4"/>
      <c r="J210" s="64"/>
      <c r="K210" s="64"/>
      <c r="L210" s="64"/>
      <c r="M210" s="6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4"/>
      <c r="J211" s="64"/>
      <c r="K211" s="64"/>
      <c r="L211" s="64"/>
      <c r="M211" s="6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4"/>
      <c r="J212" s="64"/>
      <c r="K212" s="64"/>
      <c r="L212" s="64"/>
      <c r="M212" s="6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4"/>
      <c r="J213" s="64"/>
      <c r="K213" s="64"/>
      <c r="L213" s="64"/>
      <c r="M213" s="6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4"/>
      <c r="J214" s="64"/>
      <c r="K214" s="64"/>
      <c r="L214" s="64"/>
      <c r="M214" s="6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4"/>
      <c r="J215" s="64"/>
      <c r="K215" s="64"/>
      <c r="L215" s="64"/>
      <c r="M215" s="6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4"/>
      <c r="J216" s="64"/>
      <c r="K216" s="64"/>
      <c r="L216" s="64"/>
      <c r="M216" s="6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4"/>
      <c r="J217" s="64"/>
      <c r="K217" s="64"/>
      <c r="L217" s="64"/>
      <c r="M217" s="6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4"/>
      <c r="J218" s="64"/>
      <c r="K218" s="64"/>
      <c r="L218" s="64"/>
      <c r="M218" s="6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4"/>
      <c r="J219" s="64"/>
      <c r="K219" s="64"/>
      <c r="L219" s="64"/>
      <c r="M219" s="6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4"/>
      <c r="J220" s="64"/>
      <c r="K220" s="64"/>
      <c r="L220" s="64"/>
      <c r="M220" s="6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4"/>
      <c r="J221" s="64"/>
      <c r="K221" s="64"/>
      <c r="L221" s="64"/>
      <c r="M221" s="6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4"/>
      <c r="J222" s="64"/>
      <c r="K222" s="64"/>
      <c r="L222" s="64"/>
      <c r="M222" s="6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4"/>
      <c r="J223" s="64"/>
      <c r="K223" s="64"/>
      <c r="L223" s="64"/>
      <c r="M223" s="6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4"/>
      <c r="J224" s="64"/>
      <c r="K224" s="64"/>
      <c r="L224" s="64"/>
      <c r="M224" s="6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4"/>
      <c r="J225" s="64"/>
      <c r="K225" s="64"/>
      <c r="L225" s="64"/>
      <c r="M225" s="6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4"/>
      <c r="J226" s="64"/>
      <c r="K226" s="64"/>
      <c r="L226" s="64"/>
      <c r="M226" s="6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4"/>
      <c r="J227" s="64"/>
      <c r="K227" s="64"/>
      <c r="L227" s="64"/>
      <c r="M227" s="6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4"/>
      <c r="J228" s="64"/>
      <c r="K228" s="64"/>
      <c r="L228" s="64"/>
      <c r="M228" s="6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4"/>
      <c r="J229" s="64"/>
      <c r="K229" s="64"/>
      <c r="L229" s="64"/>
      <c r="M229" s="6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4"/>
      <c r="J230" s="64"/>
      <c r="K230" s="64"/>
      <c r="L230" s="64"/>
      <c r="M230" s="6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4"/>
      <c r="J231" s="64"/>
      <c r="K231" s="64"/>
      <c r="L231" s="64"/>
      <c r="M231" s="6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4"/>
      <c r="J232" s="64"/>
      <c r="K232" s="64"/>
      <c r="L232" s="64"/>
      <c r="M232" s="6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4"/>
      <c r="J233" s="64"/>
      <c r="K233" s="64"/>
      <c r="L233" s="64"/>
      <c r="M233" s="6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4"/>
      <c r="J234" s="64"/>
      <c r="K234" s="64"/>
      <c r="L234" s="64"/>
      <c r="M234" s="6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4"/>
      <c r="J235" s="64"/>
      <c r="K235" s="64"/>
      <c r="L235" s="64"/>
      <c r="M235" s="6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4"/>
      <c r="J236" s="64"/>
      <c r="K236" s="64"/>
      <c r="L236" s="64"/>
      <c r="M236" s="6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4"/>
      <c r="J237" s="64"/>
      <c r="K237" s="64"/>
      <c r="L237" s="64"/>
      <c r="M237" s="6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4"/>
      <c r="J238" s="64"/>
      <c r="K238" s="64"/>
      <c r="L238" s="64"/>
      <c r="M238" s="6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4"/>
      <c r="J239" s="64"/>
      <c r="K239" s="64"/>
      <c r="L239" s="64"/>
      <c r="M239" s="6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4"/>
      <c r="J240" s="64"/>
      <c r="K240" s="64"/>
      <c r="L240" s="64"/>
      <c r="M240" s="6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4"/>
      <c r="J241" s="64"/>
      <c r="K241" s="64"/>
      <c r="L241" s="64"/>
      <c r="M241" s="6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4"/>
      <c r="J242" s="64"/>
      <c r="K242" s="64"/>
      <c r="L242" s="64"/>
      <c r="M242" s="6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4"/>
      <c r="J243" s="64"/>
      <c r="K243" s="64"/>
      <c r="L243" s="64"/>
      <c r="M243" s="6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4"/>
      <c r="J244" s="64"/>
      <c r="K244" s="64"/>
      <c r="L244" s="64"/>
      <c r="M244" s="6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4"/>
      <c r="J245" s="64"/>
      <c r="K245" s="64"/>
      <c r="L245" s="64"/>
      <c r="M245" s="6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4"/>
      <c r="J246" s="64"/>
      <c r="K246" s="64"/>
      <c r="L246" s="64"/>
      <c r="M246" s="6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4"/>
      <c r="J247" s="64"/>
      <c r="K247" s="64"/>
      <c r="L247" s="64"/>
      <c r="M247" s="6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4"/>
      <c r="J248" s="64"/>
      <c r="K248" s="64"/>
      <c r="L248" s="64"/>
      <c r="M248" s="6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4"/>
      <c r="J249" s="64"/>
      <c r="K249" s="64"/>
      <c r="L249" s="64"/>
      <c r="M249" s="6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4"/>
      <c r="J250" s="64"/>
      <c r="K250" s="64"/>
      <c r="L250" s="64"/>
      <c r="M250" s="6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4"/>
      <c r="J251" s="64"/>
      <c r="K251" s="64"/>
      <c r="L251" s="64"/>
      <c r="M251" s="6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4"/>
      <c r="J252" s="64"/>
      <c r="K252" s="64"/>
      <c r="L252" s="64"/>
      <c r="M252" s="6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4"/>
      <c r="J253" s="64"/>
      <c r="K253" s="64"/>
      <c r="L253" s="64"/>
      <c r="M253" s="6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4"/>
      <c r="J254" s="64"/>
      <c r="K254" s="64"/>
      <c r="L254" s="64"/>
      <c r="M254" s="6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4"/>
      <c r="J255" s="64"/>
      <c r="K255" s="64"/>
      <c r="L255" s="64"/>
      <c r="M255" s="6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4"/>
      <c r="J256" s="64"/>
      <c r="K256" s="64"/>
      <c r="L256" s="64"/>
      <c r="M256" s="6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4"/>
      <c r="J257" s="64"/>
      <c r="K257" s="64"/>
      <c r="L257" s="64"/>
      <c r="M257" s="6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4"/>
      <c r="J258" s="64"/>
      <c r="K258" s="64"/>
      <c r="L258" s="64"/>
      <c r="M258" s="6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4"/>
      <c r="J259" s="64"/>
      <c r="K259" s="64"/>
      <c r="L259" s="64"/>
      <c r="M259" s="6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4"/>
      <c r="J260" s="64"/>
      <c r="K260" s="64"/>
      <c r="L260" s="64"/>
      <c r="M260" s="64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4"/>
      <c r="J261" s="64"/>
      <c r="K261" s="64"/>
      <c r="L261" s="64"/>
      <c r="M261" s="64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4"/>
      <c r="J262" s="64"/>
      <c r="K262" s="64"/>
      <c r="L262" s="64"/>
      <c r="M262" s="64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4"/>
      <c r="J263" s="64"/>
      <c r="K263" s="64"/>
      <c r="L263" s="64"/>
      <c r="M263" s="64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4"/>
      <c r="J264" s="64"/>
      <c r="K264" s="64"/>
      <c r="L264" s="64"/>
      <c r="M264" s="64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4"/>
      <c r="J265" s="64"/>
      <c r="K265" s="64"/>
      <c r="L265" s="64"/>
      <c r="M265" s="64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4"/>
      <c r="J266" s="64"/>
      <c r="K266" s="64"/>
      <c r="L266" s="64"/>
      <c r="M266" s="64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4"/>
      <c r="J267" s="64"/>
      <c r="K267" s="64"/>
      <c r="L267" s="64"/>
      <c r="M267" s="64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4"/>
      <c r="J268" s="64"/>
      <c r="K268" s="64"/>
      <c r="L268" s="64"/>
      <c r="M268" s="6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4"/>
      <c r="J269" s="64"/>
      <c r="K269" s="64"/>
      <c r="L269" s="64"/>
      <c r="M269" s="64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4"/>
      <c r="J270" s="64"/>
      <c r="K270" s="64"/>
      <c r="L270" s="64"/>
      <c r="M270" s="64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4"/>
      <c r="J271" s="64"/>
      <c r="K271" s="64"/>
      <c r="L271" s="64"/>
      <c r="M271" s="6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4"/>
      <c r="J272" s="64"/>
      <c r="K272" s="64"/>
      <c r="L272" s="64"/>
      <c r="M272" s="64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4"/>
      <c r="J273" s="64"/>
      <c r="K273" s="64"/>
      <c r="L273" s="64"/>
      <c r="M273" s="64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4"/>
      <c r="J274" s="64"/>
      <c r="K274" s="64"/>
      <c r="L274" s="64"/>
      <c r="M274" s="64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4"/>
      <c r="J275" s="64"/>
      <c r="K275" s="64"/>
      <c r="L275" s="64"/>
      <c r="M275" s="64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4"/>
      <c r="J276" s="64"/>
      <c r="K276" s="64"/>
      <c r="L276" s="64"/>
      <c r="M276" s="64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4"/>
      <c r="J277" s="64"/>
      <c r="K277" s="64"/>
      <c r="L277" s="64"/>
      <c r="M277" s="6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4"/>
      <c r="J278" s="64"/>
      <c r="K278" s="64"/>
      <c r="L278" s="64"/>
      <c r="M278" s="6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4"/>
      <c r="J279" s="64"/>
      <c r="K279" s="64"/>
      <c r="L279" s="64"/>
      <c r="M279" s="6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4"/>
      <c r="J280" s="64"/>
      <c r="K280" s="64"/>
      <c r="L280" s="64"/>
      <c r="M280" s="64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4"/>
      <c r="J281" s="64"/>
      <c r="K281" s="64"/>
      <c r="L281" s="64"/>
      <c r="M281" s="6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4"/>
      <c r="J282" s="64"/>
      <c r="K282" s="64"/>
      <c r="L282" s="64"/>
      <c r="M282" s="6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4"/>
      <c r="J283" s="64"/>
      <c r="K283" s="64"/>
      <c r="L283" s="64"/>
      <c r="M283" s="64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4"/>
      <c r="J284" s="64"/>
      <c r="K284" s="64"/>
      <c r="L284" s="64"/>
      <c r="M284" s="64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4"/>
      <c r="J285" s="64"/>
      <c r="K285" s="64"/>
      <c r="L285" s="64"/>
      <c r="M285" s="64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4"/>
      <c r="J286" s="64"/>
      <c r="K286" s="64"/>
      <c r="L286" s="64"/>
      <c r="M286" s="6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4"/>
      <c r="J287" s="64"/>
      <c r="K287" s="64"/>
      <c r="L287" s="64"/>
      <c r="M287" s="64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4"/>
      <c r="J288" s="64"/>
      <c r="K288" s="64"/>
      <c r="L288" s="64"/>
      <c r="M288" s="64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4"/>
      <c r="J289" s="64"/>
      <c r="K289" s="64"/>
      <c r="L289" s="64"/>
      <c r="M289" s="6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4"/>
      <c r="J290" s="64"/>
      <c r="K290" s="64"/>
      <c r="L290" s="64"/>
      <c r="M290" s="64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4"/>
      <c r="J291" s="64"/>
      <c r="K291" s="64"/>
      <c r="L291" s="64"/>
      <c r="M291" s="6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4"/>
      <c r="J292" s="64"/>
      <c r="K292" s="64"/>
      <c r="L292" s="64"/>
      <c r="M292" s="6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4"/>
      <c r="J293" s="64"/>
      <c r="K293" s="64"/>
      <c r="L293" s="64"/>
      <c r="M293" s="6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4"/>
      <c r="J294" s="64"/>
      <c r="K294" s="64"/>
      <c r="L294" s="64"/>
      <c r="M294" s="64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4"/>
      <c r="J295" s="64"/>
      <c r="K295" s="64"/>
      <c r="L295" s="64"/>
      <c r="M295" s="6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4"/>
      <c r="J296" s="64"/>
      <c r="K296" s="64"/>
      <c r="L296" s="64"/>
      <c r="M296" s="6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4"/>
      <c r="J297" s="64"/>
      <c r="K297" s="64"/>
      <c r="L297" s="64"/>
      <c r="M297" s="64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4"/>
      <c r="J298" s="64"/>
      <c r="K298" s="64"/>
      <c r="L298" s="64"/>
      <c r="M298" s="6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4"/>
      <c r="J299" s="64"/>
      <c r="K299" s="64"/>
      <c r="L299" s="64"/>
      <c r="M299" s="6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4"/>
      <c r="J300" s="64"/>
      <c r="K300" s="64"/>
      <c r="L300" s="64"/>
      <c r="M300" s="64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4"/>
      <c r="J301" s="64"/>
      <c r="K301" s="64"/>
      <c r="L301" s="64"/>
      <c r="M301" s="6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4"/>
      <c r="J302" s="64"/>
      <c r="K302" s="64"/>
      <c r="L302" s="64"/>
      <c r="M302" s="64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4"/>
      <c r="J303" s="64"/>
      <c r="K303" s="64"/>
      <c r="L303" s="64"/>
      <c r="M303" s="64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4"/>
      <c r="J304" s="64"/>
      <c r="K304" s="64"/>
      <c r="L304" s="64"/>
      <c r="M304" s="6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4"/>
      <c r="J305" s="64"/>
      <c r="K305" s="64"/>
      <c r="L305" s="64"/>
      <c r="M305" s="6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4"/>
      <c r="J306" s="64"/>
      <c r="K306" s="64"/>
      <c r="L306" s="64"/>
      <c r="M306" s="6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4"/>
      <c r="J307" s="64"/>
      <c r="K307" s="64"/>
      <c r="L307" s="64"/>
      <c r="M307" s="6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4"/>
      <c r="J308" s="64"/>
      <c r="K308" s="64"/>
      <c r="L308" s="64"/>
      <c r="M308" s="6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4"/>
      <c r="J309" s="64"/>
      <c r="K309" s="64"/>
      <c r="L309" s="64"/>
      <c r="M309" s="6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4"/>
      <c r="J310" s="64"/>
      <c r="K310" s="64"/>
      <c r="L310" s="64"/>
      <c r="M310" s="64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4"/>
      <c r="J311" s="64"/>
      <c r="K311" s="64"/>
      <c r="L311" s="64"/>
      <c r="M311" s="6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4"/>
      <c r="J312" s="64"/>
      <c r="K312" s="64"/>
      <c r="L312" s="64"/>
      <c r="M312" s="64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4"/>
      <c r="J313" s="64"/>
      <c r="K313" s="64"/>
      <c r="L313" s="64"/>
      <c r="M313" s="64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4"/>
      <c r="J314" s="64"/>
      <c r="K314" s="64"/>
      <c r="L314" s="64"/>
      <c r="M314" s="6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4"/>
      <c r="J315" s="64"/>
      <c r="K315" s="64"/>
      <c r="L315" s="64"/>
      <c r="M315" s="6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4"/>
      <c r="J316" s="64"/>
      <c r="K316" s="64"/>
      <c r="L316" s="64"/>
      <c r="M316" s="6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4"/>
      <c r="J317" s="64"/>
      <c r="K317" s="64"/>
      <c r="L317" s="64"/>
      <c r="M317" s="6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4"/>
      <c r="J318" s="64"/>
      <c r="K318" s="64"/>
      <c r="L318" s="64"/>
      <c r="M318" s="64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4"/>
      <c r="J319" s="64"/>
      <c r="K319" s="64"/>
      <c r="L319" s="64"/>
      <c r="M319" s="64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4"/>
      <c r="J320" s="64"/>
      <c r="K320" s="64"/>
      <c r="L320" s="64"/>
      <c r="M320" s="6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4"/>
      <c r="J321" s="64"/>
      <c r="K321" s="64"/>
      <c r="L321" s="64"/>
      <c r="M321" s="6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4"/>
      <c r="J322" s="64"/>
      <c r="K322" s="64"/>
      <c r="L322" s="64"/>
      <c r="M322" s="6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4"/>
      <c r="J323" s="64"/>
      <c r="K323" s="64"/>
      <c r="L323" s="64"/>
      <c r="M323" s="6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4"/>
      <c r="J324" s="64"/>
      <c r="K324" s="64"/>
      <c r="L324" s="64"/>
      <c r="M324" s="6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4"/>
      <c r="J325" s="64"/>
      <c r="K325" s="64"/>
      <c r="L325" s="64"/>
      <c r="M325" s="6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4"/>
      <c r="J326" s="64"/>
      <c r="K326" s="64"/>
      <c r="L326" s="64"/>
      <c r="M326" s="6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4"/>
      <c r="J327" s="64"/>
      <c r="K327" s="64"/>
      <c r="L327" s="64"/>
      <c r="M327" s="64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4"/>
      <c r="J328" s="64"/>
      <c r="K328" s="64"/>
      <c r="L328" s="64"/>
      <c r="M328" s="64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4"/>
      <c r="J329" s="64"/>
      <c r="K329" s="64"/>
      <c r="L329" s="64"/>
      <c r="M329" s="6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4"/>
      <c r="J330" s="64"/>
      <c r="K330" s="64"/>
      <c r="L330" s="64"/>
      <c r="M330" s="64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4"/>
      <c r="J331" s="64"/>
      <c r="K331" s="64"/>
      <c r="L331" s="64"/>
      <c r="M331" s="64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4"/>
      <c r="J332" s="64"/>
      <c r="K332" s="64"/>
      <c r="L332" s="64"/>
      <c r="M332" s="6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4"/>
      <c r="J333" s="64"/>
      <c r="K333" s="64"/>
      <c r="L333" s="64"/>
      <c r="M333" s="64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4"/>
      <c r="J334" s="64"/>
      <c r="K334" s="64"/>
      <c r="L334" s="64"/>
      <c r="M334" s="6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4"/>
      <c r="J335" s="64"/>
      <c r="K335" s="64"/>
      <c r="L335" s="64"/>
      <c r="M335" s="6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4"/>
      <c r="J336" s="64"/>
      <c r="K336" s="64"/>
      <c r="L336" s="64"/>
      <c r="M336" s="6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4"/>
      <c r="J337" s="64"/>
      <c r="K337" s="64"/>
      <c r="L337" s="64"/>
      <c r="M337" s="6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4"/>
      <c r="J338" s="64"/>
      <c r="K338" s="64"/>
      <c r="L338" s="64"/>
      <c r="M338" s="6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4"/>
      <c r="J339" s="64"/>
      <c r="K339" s="64"/>
      <c r="L339" s="64"/>
      <c r="M339" s="6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4"/>
      <c r="J340" s="64"/>
      <c r="K340" s="64"/>
      <c r="L340" s="64"/>
      <c r="M340" s="6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4"/>
      <c r="J341" s="64"/>
      <c r="K341" s="64"/>
      <c r="L341" s="64"/>
      <c r="M341" s="6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4"/>
      <c r="J342" s="64"/>
      <c r="K342" s="64"/>
      <c r="L342" s="64"/>
      <c r="M342" s="64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4"/>
      <c r="J343" s="64"/>
      <c r="K343" s="64"/>
      <c r="L343" s="64"/>
      <c r="M343" s="64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4"/>
      <c r="J344" s="64"/>
      <c r="K344" s="64"/>
      <c r="L344" s="64"/>
      <c r="M344" s="6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4"/>
      <c r="J345" s="64"/>
      <c r="K345" s="64"/>
      <c r="L345" s="64"/>
      <c r="M345" s="6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4"/>
      <c r="J346" s="64"/>
      <c r="K346" s="64"/>
      <c r="L346" s="64"/>
      <c r="M346" s="6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4"/>
      <c r="J347" s="64"/>
      <c r="K347" s="64"/>
      <c r="L347" s="64"/>
      <c r="M347" s="64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4"/>
      <c r="J348" s="64"/>
      <c r="K348" s="64"/>
      <c r="L348" s="64"/>
      <c r="M348" s="6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4"/>
      <c r="J349" s="64"/>
      <c r="K349" s="64"/>
      <c r="L349" s="64"/>
      <c r="M349" s="6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4"/>
      <c r="J350" s="64"/>
      <c r="K350" s="64"/>
      <c r="L350" s="64"/>
      <c r="M350" s="6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4"/>
      <c r="J351" s="64"/>
      <c r="K351" s="64"/>
      <c r="L351" s="64"/>
      <c r="M351" s="6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4"/>
      <c r="J352" s="64"/>
      <c r="K352" s="64"/>
      <c r="L352" s="64"/>
      <c r="M352" s="6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4"/>
      <c r="J353" s="64"/>
      <c r="K353" s="64"/>
      <c r="L353" s="64"/>
      <c r="M353" s="64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4"/>
      <c r="J354" s="64"/>
      <c r="K354" s="64"/>
      <c r="L354" s="64"/>
      <c r="M354" s="6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4"/>
      <c r="J355" s="64"/>
      <c r="K355" s="64"/>
      <c r="L355" s="64"/>
      <c r="M355" s="64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4"/>
      <c r="J356" s="64"/>
      <c r="K356" s="64"/>
      <c r="L356" s="64"/>
      <c r="M356" s="64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80" zoomScaleNormal="8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4"/>
      <c r="G1" s="6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0" t="s">
        <v>272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4" customFormat="1" x14ac:dyDescent="0.3">
      <c r="A3" s="91"/>
      <c r="B3" s="91"/>
      <c r="C3" s="91"/>
      <c r="D3" s="91"/>
      <c r="E3" s="91"/>
      <c r="F3" s="172"/>
      <c r="G3" s="172"/>
      <c r="H3" s="173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</row>
    <row r="4" spans="1:42" s="194" customFormat="1" x14ac:dyDescent="0.3">
      <c r="A4" s="91"/>
      <c r="B4" s="91"/>
      <c r="C4" s="91"/>
      <c r="D4" s="91"/>
      <c r="E4" s="91"/>
      <c r="G4" s="172"/>
      <c r="H4" s="318" t="s">
        <v>315</v>
      </c>
      <c r="I4" s="318"/>
      <c r="K4" s="315" t="s">
        <v>253</v>
      </c>
      <c r="L4" s="316"/>
      <c r="M4" s="259">
        <v>4.4999999999999998E-2</v>
      </c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</row>
    <row r="5" spans="1:42" s="194" customFormat="1" x14ac:dyDescent="0.3">
      <c r="A5" s="91"/>
      <c r="B5" s="91"/>
      <c r="C5" s="91"/>
      <c r="D5" s="91"/>
      <c r="E5" s="91"/>
      <c r="G5" s="172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</row>
    <row r="6" spans="1:42" s="194" customFormat="1" ht="15" thickBot="1" x14ac:dyDescent="0.35">
      <c r="A6" s="91"/>
      <c r="B6" s="91"/>
      <c r="C6" s="91"/>
      <c r="D6" s="91"/>
      <c r="E6" s="91"/>
      <c r="F6" s="220"/>
      <c r="G6" s="172"/>
      <c r="H6" s="174"/>
      <c r="I6" s="174"/>
      <c r="J6" s="174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</row>
    <row r="7" spans="1:42" s="194" customFormat="1" ht="27.75" customHeight="1" thickBot="1" x14ac:dyDescent="0.55000000000000004">
      <c r="A7" s="266"/>
      <c r="B7" s="267"/>
      <c r="C7" s="267"/>
      <c r="D7" s="267"/>
      <c r="E7" s="268"/>
      <c r="F7" s="268" t="s">
        <v>192</v>
      </c>
      <c r="G7" s="269"/>
      <c r="H7" s="267"/>
      <c r="I7" s="267"/>
      <c r="J7" s="270"/>
      <c r="K7" s="264"/>
      <c r="L7" s="265"/>
      <c r="M7" s="265"/>
      <c r="N7" s="271" t="s">
        <v>191</v>
      </c>
      <c r="O7" s="271"/>
      <c r="P7" s="272"/>
      <c r="Q7" s="273"/>
      <c r="R7" s="326" t="s">
        <v>310</v>
      </c>
      <c r="S7" s="327"/>
      <c r="T7" s="327"/>
      <c r="U7" s="327"/>
      <c r="V7" s="328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</row>
    <row r="8" spans="1:42" x14ac:dyDescent="0.3">
      <c r="A8" s="25"/>
      <c r="C8" s="25"/>
      <c r="D8" s="25"/>
      <c r="E8" s="25"/>
      <c r="F8" s="212"/>
      <c r="G8" s="212"/>
      <c r="H8" s="5"/>
      <c r="I8" s="5"/>
      <c r="J8" s="205"/>
      <c r="K8" s="216"/>
      <c r="L8" s="25"/>
      <c r="M8" s="25"/>
      <c r="N8" s="25"/>
      <c r="O8" s="25"/>
      <c r="P8" s="25"/>
      <c r="Q8" s="256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1" t="s">
        <v>311</v>
      </c>
      <c r="C9" s="25"/>
      <c r="D9" s="25"/>
      <c r="E9" s="25"/>
      <c r="F9" s="252"/>
      <c r="G9" s="251" t="s">
        <v>314</v>
      </c>
      <c r="J9" s="205"/>
      <c r="K9" s="216"/>
      <c r="O9" s="25"/>
      <c r="P9" s="25"/>
      <c r="Q9" s="256"/>
      <c r="R9" s="25"/>
      <c r="S9" s="5"/>
      <c r="T9" s="177" t="s">
        <v>262</v>
      </c>
      <c r="U9" s="180" t="s">
        <v>249</v>
      </c>
      <c r="V9" s="177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1" t="s">
        <v>317</v>
      </c>
      <c r="C10" s="25"/>
      <c r="D10" s="25"/>
      <c r="E10" s="25"/>
      <c r="F10" s="252"/>
      <c r="G10" s="251" t="s">
        <v>316</v>
      </c>
      <c r="J10" s="205"/>
      <c r="K10" s="216"/>
      <c r="O10" s="25"/>
      <c r="P10" s="25"/>
      <c r="Q10" s="256"/>
      <c r="R10" s="25"/>
      <c r="S10" s="177" t="str">
        <f>B14</f>
        <v>Chêne pubescent</v>
      </c>
      <c r="T10" s="181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750.85209959047427</v>
      </c>
      <c r="U10" s="182">
        <f>'Données projet'!D9</f>
        <v>1.1564000000000001</v>
      </c>
      <c r="V10" s="181">
        <f>U10*T10</f>
        <v>868.28536796642447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1" t="s">
        <v>312</v>
      </c>
      <c r="B11" s="25"/>
      <c r="C11" s="25"/>
      <c r="D11" s="25"/>
      <c r="E11" s="25"/>
      <c r="F11" s="252"/>
      <c r="G11" s="251" t="s">
        <v>313</v>
      </c>
      <c r="J11" s="205"/>
      <c r="K11" s="216"/>
      <c r="M11" s="5"/>
      <c r="N11" s="5"/>
      <c r="O11" s="25"/>
      <c r="P11" s="25"/>
      <c r="Q11" s="256"/>
      <c r="R11" s="25"/>
      <c r="S11" s="177" t="str">
        <f>B45</f>
        <v>Chêne sessile</v>
      </c>
      <c r="T11" s="26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724.23365185623982</v>
      </c>
      <c r="U11" s="182">
        <f>'Données projet'!D10</f>
        <v>1.4258999999999999</v>
      </c>
      <c r="V11" s="181">
        <f t="shared" ref="V11" si="0">U11*T11</f>
        <v>1032.6847641818124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2"/>
      <c r="G12" s="1"/>
      <c r="J12" s="205"/>
      <c r="K12" s="216"/>
      <c r="L12" s="208"/>
      <c r="M12" s="25"/>
      <c r="N12" s="25"/>
      <c r="O12" s="25"/>
      <c r="P12" s="25"/>
      <c r="Q12" s="256"/>
      <c r="R12" s="25"/>
      <c r="S12" s="177" t="str">
        <f>B76</f>
        <v>Chêne rouge d'Amérique</v>
      </c>
      <c r="T12" s="26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3805.3769446613642</v>
      </c>
      <c r="U12" s="182">
        <f>'Données projet'!D11</f>
        <v>0.42630000000000001</v>
      </c>
      <c r="V12" s="181">
        <f t="shared" ref="V12:V19" si="1">U12*T12</f>
        <v>1622.2321915091395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2"/>
      <c r="J13" s="25"/>
      <c r="K13" s="216"/>
      <c r="L13" s="176" t="s">
        <v>257</v>
      </c>
      <c r="M13" s="25"/>
      <c r="N13" s="25"/>
      <c r="O13" s="25"/>
      <c r="P13" s="25"/>
      <c r="Q13" s="256"/>
      <c r="R13" s="25"/>
      <c r="S13" s="177" t="str">
        <f>B107</f>
        <v>Alisier torminal</v>
      </c>
      <c r="T13" s="263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455.36993248502847</v>
      </c>
      <c r="U13" s="182">
        <f>'Données projet'!D12</f>
        <v>0.26950000000000002</v>
      </c>
      <c r="V13" s="181">
        <f t="shared" si="1"/>
        <v>122.72219680471518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78" t="str">
        <f>IF('Données projet'!$B$9="","",'Données projet'!$B$9)</f>
        <v>Chêne pubescent</v>
      </c>
      <c r="C14" s="5"/>
      <c r="D14" s="5"/>
      <c r="E14" s="5"/>
      <c r="F14" s="252"/>
      <c r="G14" s="212"/>
      <c r="H14" s="177" t="s">
        <v>178</v>
      </c>
      <c r="I14" s="177" t="s">
        <v>290</v>
      </c>
      <c r="J14" s="206"/>
      <c r="K14" s="175"/>
      <c r="L14" s="208"/>
      <c r="M14" s="25"/>
      <c r="N14" s="25"/>
      <c r="O14" s="5"/>
      <c r="P14" s="5"/>
      <c r="Q14" s="257"/>
      <c r="R14" s="5"/>
      <c r="S14" s="177" t="str">
        <f>B138</f>
        <v/>
      </c>
      <c r="T14" s="26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2">
        <f>'Données projet'!D13</f>
        <v>0</v>
      </c>
      <c r="V14" s="181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2"/>
      <c r="G15" s="319" t="s">
        <v>318</v>
      </c>
      <c r="H15" s="195">
        <v>0</v>
      </c>
      <c r="I15" s="196">
        <v>0</v>
      </c>
      <c r="J15" s="207"/>
      <c r="K15" s="216"/>
      <c r="L15" s="208"/>
      <c r="M15" s="25"/>
      <c r="N15" s="25"/>
      <c r="O15" s="25"/>
      <c r="P15" s="25"/>
      <c r="Q15" s="256"/>
      <c r="R15" s="25"/>
      <c r="S15" s="177" t="str">
        <f>B169</f>
        <v>Charme</v>
      </c>
      <c r="T15" s="26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549.4708300376044</v>
      </c>
      <c r="U15" s="182">
        <f>'Données projet'!D14</f>
        <v>0.74480000000000002</v>
      </c>
      <c r="V15" s="181">
        <f t="shared" si="1"/>
        <v>409.24587421200778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48" t="s">
        <v>180</v>
      </c>
      <c r="B16" s="51" t="s">
        <v>256</v>
      </c>
      <c r="C16" s="51" t="s">
        <v>255</v>
      </c>
      <c r="D16" s="248" t="s">
        <v>252</v>
      </c>
      <c r="E16" s="248" t="s">
        <v>320</v>
      </c>
      <c r="F16" s="252"/>
      <c r="G16" s="319"/>
      <c r="H16" s="195"/>
      <c r="I16" s="196"/>
      <c r="J16" s="207"/>
      <c r="K16" s="216"/>
      <c r="L16" s="315" t="s">
        <v>254</v>
      </c>
      <c r="M16" s="316"/>
      <c r="N16" s="2"/>
      <c r="O16" s="25"/>
      <c r="P16" s="25"/>
      <c r="Q16" s="256"/>
      <c r="R16" s="25"/>
      <c r="S16" s="177" t="str">
        <f>B200</f>
        <v>Chêne chevelu</v>
      </c>
      <c r="T16" s="26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752.12998916244396</v>
      </c>
      <c r="U16" s="182">
        <f>'Données projet'!D15</f>
        <v>8.3300000000000013E-2</v>
      </c>
      <c r="V16" s="181">
        <f t="shared" si="1"/>
        <v>62.652428097231592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1">
        <v>0</v>
      </c>
      <c r="B17" s="204" t="s">
        <v>132</v>
      </c>
      <c r="C17" s="203" t="s">
        <v>132</v>
      </c>
      <c r="D17" s="202" t="s">
        <v>132</v>
      </c>
      <c r="E17" s="198"/>
      <c r="F17" s="252"/>
      <c r="G17" s="319"/>
      <c r="J17" s="207"/>
      <c r="K17" s="216"/>
      <c r="L17" s="286" t="s">
        <v>289</v>
      </c>
      <c r="M17" s="288"/>
      <c r="N17" s="179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56"/>
      <c r="R17" s="25"/>
      <c r="S17" s="177" t="str">
        <f>B231</f>
        <v>Cèdre de l'Atlas</v>
      </c>
      <c r="T17" s="26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1657.5911308147424</v>
      </c>
      <c r="U17" s="182">
        <f>'Données projet'!D16</f>
        <v>0.2646</v>
      </c>
      <c r="V17" s="181">
        <f t="shared" si="1"/>
        <v>438.59861321358085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1">
        <v>1</v>
      </c>
      <c r="B18" s="204" t="s">
        <v>132</v>
      </c>
      <c r="C18" s="203" t="s">
        <v>132</v>
      </c>
      <c r="D18" s="202" t="s">
        <v>132</v>
      </c>
      <c r="E18" s="198"/>
      <c r="F18" s="252"/>
      <c r="G18" s="319"/>
      <c r="J18" s="207"/>
      <c r="K18" s="216"/>
      <c r="L18" s="286" t="s">
        <v>255</v>
      </c>
      <c r="M18" s="288"/>
      <c r="N18" s="197"/>
      <c r="O18" s="25"/>
      <c r="P18" s="25"/>
      <c r="Q18" s="256"/>
      <c r="R18" s="25"/>
      <c r="S18" s="177" t="str">
        <f>B262</f>
        <v>Tilleul</v>
      </c>
      <c r="T18" s="26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730.78077826426556</v>
      </c>
      <c r="U18" s="182">
        <f>'Données projet'!D17</f>
        <v>0.12740000000000001</v>
      </c>
      <c r="V18" s="181">
        <f t="shared" si="1"/>
        <v>93.10147115086744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1">
        <v>2</v>
      </c>
      <c r="B19" s="204" t="s">
        <v>132</v>
      </c>
      <c r="C19" s="203" t="s">
        <v>132</v>
      </c>
      <c r="D19" s="202" t="s">
        <v>132</v>
      </c>
      <c r="E19" s="198"/>
      <c r="F19" s="252"/>
      <c r="G19" s="319"/>
      <c r="H19" s="223" t="s">
        <v>178</v>
      </c>
      <c r="I19" s="223" t="s">
        <v>287</v>
      </c>
      <c r="J19" s="251"/>
      <c r="K19" s="175"/>
      <c r="L19" s="315" t="s">
        <v>288</v>
      </c>
      <c r="M19" s="316"/>
      <c r="N19" s="183">
        <f>N17*N18</f>
        <v>0</v>
      </c>
      <c r="O19" s="25"/>
      <c r="P19" s="5"/>
      <c r="Q19" s="257"/>
      <c r="R19" s="5"/>
      <c r="S19" s="177" t="str">
        <f>B293</f>
        <v/>
      </c>
      <c r="T19" s="26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2">
        <f>'Données projet'!D18</f>
        <v>0</v>
      </c>
      <c r="V19" s="181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1">
        <v>3</v>
      </c>
      <c r="B20" s="204" t="s">
        <v>132</v>
      </c>
      <c r="C20" s="203" t="s">
        <v>132</v>
      </c>
      <c r="D20" s="202" t="s">
        <v>132</v>
      </c>
      <c r="E20" s="198"/>
      <c r="F20" s="252"/>
      <c r="G20" s="319"/>
      <c r="H20" s="195">
        <v>0</v>
      </c>
      <c r="I20" s="196">
        <v>8500</v>
      </c>
      <c r="J20" s="5"/>
      <c r="K20" s="175"/>
      <c r="O20" s="25"/>
      <c r="P20" s="5"/>
      <c r="Q20" s="257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1">
        <v>4</v>
      </c>
      <c r="B21" s="204" t="s">
        <v>132</v>
      </c>
      <c r="C21" s="203" t="s">
        <v>132</v>
      </c>
      <c r="D21" s="202" t="s">
        <v>132</v>
      </c>
      <c r="E21" s="198"/>
      <c r="F21" s="252"/>
      <c r="H21" s="195"/>
      <c r="I21" s="196"/>
      <c r="K21" s="175"/>
      <c r="O21" s="25"/>
      <c r="P21" s="5"/>
      <c r="Q21" s="257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1">
        <v>5</v>
      </c>
      <c r="B22" s="204" t="s">
        <v>132</v>
      </c>
      <c r="C22" s="203" t="s">
        <v>132</v>
      </c>
      <c r="D22" s="202" t="s">
        <v>132</v>
      </c>
      <c r="E22" s="198"/>
      <c r="F22" s="252"/>
      <c r="H22" s="195"/>
      <c r="I22" s="196"/>
      <c r="K22" s="175"/>
      <c r="O22" s="25"/>
      <c r="P22" s="5"/>
      <c r="Q22" s="257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4">
        <f>'Données projet'!A36</f>
        <v>20</v>
      </c>
      <c r="B23" s="185">
        <f>'Données projet'!D36</f>
        <v>0</v>
      </c>
      <c r="C23" s="196">
        <v>0</v>
      </c>
      <c r="D23" s="186">
        <f>B23*C23</f>
        <v>0</v>
      </c>
      <c r="E23" s="198"/>
      <c r="F23" s="252"/>
      <c r="H23" s="195"/>
      <c r="I23" s="196"/>
      <c r="K23" s="216"/>
      <c r="L23" s="317" t="s">
        <v>260</v>
      </c>
      <c r="M23" s="317"/>
      <c r="N23" s="317"/>
      <c r="O23" s="25"/>
      <c r="P23" s="25"/>
      <c r="Q23" s="256"/>
      <c r="R23" s="25"/>
      <c r="S23" s="177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-37000.477092864217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4">
        <f>'Données projet'!A37</f>
        <v>25</v>
      </c>
      <c r="B24" s="185">
        <f>'Données projet'!D37</f>
        <v>8</v>
      </c>
      <c r="C24" s="198">
        <v>10</v>
      </c>
      <c r="D24" s="186">
        <f t="shared" ref="D24:D42" si="2">B24*C24</f>
        <v>80</v>
      </c>
      <c r="E24" s="198"/>
      <c r="F24" s="255"/>
      <c r="H24" s="195"/>
      <c r="I24" s="196"/>
      <c r="K24" s="216"/>
      <c r="O24" s="25"/>
      <c r="P24" s="25"/>
      <c r="Q24" s="256"/>
      <c r="R24" s="25"/>
      <c r="S24" s="177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3263.7104448689815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4">
        <f>'Données projet'!A38</f>
        <v>30</v>
      </c>
      <c r="B25" s="185">
        <f>'Données projet'!D38</f>
        <v>0</v>
      </c>
      <c r="C25" s="198">
        <v>0</v>
      </c>
      <c r="D25" s="186">
        <f t="shared" si="2"/>
        <v>0</v>
      </c>
      <c r="E25" s="198"/>
      <c r="F25" s="255"/>
      <c r="G25" s="1"/>
      <c r="H25" s="195"/>
      <c r="I25" s="196"/>
      <c r="K25" s="216"/>
      <c r="L25" s="262" t="s">
        <v>285</v>
      </c>
      <c r="M25" s="262"/>
      <c r="N25" s="262"/>
      <c r="O25" s="262"/>
      <c r="P25" s="197">
        <v>30</v>
      </c>
      <c r="Q25" s="256"/>
      <c r="R25" s="25"/>
      <c r="S25" s="190" t="s">
        <v>266</v>
      </c>
      <c r="T25" s="333">
        <f ca="1">T23-T24</f>
        <v>-40264.187537733196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4">
        <f>'Données projet'!A39</f>
        <v>35</v>
      </c>
      <c r="B26" s="185">
        <f>'Données projet'!D39</f>
        <v>42</v>
      </c>
      <c r="C26" s="198">
        <v>10</v>
      </c>
      <c r="D26" s="186">
        <f t="shared" si="2"/>
        <v>420</v>
      </c>
      <c r="E26" s="198"/>
      <c r="F26" s="255"/>
      <c r="G26" s="250"/>
      <c r="H26" s="195"/>
      <c r="I26" s="196"/>
      <c r="K26" s="216"/>
      <c r="L26" s="320" t="s">
        <v>258</v>
      </c>
      <c r="M26" s="321"/>
      <c r="N26" s="321"/>
      <c r="O26" s="321"/>
      <c r="P26" s="322"/>
      <c r="Q26" s="256"/>
      <c r="R26" s="25"/>
      <c r="S26" s="190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4">
        <f>'Données projet'!A40</f>
        <v>40</v>
      </c>
      <c r="B27" s="185">
        <f>'Données projet'!D40</f>
        <v>0</v>
      </c>
      <c r="C27" s="198">
        <v>0</v>
      </c>
      <c r="D27" s="186">
        <f t="shared" si="2"/>
        <v>0</v>
      </c>
      <c r="E27" s="198"/>
      <c r="F27" s="255"/>
      <c r="G27" s="250"/>
      <c r="H27" s="195"/>
      <c r="I27" s="196"/>
      <c r="K27" s="216"/>
      <c r="L27" s="323"/>
      <c r="M27" s="324"/>
      <c r="N27" s="324"/>
      <c r="O27" s="324"/>
      <c r="P27" s="325"/>
      <c r="Q27" s="256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4">
        <f>'Données projet'!A41</f>
        <v>45</v>
      </c>
      <c r="B28" s="185">
        <f>'Données projet'!D41</f>
        <v>42</v>
      </c>
      <c r="C28" s="198">
        <v>20</v>
      </c>
      <c r="D28" s="186">
        <f t="shared" si="2"/>
        <v>840</v>
      </c>
      <c r="E28" s="198"/>
      <c r="F28" s="255"/>
      <c r="G28" s="213"/>
      <c r="H28" s="195"/>
      <c r="I28" s="196"/>
      <c r="K28" s="216"/>
      <c r="Q28" s="256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4">
        <f>'Données projet'!A42</f>
        <v>50</v>
      </c>
      <c r="B29" s="185">
        <f>'Données projet'!D42</f>
        <v>0</v>
      </c>
      <c r="C29" s="198">
        <v>0</v>
      </c>
      <c r="D29" s="186">
        <f t="shared" si="2"/>
        <v>0</v>
      </c>
      <c r="E29" s="198"/>
      <c r="F29" s="255"/>
      <c r="G29" s="209"/>
      <c r="H29" s="195"/>
      <c r="I29" s="196"/>
      <c r="K29" s="216"/>
      <c r="O29" s="25"/>
      <c r="P29" s="25"/>
      <c r="Q29" s="256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4">
        <f>'Données projet'!A43</f>
        <v>55</v>
      </c>
      <c r="B30" s="185">
        <f>'Données projet'!D43</f>
        <v>42</v>
      </c>
      <c r="C30" s="198">
        <v>30</v>
      </c>
      <c r="D30" s="186">
        <f t="shared" si="2"/>
        <v>1260</v>
      </c>
      <c r="E30" s="198"/>
      <c r="F30" s="255"/>
      <c r="G30" s="209"/>
      <c r="H30" s="195"/>
      <c r="I30" s="196"/>
      <c r="K30" s="187"/>
      <c r="L30" s="177" t="s">
        <v>259</v>
      </c>
      <c r="M30" s="188">
        <f ca="1">SUM(OFFSET($P$33,0,0,MIN('Données projet'!$E$9:$E$18)+1,1))</f>
        <v>666.06335609571045</v>
      </c>
      <c r="O30" s="5"/>
      <c r="P30" s="5"/>
      <c r="Q30" s="257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4">
        <f>'Données projet'!A44</f>
        <v>60</v>
      </c>
      <c r="B31" s="185">
        <f>'Données projet'!D44</f>
        <v>0</v>
      </c>
      <c r="C31" s="198">
        <v>0</v>
      </c>
      <c r="D31" s="186">
        <f t="shared" si="2"/>
        <v>0</v>
      </c>
      <c r="E31" s="198"/>
      <c r="F31" s="255"/>
      <c r="G31" s="209"/>
      <c r="H31" s="195"/>
      <c r="I31" s="196"/>
      <c r="K31" s="175"/>
      <c r="Q31" s="256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4">
        <f>'Données projet'!A45</f>
        <v>65</v>
      </c>
      <c r="B32" s="185">
        <f>'Données projet'!D45</f>
        <v>42</v>
      </c>
      <c r="C32" s="198">
        <v>40</v>
      </c>
      <c r="D32" s="186">
        <f t="shared" si="2"/>
        <v>1680</v>
      </c>
      <c r="E32" s="198"/>
      <c r="F32" s="255"/>
      <c r="G32" s="209"/>
      <c r="H32" s="195"/>
      <c r="I32" s="196"/>
      <c r="K32" s="175"/>
      <c r="N32" s="5"/>
      <c r="O32" s="261" t="s">
        <v>178</v>
      </c>
      <c r="P32" s="261" t="s">
        <v>252</v>
      </c>
      <c r="Q32" s="256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4">
        <f>'Données projet'!A46</f>
        <v>70</v>
      </c>
      <c r="B33" s="185">
        <f>'Données projet'!D46</f>
        <v>0</v>
      </c>
      <c r="C33" s="198">
        <v>0</v>
      </c>
      <c r="D33" s="186">
        <f t="shared" si="2"/>
        <v>0</v>
      </c>
      <c r="E33" s="198"/>
      <c r="F33" s="255"/>
      <c r="G33" s="209"/>
      <c r="H33" s="195"/>
      <c r="I33" s="196"/>
      <c r="K33" s="175"/>
      <c r="L33" s="5"/>
      <c r="M33" s="5"/>
      <c r="N33" s="5"/>
      <c r="O33" s="199">
        <v>0</v>
      </c>
      <c r="P33" s="189">
        <f t="shared" ref="P33:P64" si="3">$P$25/(1+$M$4)^O33</f>
        <v>30</v>
      </c>
      <c r="Q33" s="256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4">
        <f>'Données projet'!A47</f>
        <v>75</v>
      </c>
      <c r="B34" s="185">
        <f>'Données projet'!D47</f>
        <v>42</v>
      </c>
      <c r="C34" s="198">
        <v>50</v>
      </c>
      <c r="D34" s="186">
        <f t="shared" si="2"/>
        <v>2100</v>
      </c>
      <c r="E34" s="198"/>
      <c r="F34" s="255"/>
      <c r="G34" s="209"/>
      <c r="H34" s="195"/>
      <c r="I34" s="196"/>
      <c r="K34" s="175"/>
      <c r="L34" s="275"/>
      <c r="M34" s="275"/>
      <c r="N34" s="276"/>
      <c r="O34" s="199">
        <f>IF(O33+1&lt;=MIN('Données projet'!$E$9:$E$18),O33+1,"STOP")</f>
        <v>1</v>
      </c>
      <c r="P34" s="189">
        <f t="shared" si="3"/>
        <v>28.708133971291868</v>
      </c>
      <c r="Q34" s="256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4">
        <f>'Données projet'!A48</f>
        <v>80</v>
      </c>
      <c r="B35" s="185">
        <f>'Données projet'!D48</f>
        <v>0</v>
      </c>
      <c r="C35" s="198">
        <v>60</v>
      </c>
      <c r="D35" s="186">
        <f t="shared" si="2"/>
        <v>0</v>
      </c>
      <c r="E35" s="198"/>
      <c r="F35" s="255"/>
      <c r="G35" s="209"/>
      <c r="H35" s="195"/>
      <c r="I35" s="196"/>
      <c r="K35" s="175"/>
      <c r="L35" s="275"/>
      <c r="M35" s="275"/>
      <c r="N35" s="276"/>
      <c r="O35" s="199">
        <f>IF(O34+1&lt;=MIN('Données projet'!$E$9:$E$18),O34+1,"STOP")</f>
        <v>2</v>
      </c>
      <c r="P35" s="189">
        <f t="shared" si="3"/>
        <v>27.471898537121408</v>
      </c>
      <c r="Q35" s="256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4">
        <f>'Données projet'!A49</f>
        <v>90</v>
      </c>
      <c r="B36" s="185">
        <f>'Données projet'!D49</f>
        <v>42</v>
      </c>
      <c r="C36" s="198">
        <v>70</v>
      </c>
      <c r="D36" s="186">
        <f t="shared" si="2"/>
        <v>2940</v>
      </c>
      <c r="E36" s="198"/>
      <c r="F36" s="255"/>
      <c r="G36" s="209"/>
      <c r="H36" s="195"/>
      <c r="I36" s="196"/>
      <c r="K36" s="175"/>
      <c r="L36" s="25"/>
      <c r="M36" s="25"/>
      <c r="N36" s="25"/>
      <c r="O36" s="199">
        <f>IF(O35+1&lt;=MIN('Données projet'!$E$9:$E$18),O35+1,"STOP")</f>
        <v>3</v>
      </c>
      <c r="P36" s="189">
        <f t="shared" si="3"/>
        <v>26.288898121647279</v>
      </c>
      <c r="Q36" s="256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4">
        <f>'Données projet'!A50</f>
        <v>105</v>
      </c>
      <c r="B37" s="185">
        <f>'Données projet'!D50</f>
        <v>62</v>
      </c>
      <c r="C37" s="198">
        <v>80</v>
      </c>
      <c r="D37" s="186">
        <f t="shared" si="2"/>
        <v>4960</v>
      </c>
      <c r="E37" s="198"/>
      <c r="F37" s="255"/>
      <c r="G37" s="209"/>
      <c r="H37" s="195"/>
      <c r="I37" s="196"/>
      <c r="K37" s="175"/>
      <c r="L37" s="25"/>
      <c r="M37" s="25"/>
      <c r="N37" s="25"/>
      <c r="O37" s="199">
        <f>IF(O36+1&lt;=MIN('Données projet'!$E$9:$E$18),O36+1,"STOP")</f>
        <v>4</v>
      </c>
      <c r="P37" s="189">
        <f t="shared" si="3"/>
        <v>25.156840307796447</v>
      </c>
      <c r="Q37" s="256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4">
        <f>'Données projet'!A51</f>
        <v>120</v>
      </c>
      <c r="B38" s="185">
        <f>'Données projet'!D51</f>
        <v>54</v>
      </c>
      <c r="C38" s="198">
        <v>100</v>
      </c>
      <c r="D38" s="186">
        <f t="shared" si="2"/>
        <v>5400</v>
      </c>
      <c r="E38" s="198"/>
      <c r="F38" s="255"/>
      <c r="G38" s="209"/>
      <c r="H38" s="195"/>
      <c r="I38" s="196"/>
      <c r="K38" s="175"/>
      <c r="L38" s="25"/>
      <c r="M38" s="25"/>
      <c r="N38" s="25"/>
      <c r="O38" s="199">
        <f>IF(O37+1&lt;=MIN('Données projet'!$E$9:$E$18),O37+1,"STOP")</f>
        <v>5</v>
      </c>
      <c r="P38" s="189">
        <f t="shared" si="3"/>
        <v>24.073531395020524</v>
      </c>
      <c r="Q38" s="256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4">
        <f>'Données projet'!A52</f>
        <v>135</v>
      </c>
      <c r="B39" s="185">
        <f>'Données projet'!D52</f>
        <v>45</v>
      </c>
      <c r="C39" s="198">
        <v>150</v>
      </c>
      <c r="D39" s="186">
        <f t="shared" si="2"/>
        <v>6750</v>
      </c>
      <c r="E39" s="198"/>
      <c r="F39" s="255"/>
      <c r="G39" s="209"/>
      <c r="H39" s="195"/>
      <c r="I39" s="196"/>
      <c r="K39" s="216"/>
      <c r="L39" s="25"/>
      <c r="M39" s="25"/>
      <c r="N39" s="25"/>
      <c r="O39" s="199">
        <f>IF(O38+1&lt;=MIN('Données projet'!$E$9:$E$18),O38+1,"STOP")</f>
        <v>6</v>
      </c>
      <c r="P39" s="189">
        <f t="shared" si="3"/>
        <v>23.036872148345005</v>
      </c>
      <c r="Q39" s="256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4">
        <f>'Données projet'!A53</f>
        <v>150</v>
      </c>
      <c r="B40" s="185">
        <f>'Données projet'!D53</f>
        <v>306</v>
      </c>
      <c r="C40" s="198">
        <v>200</v>
      </c>
      <c r="D40" s="186">
        <f t="shared" si="2"/>
        <v>61200</v>
      </c>
      <c r="E40" s="198"/>
      <c r="F40" s="255"/>
      <c r="G40" s="209"/>
      <c r="H40" s="195"/>
      <c r="I40" s="196"/>
      <c r="K40" s="216"/>
      <c r="L40" s="25"/>
      <c r="M40" s="25"/>
      <c r="N40" s="25"/>
      <c r="O40" s="199">
        <f>IF(O39+1&lt;=MIN('Données projet'!$E$9:$E$18),O39+1,"STOP")</f>
        <v>7</v>
      </c>
      <c r="P40" s="189">
        <f t="shared" si="3"/>
        <v>22.044853730473687</v>
      </c>
      <c r="Q40" s="256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4">
        <f>'Données projet'!A54</f>
        <v>0</v>
      </c>
      <c r="B41" s="185">
        <f>'Données projet'!D54</f>
        <v>0</v>
      </c>
      <c r="C41" s="198"/>
      <c r="D41" s="186">
        <f t="shared" si="2"/>
        <v>0</v>
      </c>
      <c r="E41" s="198"/>
      <c r="F41" s="255"/>
      <c r="G41" s="209"/>
      <c r="H41" s="195"/>
      <c r="I41" s="196"/>
      <c r="K41" s="216"/>
      <c r="L41" s="25"/>
      <c r="M41" s="25"/>
      <c r="N41" s="25"/>
      <c r="O41" s="199">
        <f>IF(O40+1&lt;=MIN('Données projet'!$E$9:$E$18),O40+1,"STOP")</f>
        <v>8</v>
      </c>
      <c r="P41" s="189">
        <f t="shared" si="3"/>
        <v>21.095553809065734</v>
      </c>
      <c r="Q41" s="256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4">
        <f>'Données projet'!A55</f>
        <v>0</v>
      </c>
      <c r="B42" s="185">
        <f>'Données projet'!D55</f>
        <v>0</v>
      </c>
      <c r="C42" s="198"/>
      <c r="D42" s="186">
        <f t="shared" si="2"/>
        <v>0</v>
      </c>
      <c r="E42" s="198"/>
      <c r="F42" s="255"/>
      <c r="G42" s="209"/>
      <c r="H42" s="195"/>
      <c r="I42" s="196"/>
      <c r="K42" s="216"/>
      <c r="L42" s="25"/>
      <c r="M42" s="25"/>
      <c r="N42" s="25"/>
      <c r="O42" s="199">
        <f>IF(O41+1&lt;=MIN('Données projet'!$E$9:$E$18),O41+1,"STOP")</f>
        <v>9</v>
      </c>
      <c r="P42" s="189">
        <f t="shared" si="3"/>
        <v>20.187132831641854</v>
      </c>
      <c r="Q42" s="256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1"/>
      <c r="B43" s="191"/>
      <c r="C43" s="191"/>
      <c r="D43" s="247"/>
      <c r="E43" s="247"/>
      <c r="F43" s="260"/>
      <c r="G43" s="209"/>
      <c r="H43" s="195"/>
      <c r="I43" s="196"/>
      <c r="K43" s="216"/>
      <c r="L43" s="25"/>
      <c r="M43" s="25"/>
      <c r="N43" s="25"/>
      <c r="O43" s="199">
        <f>IF(O42+1&lt;=MIN('Données projet'!$E$9:$E$18),O42+1,"STOP")</f>
        <v>10</v>
      </c>
      <c r="P43" s="189">
        <f t="shared" si="3"/>
        <v>19.317830460901298</v>
      </c>
      <c r="Q43" s="257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2"/>
      <c r="G44" s="209"/>
      <c r="H44" s="195"/>
      <c r="I44" s="196"/>
      <c r="K44" s="216"/>
      <c r="L44" s="25"/>
      <c r="M44" s="25"/>
      <c r="N44" s="25"/>
      <c r="O44" s="199">
        <f>IF(O43+1&lt;=MIN('Données projet'!$E$9:$E$18),O43+1,"STOP")</f>
        <v>11</v>
      </c>
      <c r="P44" s="189">
        <f t="shared" si="3"/>
        <v>18.485962163541913</v>
      </c>
      <c r="Q44" s="257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78" t="str">
        <f>IF('Données projet'!$B$10="","",'Données projet'!$B$10)</f>
        <v>Chêne sessile</v>
      </c>
      <c r="C45" s="5"/>
      <c r="D45" s="5"/>
      <c r="E45" s="5"/>
      <c r="F45" s="252"/>
      <c r="G45" s="209"/>
      <c r="H45" s="195"/>
      <c r="I45" s="196"/>
      <c r="J45" s="25"/>
      <c r="K45" s="216"/>
      <c r="L45" s="25"/>
      <c r="M45" s="25"/>
      <c r="N45" s="25"/>
      <c r="O45" s="199">
        <f>IF(O44+1&lt;=MIN('Données projet'!$E$9:$E$18),O44+1,"STOP")</f>
        <v>12</v>
      </c>
      <c r="P45" s="189">
        <f t="shared" si="3"/>
        <v>17.689915945973127</v>
      </c>
      <c r="Q45" s="257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2"/>
      <c r="G46" s="209"/>
      <c r="H46" s="195"/>
      <c r="I46" s="196"/>
      <c r="J46" s="25"/>
      <c r="K46" s="216"/>
      <c r="L46" s="211"/>
      <c r="M46" s="211"/>
      <c r="N46" s="211"/>
      <c r="O46" s="199">
        <f>IF(O45+1&lt;=MIN('Données projet'!$E$9:$E$18),O45+1,"STOP")</f>
        <v>13</v>
      </c>
      <c r="P46" s="192">
        <f t="shared" si="3"/>
        <v>16.92814923059629</v>
      </c>
      <c r="Q46" s="257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48" t="s">
        <v>180</v>
      </c>
      <c r="B47" s="51" t="s">
        <v>256</v>
      </c>
      <c r="C47" s="51" t="s">
        <v>255</v>
      </c>
      <c r="D47" s="248" t="s">
        <v>252</v>
      </c>
      <c r="E47" s="248" t="s">
        <v>320</v>
      </c>
      <c r="F47" s="253"/>
      <c r="G47" s="209"/>
      <c r="H47" s="195"/>
      <c r="I47" s="196"/>
      <c r="J47" s="25"/>
      <c r="K47" s="216"/>
      <c r="L47" s="5"/>
      <c r="M47" s="5"/>
      <c r="N47" s="5"/>
      <c r="O47" s="199">
        <f>IF(O46+1&lt;=MIN('Données projet'!$E$9:$E$18),O46+1,"STOP")</f>
        <v>14</v>
      </c>
      <c r="P47" s="189">
        <f t="shared" si="3"/>
        <v>16.199185866599326</v>
      </c>
      <c r="Q47" s="257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1">
        <v>0</v>
      </c>
      <c r="B48" s="204" t="s">
        <v>132</v>
      </c>
      <c r="C48" s="203" t="s">
        <v>132</v>
      </c>
      <c r="D48" s="202" t="s">
        <v>132</v>
      </c>
      <c r="E48" s="198"/>
      <c r="F48" s="253"/>
      <c r="G48" s="209"/>
      <c r="H48" s="195"/>
      <c r="I48" s="196"/>
      <c r="J48" s="25"/>
      <c r="K48" s="216"/>
      <c r="L48" s="5"/>
      <c r="M48" s="5"/>
      <c r="N48" s="5"/>
      <c r="O48" s="199">
        <f>IF(O47+1&lt;=MIN('Données projet'!$E$9:$E$18),O47+1,"STOP")</f>
        <v>15</v>
      </c>
      <c r="P48" s="189">
        <f t="shared" si="3"/>
        <v>15.501613269473038</v>
      </c>
      <c r="Q48" s="257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0" customFormat="1" ht="17.25" customHeight="1" x14ac:dyDescent="0.3">
      <c r="A49" s="201">
        <v>1</v>
      </c>
      <c r="B49" s="204" t="s">
        <v>132</v>
      </c>
      <c r="C49" s="203" t="s">
        <v>132</v>
      </c>
      <c r="D49" s="202" t="s">
        <v>132</v>
      </c>
      <c r="E49" s="198"/>
      <c r="F49" s="253"/>
      <c r="G49" s="210"/>
      <c r="H49" s="195"/>
      <c r="I49" s="196"/>
      <c r="J49" s="211"/>
      <c r="K49" s="218"/>
      <c r="L49" s="5"/>
      <c r="M49" s="5"/>
      <c r="N49" s="5"/>
      <c r="O49" s="199">
        <f>IF(O48+1&lt;=MIN('Données projet'!$E$9:$E$18),O48+1,"STOP")</f>
        <v>16</v>
      </c>
      <c r="P49" s="189">
        <f t="shared" si="3"/>
        <v>14.834079683706262</v>
      </c>
      <c r="Q49" s="258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</row>
    <row r="50" spans="1:56" x14ac:dyDescent="0.3">
      <c r="A50" s="201">
        <v>2</v>
      </c>
      <c r="B50" s="204" t="s">
        <v>132</v>
      </c>
      <c r="C50" s="203" t="s">
        <v>132</v>
      </c>
      <c r="D50" s="202" t="s">
        <v>132</v>
      </c>
      <c r="E50" s="198"/>
      <c r="F50" s="253"/>
      <c r="G50" s="212"/>
      <c r="H50" s="195"/>
      <c r="I50" s="196"/>
      <c r="J50" s="25"/>
      <c r="K50" s="175"/>
      <c r="L50" s="5"/>
      <c r="M50" s="5"/>
      <c r="N50" s="5"/>
      <c r="O50" s="199">
        <f>IF(O49+1&lt;=MIN('Données projet'!$E$9:$E$18),O49+1,"STOP")</f>
        <v>17</v>
      </c>
      <c r="P50" s="189">
        <f t="shared" si="3"/>
        <v>14.195291563355275</v>
      </c>
      <c r="Q50" s="257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1">
        <v>3</v>
      </c>
      <c r="B51" s="204" t="s">
        <v>132</v>
      </c>
      <c r="C51" s="203" t="s">
        <v>132</v>
      </c>
      <c r="D51" s="202" t="s">
        <v>132</v>
      </c>
      <c r="E51" s="198"/>
      <c r="F51" s="253"/>
      <c r="G51" s="212"/>
      <c r="H51" s="195"/>
      <c r="I51" s="196"/>
      <c r="J51" s="25"/>
      <c r="K51" s="175"/>
      <c r="L51" s="5"/>
      <c r="M51" s="5"/>
      <c r="N51" s="5"/>
      <c r="O51" s="199">
        <f>IF(O50+1&lt;=MIN('Données projet'!$E$9:$E$18),O50+1,"STOP")</f>
        <v>18</v>
      </c>
      <c r="P51" s="189">
        <f t="shared" si="3"/>
        <v>13.584011065411749</v>
      </c>
      <c r="Q51" s="257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1">
        <v>4</v>
      </c>
      <c r="B52" s="204" t="s">
        <v>132</v>
      </c>
      <c r="C52" s="203" t="s">
        <v>132</v>
      </c>
      <c r="D52" s="202" t="s">
        <v>132</v>
      </c>
      <c r="E52" s="198"/>
      <c r="F52" s="253"/>
      <c r="G52" s="212"/>
      <c r="H52" s="195"/>
      <c r="I52" s="196"/>
      <c r="J52" s="25"/>
      <c r="K52" s="175"/>
      <c r="L52" s="5"/>
      <c r="M52" s="5"/>
      <c r="N52" s="5"/>
      <c r="O52" s="199">
        <f>IF(O51+1&lt;=MIN('Données projet'!$E$9:$E$18),O51+1,"STOP")</f>
        <v>19</v>
      </c>
      <c r="P52" s="189">
        <f t="shared" si="3"/>
        <v>12.999053651111723</v>
      </c>
      <c r="Q52" s="257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1">
        <v>5</v>
      </c>
      <c r="B53" s="204" t="s">
        <v>132</v>
      </c>
      <c r="C53" s="203" t="s">
        <v>132</v>
      </c>
      <c r="D53" s="202" t="s">
        <v>132</v>
      </c>
      <c r="E53" s="198"/>
      <c r="F53" s="253"/>
      <c r="G53" s="213"/>
      <c r="H53" s="195"/>
      <c r="I53" s="196"/>
      <c r="J53" s="25"/>
      <c r="K53" s="175"/>
      <c r="L53" s="5"/>
      <c r="M53" s="5"/>
      <c r="N53" s="5"/>
      <c r="O53" s="199">
        <f>IF(O52+1&lt;=MIN('Données projet'!$E$9:$E$18),O52+1,"STOP")</f>
        <v>20</v>
      </c>
      <c r="P53" s="189">
        <f t="shared" si="3"/>
        <v>12.439285790537536</v>
      </c>
      <c r="Q53" s="257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4">
        <f>'Données projet'!A62</f>
        <v>20</v>
      </c>
      <c r="B54" s="185">
        <f>'Données projet'!D62</f>
        <v>0</v>
      </c>
      <c r="C54" s="196">
        <v>0</v>
      </c>
      <c r="D54" s="183">
        <f>B54*C54</f>
        <v>0</v>
      </c>
      <c r="E54" s="198"/>
      <c r="F54" s="254"/>
      <c r="G54" s="213"/>
      <c r="H54" s="195"/>
      <c r="I54" s="196"/>
      <c r="J54" s="25"/>
      <c r="K54" s="175"/>
      <c r="L54" s="5"/>
      <c r="M54" s="5"/>
      <c r="N54" s="5"/>
      <c r="O54" s="199">
        <f>IF(O53+1&lt;=MIN('Données projet'!$E$9:$E$18),O53+1,"STOP")</f>
        <v>21</v>
      </c>
      <c r="P54" s="189">
        <f t="shared" si="3"/>
        <v>11.903622766064627</v>
      </c>
      <c r="Q54" s="257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4">
        <f>'Données projet'!A63</f>
        <v>25</v>
      </c>
      <c r="B55" s="185">
        <f>'Données projet'!D63</f>
        <v>8</v>
      </c>
      <c r="C55" s="198">
        <v>10</v>
      </c>
      <c r="D55" s="183">
        <f t="shared" ref="D55:D73" si="4">B55*C55</f>
        <v>80</v>
      </c>
      <c r="E55" s="198"/>
      <c r="F55" s="254"/>
      <c r="G55" s="213"/>
      <c r="H55" s="195"/>
      <c r="I55" s="196"/>
      <c r="J55" s="25"/>
      <c r="K55" s="175"/>
      <c r="L55" s="5"/>
      <c r="M55" s="5"/>
      <c r="N55" s="5"/>
      <c r="O55" s="199">
        <f>IF(O54+1&lt;=MIN('Données projet'!$E$9:$E$18),O54+1,"STOP")</f>
        <v>22</v>
      </c>
      <c r="P55" s="189">
        <f t="shared" si="3"/>
        <v>11.391026570396775</v>
      </c>
      <c r="Q55" s="257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4">
        <f>'Données projet'!A64</f>
        <v>30</v>
      </c>
      <c r="B56" s="185">
        <f>'Données projet'!D64</f>
        <v>0</v>
      </c>
      <c r="C56" s="198">
        <v>0</v>
      </c>
      <c r="D56" s="183">
        <f t="shared" si="4"/>
        <v>0</v>
      </c>
      <c r="E56" s="198"/>
      <c r="F56" s="254"/>
      <c r="G56" s="213"/>
      <c r="H56" s="195"/>
      <c r="I56" s="196"/>
      <c r="J56" s="25"/>
      <c r="K56" s="175"/>
      <c r="L56" s="5"/>
      <c r="M56" s="5"/>
      <c r="N56" s="5"/>
      <c r="O56" s="199">
        <f>IF(O55+1&lt;=MIN('Données projet'!$E$9:$E$18),O55+1,"STOP")</f>
        <v>23</v>
      </c>
      <c r="P56" s="189">
        <f t="shared" si="3"/>
        <v>10.900503895116531</v>
      </c>
      <c r="Q56" s="257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4">
        <f>'Données projet'!A65</f>
        <v>35</v>
      </c>
      <c r="B57" s="185">
        <f>'Données projet'!D65</f>
        <v>42</v>
      </c>
      <c r="C57" s="198">
        <v>10</v>
      </c>
      <c r="D57" s="183">
        <f t="shared" si="4"/>
        <v>420</v>
      </c>
      <c r="E57" s="198"/>
      <c r="F57" s="254"/>
      <c r="G57" s="213"/>
      <c r="H57" s="195"/>
      <c r="I57" s="196"/>
      <c r="J57" s="25"/>
      <c r="K57" s="175"/>
      <c r="L57" s="5"/>
      <c r="M57" s="5"/>
      <c r="N57" s="5"/>
      <c r="O57" s="199">
        <f>IF(O56+1&lt;=MIN('Données projet'!$E$9:$E$18),O56+1,"STOP")</f>
        <v>24</v>
      </c>
      <c r="P57" s="189">
        <f t="shared" si="3"/>
        <v>10.431104205853142</v>
      </c>
      <c r="Q57" s="257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4">
        <f>'Données projet'!A66</f>
        <v>40</v>
      </c>
      <c r="B58" s="185">
        <f>'Données projet'!D66</f>
        <v>0</v>
      </c>
      <c r="C58" s="198">
        <v>0</v>
      </c>
      <c r="D58" s="183">
        <f t="shared" si="4"/>
        <v>0</v>
      </c>
      <c r="E58" s="198"/>
      <c r="F58" s="254"/>
      <c r="G58" s="213"/>
      <c r="H58" s="195"/>
      <c r="I58" s="196"/>
      <c r="J58" s="25"/>
      <c r="K58" s="175"/>
      <c r="L58" s="5"/>
      <c r="M58" s="5"/>
      <c r="N58" s="5"/>
      <c r="O58" s="199">
        <f>IF(O57+1&lt;=MIN('Données projet'!$E$9:$E$18),O57+1,"STOP")</f>
        <v>25</v>
      </c>
      <c r="P58" s="189">
        <f t="shared" si="3"/>
        <v>9.981917900337935</v>
      </c>
      <c r="Q58" s="257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4">
        <f>'Données projet'!A67</f>
        <v>45</v>
      </c>
      <c r="B59" s="185">
        <f>'Données projet'!D67</f>
        <v>42</v>
      </c>
      <c r="C59" s="198">
        <v>20</v>
      </c>
      <c r="D59" s="183">
        <f t="shared" si="4"/>
        <v>840</v>
      </c>
      <c r="E59" s="198"/>
      <c r="F59" s="254"/>
      <c r="G59" s="213"/>
      <c r="H59" s="195"/>
      <c r="I59" s="196"/>
      <c r="J59" s="25"/>
      <c r="K59" s="175"/>
      <c r="L59" s="5"/>
      <c r="M59" s="5"/>
      <c r="N59" s="5"/>
      <c r="O59" s="199">
        <f>IF(O58+1&lt;=MIN('Données projet'!$E$9:$E$18),O58+1,"STOP")</f>
        <v>26</v>
      </c>
      <c r="P59" s="189">
        <f t="shared" si="3"/>
        <v>9.5520745457779324</v>
      </c>
      <c r="Q59" s="257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4">
        <f>'Données projet'!A68</f>
        <v>50</v>
      </c>
      <c r="B60" s="185">
        <f>'Données projet'!D68</f>
        <v>0</v>
      </c>
      <c r="C60" s="198">
        <v>0</v>
      </c>
      <c r="D60" s="183">
        <f t="shared" si="4"/>
        <v>0</v>
      </c>
      <c r="E60" s="198"/>
      <c r="F60" s="254"/>
      <c r="G60" s="214"/>
      <c r="H60" s="195"/>
      <c r="I60" s="196"/>
      <c r="J60" s="25"/>
      <c r="K60" s="175"/>
      <c r="L60" s="5"/>
      <c r="M60" s="5"/>
      <c r="N60" s="5"/>
      <c r="O60" s="199">
        <f>IF(O59+1&lt;=MIN('Données projet'!$E$9:$E$18),O59+1,"STOP")</f>
        <v>27</v>
      </c>
      <c r="P60" s="189">
        <f t="shared" si="3"/>
        <v>9.1407411921319923</v>
      </c>
      <c r="Q60" s="257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4">
        <f>'Données projet'!A69</f>
        <v>55</v>
      </c>
      <c r="B61" s="185">
        <f>'Données projet'!D69</f>
        <v>42</v>
      </c>
      <c r="C61" s="198">
        <v>30</v>
      </c>
      <c r="D61" s="183">
        <f t="shared" si="4"/>
        <v>1260</v>
      </c>
      <c r="E61" s="198"/>
      <c r="F61" s="254"/>
      <c r="G61" s="214"/>
      <c r="H61" s="195"/>
      <c r="I61" s="196"/>
      <c r="J61" s="25"/>
      <c r="K61" s="175"/>
      <c r="L61" s="5"/>
      <c r="M61" s="5"/>
      <c r="N61" s="5"/>
      <c r="O61" s="199">
        <f>IF(O60+1&lt;=MIN('Données projet'!$E$9:$E$18),O60+1,"STOP")</f>
        <v>28</v>
      </c>
      <c r="P61" s="189">
        <f t="shared" si="3"/>
        <v>8.7471207580210475</v>
      </c>
      <c r="Q61" s="257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4">
        <f>'Données projet'!A70</f>
        <v>60</v>
      </c>
      <c r="B62" s="185">
        <f>'Données projet'!D70</f>
        <v>0</v>
      </c>
      <c r="C62" s="198">
        <v>0</v>
      </c>
      <c r="D62" s="183">
        <f t="shared" si="4"/>
        <v>0</v>
      </c>
      <c r="E62" s="198"/>
      <c r="F62" s="254"/>
      <c r="G62" s="214"/>
      <c r="H62" s="195"/>
      <c r="I62" s="196"/>
      <c r="J62" s="25"/>
      <c r="K62" s="175"/>
      <c r="L62" s="5"/>
      <c r="M62" s="5"/>
      <c r="N62" s="5"/>
      <c r="O62" s="199">
        <f>IF(O61+1&lt;=MIN('Données projet'!$E$9:$E$18),O61+1,"STOP")</f>
        <v>29</v>
      </c>
      <c r="P62" s="189">
        <f t="shared" si="3"/>
        <v>8.3704504861445415</v>
      </c>
      <c r="Q62" s="257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4">
        <f>'Données projet'!A71</f>
        <v>65</v>
      </c>
      <c r="B63" s="185">
        <f>'Données projet'!D71</f>
        <v>42</v>
      </c>
      <c r="C63" s="198">
        <v>40</v>
      </c>
      <c r="D63" s="183">
        <f t="shared" si="4"/>
        <v>1680</v>
      </c>
      <c r="E63" s="198"/>
      <c r="F63" s="254"/>
      <c r="G63" s="214"/>
      <c r="H63" s="195"/>
      <c r="I63" s="196"/>
      <c r="J63" s="25"/>
      <c r="K63" s="175"/>
      <c r="L63" s="5"/>
      <c r="M63" s="5"/>
      <c r="N63" s="5"/>
      <c r="O63" s="199">
        <f>IF(O62+1&lt;=MIN('Données projet'!$E$9:$E$18),O62+1,"STOP")</f>
        <v>30</v>
      </c>
      <c r="P63" s="189">
        <f t="shared" si="3"/>
        <v>8.0100004652100907</v>
      </c>
      <c r="Q63" s="257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4">
        <f>'Données projet'!A72</f>
        <v>70</v>
      </c>
      <c r="B64" s="185">
        <f>'Données projet'!D72</f>
        <v>0</v>
      </c>
      <c r="C64" s="198">
        <v>0</v>
      </c>
      <c r="D64" s="183">
        <f t="shared" si="4"/>
        <v>0</v>
      </c>
      <c r="E64" s="198"/>
      <c r="F64" s="254"/>
      <c r="G64" s="214"/>
      <c r="H64" s="195"/>
      <c r="I64" s="196"/>
      <c r="J64" s="215"/>
      <c r="K64" s="175"/>
      <c r="L64" s="5"/>
      <c r="M64" s="5"/>
      <c r="N64" s="5"/>
      <c r="O64" s="199">
        <f>IF(O63+1&lt;=MIN('Données projet'!$E$9:$E$18),O63+1,"STOP")</f>
        <v>31</v>
      </c>
      <c r="P64" s="189">
        <f t="shared" si="3"/>
        <v>7.6650722155120468</v>
      </c>
      <c r="Q64" s="257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4">
        <f>'Données projet'!A73</f>
        <v>75</v>
      </c>
      <c r="B65" s="185">
        <f>'Données projet'!D73</f>
        <v>42</v>
      </c>
      <c r="C65" s="198">
        <v>50</v>
      </c>
      <c r="D65" s="183">
        <f t="shared" si="4"/>
        <v>2100</v>
      </c>
      <c r="E65" s="198"/>
      <c r="F65" s="254"/>
      <c r="G65" s="214"/>
      <c r="H65" s="195"/>
      <c r="I65" s="196"/>
      <c r="J65" s="193"/>
      <c r="K65" s="175"/>
      <c r="L65" s="5"/>
      <c r="M65" s="5"/>
      <c r="N65" s="5"/>
      <c r="O65" s="199">
        <f>IF(O64+1&lt;=MIN('Données projet'!$E$9:$E$18),O64+1,"STOP")</f>
        <v>32</v>
      </c>
      <c r="P65" s="189">
        <f t="shared" ref="P65:P96" si="5">$P$25/(1+$M$4)^O65</f>
        <v>7.3349973354182305</v>
      </c>
      <c r="Q65" s="257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4">
        <f>'Données projet'!A74</f>
        <v>80</v>
      </c>
      <c r="B66" s="185">
        <f>'Données projet'!D74</f>
        <v>0</v>
      </c>
      <c r="C66" s="198">
        <v>60</v>
      </c>
      <c r="D66" s="183">
        <f t="shared" si="4"/>
        <v>0</v>
      </c>
      <c r="E66" s="198"/>
      <c r="F66" s="254"/>
      <c r="G66" s="214"/>
      <c r="H66" s="195"/>
      <c r="I66" s="196"/>
      <c r="J66" s="193"/>
      <c r="K66" s="175"/>
      <c r="L66" s="5"/>
      <c r="M66" s="5"/>
      <c r="N66" s="5"/>
      <c r="O66" s="199">
        <f>IF(O65+1&lt;=MIN('Données projet'!$E$9:$E$18),O65+1,"STOP")</f>
        <v>33</v>
      </c>
      <c r="P66" s="189">
        <f t="shared" si="5"/>
        <v>7.0191362061418481</v>
      </c>
      <c r="Q66" s="257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4">
        <f>'Données projet'!A75</f>
        <v>90</v>
      </c>
      <c r="B67" s="185">
        <f>'Données projet'!D75</f>
        <v>42</v>
      </c>
      <c r="C67" s="198">
        <v>70</v>
      </c>
      <c r="D67" s="183">
        <f t="shared" si="4"/>
        <v>2940</v>
      </c>
      <c r="E67" s="198"/>
      <c r="F67" s="254"/>
      <c r="G67" s="214"/>
      <c r="H67" s="195"/>
      <c r="I67" s="196"/>
      <c r="J67" s="193"/>
      <c r="K67" s="175"/>
      <c r="L67" s="5"/>
      <c r="M67" s="5"/>
      <c r="N67" s="5"/>
      <c r="O67" s="199">
        <f>IF(O66+1&lt;=MIN('Données projet'!$E$9:$E$18),O66+1,"STOP")</f>
        <v>34</v>
      </c>
      <c r="P67" s="189">
        <f t="shared" si="5"/>
        <v>6.7168767522888508</v>
      </c>
      <c r="Q67" s="257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4">
        <f>'Données projet'!A76</f>
        <v>105</v>
      </c>
      <c r="B68" s="185">
        <f>'Données projet'!D76</f>
        <v>62</v>
      </c>
      <c r="C68" s="198">
        <v>80</v>
      </c>
      <c r="D68" s="183">
        <f t="shared" si="4"/>
        <v>4960</v>
      </c>
      <c r="E68" s="198"/>
      <c r="F68" s="254"/>
      <c r="G68" s="214"/>
      <c r="H68" s="195"/>
      <c r="I68" s="196"/>
      <c r="J68" s="193"/>
      <c r="K68" s="175"/>
      <c r="L68" s="5"/>
      <c r="M68" s="5"/>
      <c r="N68" s="5"/>
      <c r="O68" s="199">
        <f>IF(O67+1&lt;=MIN('Données projet'!$E$9:$E$18),O67+1,"STOP")</f>
        <v>35</v>
      </c>
      <c r="P68" s="189">
        <f t="shared" si="5"/>
        <v>6.4276332557788045</v>
      </c>
      <c r="Q68" s="257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4">
        <f>'Données projet'!A77</f>
        <v>120</v>
      </c>
      <c r="B69" s="185">
        <f>'Données projet'!D77</f>
        <v>54</v>
      </c>
      <c r="C69" s="198">
        <v>100</v>
      </c>
      <c r="D69" s="183">
        <f t="shared" si="4"/>
        <v>5400</v>
      </c>
      <c r="E69" s="198"/>
      <c r="F69" s="254"/>
      <c r="G69" s="214"/>
      <c r="H69" s="195"/>
      <c r="I69" s="196"/>
      <c r="J69" s="193"/>
      <c r="K69" s="175"/>
      <c r="L69" s="5"/>
      <c r="M69" s="5"/>
      <c r="N69" s="5"/>
      <c r="O69" s="199">
        <f>IF(O68+1&lt;=MIN('Données projet'!$E$9:$E$18),O68+1,"STOP")</f>
        <v>36</v>
      </c>
      <c r="P69" s="189">
        <f t="shared" si="5"/>
        <v>6.1508452208409627</v>
      </c>
      <c r="Q69" s="257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4">
        <f>'Données projet'!A78</f>
        <v>135</v>
      </c>
      <c r="B70" s="185">
        <f>'Données projet'!D78</f>
        <v>45</v>
      </c>
      <c r="C70" s="198">
        <v>150</v>
      </c>
      <c r="D70" s="183">
        <f t="shared" si="4"/>
        <v>6750</v>
      </c>
      <c r="E70" s="198"/>
      <c r="F70" s="254"/>
      <c r="G70" s="214"/>
      <c r="H70" s="195"/>
      <c r="I70" s="196"/>
      <c r="J70" s="193"/>
      <c r="K70" s="175"/>
      <c r="L70" s="5"/>
      <c r="M70" s="5"/>
      <c r="N70" s="5"/>
      <c r="O70" s="199">
        <f>IF(O69+1&lt;=MIN('Données projet'!$E$9:$E$18),O69+1,"STOP")</f>
        <v>37</v>
      </c>
      <c r="P70" s="189">
        <f t="shared" si="5"/>
        <v>5.8859762878860886</v>
      </c>
      <c r="Q70" s="257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4">
        <f>'Données projet'!A79</f>
        <v>150</v>
      </c>
      <c r="B71" s="185">
        <f>'Données projet'!D79</f>
        <v>306</v>
      </c>
      <c r="C71" s="198">
        <v>200</v>
      </c>
      <c r="D71" s="183">
        <f t="shared" si="4"/>
        <v>61200</v>
      </c>
      <c r="E71" s="198"/>
      <c r="F71" s="254"/>
      <c r="G71" s="214"/>
      <c r="H71" s="195"/>
      <c r="I71" s="196"/>
      <c r="J71" s="193"/>
      <c r="K71" s="175"/>
      <c r="L71" s="5"/>
      <c r="M71" s="5"/>
      <c r="N71" s="5"/>
      <c r="O71" s="199">
        <f>IF(O70+1&lt;=MIN('Données projet'!$E$9:$E$18),O70+1,"STOP")</f>
        <v>38</v>
      </c>
      <c r="P71" s="189">
        <f t="shared" si="5"/>
        <v>5.632513194149368</v>
      </c>
      <c r="Q71" s="257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4">
        <f>'Données projet'!A80</f>
        <v>0</v>
      </c>
      <c r="B72" s="185">
        <f>'Données projet'!D80</f>
        <v>0</v>
      </c>
      <c r="C72" s="196"/>
      <c r="D72" s="183">
        <f t="shared" si="4"/>
        <v>0</v>
      </c>
      <c r="E72" s="198"/>
      <c r="F72" s="254"/>
      <c r="G72" s="214"/>
      <c r="H72" s="195"/>
      <c r="I72" s="196"/>
      <c r="J72" s="5"/>
      <c r="K72" s="175"/>
      <c r="L72" s="5"/>
      <c r="M72" s="5"/>
      <c r="N72" s="5"/>
      <c r="O72" s="199">
        <f>IF(O71+1&lt;=MIN('Données projet'!$E$9:$E$18),O71+1,"STOP")</f>
        <v>39</v>
      </c>
      <c r="P72" s="189">
        <f t="shared" si="5"/>
        <v>5.3899647790903042</v>
      </c>
      <c r="Q72" s="257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4">
        <f>'Données projet'!A81</f>
        <v>0</v>
      </c>
      <c r="B73" s="185">
        <f>'Données projet'!D81</f>
        <v>0</v>
      </c>
      <c r="C73" s="196"/>
      <c r="D73" s="183">
        <f t="shared" si="4"/>
        <v>0</v>
      </c>
      <c r="E73" s="198"/>
      <c r="F73" s="254"/>
      <c r="G73" s="214"/>
      <c r="H73" s="195"/>
      <c r="I73" s="196"/>
      <c r="J73" s="5"/>
      <c r="K73" s="175"/>
      <c r="L73" s="5"/>
      <c r="M73" s="5"/>
      <c r="N73" s="5"/>
      <c r="O73" s="199">
        <f>IF(O72+1&lt;=MIN('Données projet'!$E$9:$E$18),O72+1,"STOP")</f>
        <v>40</v>
      </c>
      <c r="P73" s="189">
        <f t="shared" si="5"/>
        <v>5.1578610326223018</v>
      </c>
      <c r="Q73" s="257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2"/>
      <c r="G74" s="214"/>
      <c r="H74" s="195"/>
      <c r="I74" s="196"/>
      <c r="J74" s="5"/>
      <c r="K74" s="175"/>
      <c r="L74" s="5"/>
      <c r="M74" s="5"/>
      <c r="N74" s="5"/>
      <c r="O74" s="199">
        <f>IF(O73+1&lt;=MIN('Données projet'!$E$9:$E$18),O73+1,"STOP")</f>
        <v>41</v>
      </c>
      <c r="P74" s="189">
        <f t="shared" si="5"/>
        <v>4.9357521843275629</v>
      </c>
      <c r="Q74" s="257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2"/>
      <c r="G75" s="214"/>
      <c r="H75" s="195"/>
      <c r="I75" s="196"/>
      <c r="J75" s="5"/>
      <c r="K75" s="175"/>
      <c r="L75" s="5"/>
      <c r="M75" s="5"/>
      <c r="N75" s="5"/>
      <c r="O75" s="199">
        <f>IF(O74+1&lt;=MIN('Données projet'!$E$9:$E$18),O74+1,"STOP")</f>
        <v>42</v>
      </c>
      <c r="P75" s="189">
        <f t="shared" si="5"/>
        <v>4.7232078318924051</v>
      </c>
      <c r="Q75" s="257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78" t="str">
        <f>IF('Données projet'!B11="","",'Données projet'!B11)</f>
        <v>Chêne rouge d'Amérique</v>
      </c>
      <c r="C76" s="5"/>
      <c r="D76" s="5"/>
      <c r="E76" s="5"/>
      <c r="F76" s="252"/>
      <c r="G76" s="214"/>
      <c r="H76" s="195"/>
      <c r="I76" s="196"/>
      <c r="J76" s="5"/>
      <c r="K76" s="175"/>
      <c r="L76" s="5"/>
      <c r="M76" s="5"/>
      <c r="N76" s="5"/>
      <c r="O76" s="199">
        <f>IF(O75+1&lt;=MIN('Données projet'!$E$9:$E$18),O75+1,"STOP")</f>
        <v>43</v>
      </c>
      <c r="P76" s="189">
        <f t="shared" si="5"/>
        <v>4.5198161070740719</v>
      </c>
      <c r="Q76" s="257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2"/>
      <c r="G77" s="214"/>
      <c r="H77" s="195"/>
      <c r="I77" s="196"/>
      <c r="J77" s="5"/>
      <c r="K77" s="175"/>
      <c r="L77" s="5"/>
      <c r="M77" s="5"/>
      <c r="N77" s="5"/>
      <c r="O77" s="199">
        <f>IF(O76+1&lt;=MIN('Données projet'!$E$9:$E$18),O76+1,"STOP")</f>
        <v>44</v>
      </c>
      <c r="P77" s="189">
        <f t="shared" si="5"/>
        <v>4.3251828775828445</v>
      </c>
      <c r="Q77" s="257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48" t="s">
        <v>180</v>
      </c>
      <c r="B78" s="51" t="s">
        <v>256</v>
      </c>
      <c r="C78" s="51" t="s">
        <v>255</v>
      </c>
      <c r="D78" s="248" t="s">
        <v>252</v>
      </c>
      <c r="E78" s="248" t="s">
        <v>320</v>
      </c>
      <c r="F78" s="253"/>
      <c r="G78" s="214"/>
      <c r="H78" s="195"/>
      <c r="I78" s="196"/>
      <c r="J78" s="5"/>
      <c r="K78" s="175"/>
      <c r="L78" s="5"/>
      <c r="M78" s="5"/>
      <c r="N78" s="5"/>
      <c r="O78" s="199">
        <f>IF(O77+1&lt;=MIN('Données projet'!$E$9:$E$18),O77+1,"STOP")</f>
        <v>45</v>
      </c>
      <c r="P78" s="189">
        <f t="shared" si="5"/>
        <v>4.1389309833328651</v>
      </c>
      <c r="Q78" s="257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1">
        <v>0</v>
      </c>
      <c r="B79" s="204" t="s">
        <v>132</v>
      </c>
      <c r="C79" s="203" t="s">
        <v>132</v>
      </c>
      <c r="D79" s="202" t="s">
        <v>132</v>
      </c>
      <c r="E79" s="198"/>
      <c r="F79" s="253"/>
      <c r="G79" s="214"/>
      <c r="H79" s="195"/>
      <c r="I79" s="196"/>
      <c r="J79" s="5"/>
      <c r="K79" s="175"/>
      <c r="L79" s="5"/>
      <c r="M79" s="5"/>
      <c r="N79" s="5"/>
      <c r="O79" s="199">
        <f>IF(O78+1&lt;=MIN('Données projet'!$E$9:$E$18),O78+1,"STOP")</f>
        <v>46</v>
      </c>
      <c r="P79" s="189">
        <f t="shared" si="5"/>
        <v>3.9606995055816903</v>
      </c>
      <c r="Q79" s="257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1">
        <v>1</v>
      </c>
      <c r="B80" s="204" t="s">
        <v>132</v>
      </c>
      <c r="C80" s="203" t="s">
        <v>132</v>
      </c>
      <c r="D80" s="202" t="s">
        <v>132</v>
      </c>
      <c r="E80" s="198"/>
      <c r="F80" s="253"/>
      <c r="G80" s="212"/>
      <c r="H80" s="195"/>
      <c r="I80" s="196"/>
      <c r="J80" s="5"/>
      <c r="K80" s="175"/>
      <c r="L80" s="5"/>
      <c r="M80" s="5"/>
      <c r="N80" s="5"/>
      <c r="O80" s="199">
        <f>IF(O79+1&lt;=MIN('Données projet'!$E$9:$E$18),O79+1,"STOP")</f>
        <v>47</v>
      </c>
      <c r="P80" s="189">
        <f t="shared" si="5"/>
        <v>3.7901430675422869</v>
      </c>
      <c r="Q80" s="257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1">
        <v>2</v>
      </c>
      <c r="B81" s="204" t="s">
        <v>132</v>
      </c>
      <c r="C81" s="203" t="s">
        <v>132</v>
      </c>
      <c r="D81" s="202" t="s">
        <v>132</v>
      </c>
      <c r="E81" s="198"/>
      <c r="F81" s="253"/>
      <c r="G81" s="212"/>
      <c r="H81" s="195"/>
      <c r="I81" s="196"/>
      <c r="J81" s="5"/>
      <c r="K81" s="175"/>
      <c r="L81" s="5"/>
      <c r="M81" s="5"/>
      <c r="N81" s="5"/>
      <c r="O81" s="199">
        <f>IF(O80+1&lt;=MIN('Données projet'!$E$9:$E$18),O80+1,"STOP")</f>
        <v>48</v>
      </c>
      <c r="P81" s="189">
        <f t="shared" si="5"/>
        <v>3.626931165112238</v>
      </c>
      <c r="Q81" s="257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1">
        <v>3</v>
      </c>
      <c r="B82" s="204" t="s">
        <v>132</v>
      </c>
      <c r="C82" s="203" t="s">
        <v>132</v>
      </c>
      <c r="D82" s="202" t="s">
        <v>132</v>
      </c>
      <c r="E82" s="198"/>
      <c r="F82" s="253"/>
      <c r="G82" s="212"/>
      <c r="H82" s="195"/>
      <c r="I82" s="196"/>
      <c r="J82" s="5"/>
      <c r="K82" s="175"/>
      <c r="L82" s="5"/>
      <c r="M82" s="5"/>
      <c r="N82" s="5"/>
      <c r="O82" s="199">
        <f>IF(O81+1&lt;=MIN('Données projet'!$E$9:$E$18),O81+1,"STOP")</f>
        <v>49</v>
      </c>
      <c r="P82" s="189">
        <f t="shared" si="5"/>
        <v>3.4707475264231942</v>
      </c>
      <c r="Q82" s="257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1">
        <v>4</v>
      </c>
      <c r="B83" s="204" t="s">
        <v>132</v>
      </c>
      <c r="C83" s="203" t="s">
        <v>132</v>
      </c>
      <c r="D83" s="202" t="s">
        <v>132</v>
      </c>
      <c r="E83" s="198"/>
      <c r="F83" s="253"/>
      <c r="G83" s="212"/>
      <c r="H83" s="195"/>
      <c r="I83" s="196"/>
      <c r="J83" s="5"/>
      <c r="K83" s="175"/>
      <c r="L83" s="5"/>
      <c r="M83" s="5"/>
      <c r="N83" s="5"/>
      <c r="O83" s="199">
        <f>IF(O82+1&lt;=MIN('Données projet'!$E$9:$E$18),O82+1,"STOP")</f>
        <v>50</v>
      </c>
      <c r="P83" s="189">
        <f t="shared" si="5"/>
        <v>3.3212894989695645</v>
      </c>
      <c r="Q83" s="257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1">
        <v>5</v>
      </c>
      <c r="B84" s="204" t="s">
        <v>132</v>
      </c>
      <c r="C84" s="203" t="s">
        <v>132</v>
      </c>
      <c r="D84" s="202" t="s">
        <v>132</v>
      </c>
      <c r="E84" s="198"/>
      <c r="F84" s="253"/>
      <c r="G84" s="213"/>
      <c r="H84" s="195"/>
      <c r="I84" s="196"/>
      <c r="J84" s="5"/>
      <c r="K84" s="175"/>
      <c r="L84" s="5"/>
      <c r="M84" s="5"/>
      <c r="N84" s="5"/>
      <c r="O84" s="199">
        <f>IF(O83+1&lt;=MIN('Données projet'!$E$9:$E$18),O83+1,"STOP")</f>
        <v>51</v>
      </c>
      <c r="P84" s="189">
        <f t="shared" si="5"/>
        <v>3.17826746312877</v>
      </c>
      <c r="Q84" s="257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4">
        <f>'Données projet'!A88</f>
        <v>15</v>
      </c>
      <c r="B85" s="185">
        <f>'Données projet'!D88</f>
        <v>13.461538461538462</v>
      </c>
      <c r="C85" s="196">
        <v>20</v>
      </c>
      <c r="D85" s="183">
        <f>B85*C85</f>
        <v>269.23076923076923</v>
      </c>
      <c r="E85" s="198"/>
      <c r="F85" s="254"/>
      <c r="G85" s="213"/>
      <c r="H85" s="195"/>
      <c r="I85" s="196"/>
      <c r="J85" s="5"/>
      <c r="K85" s="175"/>
      <c r="L85" s="5"/>
      <c r="M85" s="5"/>
      <c r="N85" s="5"/>
      <c r="O85" s="199">
        <f>IF(O84+1&lt;=MIN('Données projet'!$E$9:$E$18),O84+1,"STOP")</f>
        <v>52</v>
      </c>
      <c r="P85" s="189">
        <f t="shared" si="5"/>
        <v>3.0414042709366225</v>
      </c>
      <c r="Q85" s="257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4">
        <f>'Données projet'!A89</f>
        <v>20</v>
      </c>
      <c r="B86" s="185">
        <f>'Données projet'!D89</f>
        <v>27.564102564102562</v>
      </c>
      <c r="C86" s="198">
        <v>20</v>
      </c>
      <c r="D86" s="183">
        <f t="shared" ref="D86:D104" si="6">B86*C86</f>
        <v>551.28205128205127</v>
      </c>
      <c r="E86" s="198"/>
      <c r="F86" s="254"/>
      <c r="G86" s="213"/>
      <c r="H86" s="195"/>
      <c r="I86" s="196"/>
      <c r="J86" s="5"/>
      <c r="K86" s="175"/>
      <c r="L86" s="5"/>
      <c r="M86" s="5"/>
      <c r="N86" s="5"/>
      <c r="O86" s="199">
        <f>IF(O85+1&lt;=MIN('Données projet'!$E$9:$E$18),O85+1,"STOP")</f>
        <v>53</v>
      </c>
      <c r="P86" s="189">
        <f t="shared" si="5"/>
        <v>2.9104347090302607</v>
      </c>
      <c r="Q86" s="257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4">
        <f>'Données projet'!A90</f>
        <v>25</v>
      </c>
      <c r="B87" s="185">
        <f>'Données projet'!D90</f>
        <v>28.205128205128204</v>
      </c>
      <c r="C87" s="198">
        <v>20</v>
      </c>
      <c r="D87" s="183">
        <f t="shared" si="6"/>
        <v>564.10256410256409</v>
      </c>
      <c r="E87" s="198"/>
      <c r="F87" s="254"/>
      <c r="G87" s="213"/>
      <c r="H87" s="195"/>
      <c r="I87" s="196"/>
      <c r="J87" s="5"/>
      <c r="K87" s="175"/>
      <c r="L87" s="5"/>
      <c r="M87" s="5"/>
      <c r="N87" s="5"/>
      <c r="O87" s="199">
        <f>IF(O86+1&lt;=MIN('Données projet'!$E$9:$E$18),O86+1,"STOP")</f>
        <v>54</v>
      </c>
      <c r="P87" s="189">
        <f t="shared" si="5"/>
        <v>2.7851049847179539</v>
      </c>
      <c r="Q87" s="257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4">
        <f>'Données projet'!A91</f>
        <v>30</v>
      </c>
      <c r="B88" s="185">
        <f>'Données projet'!D91</f>
        <v>28.205128205128204</v>
      </c>
      <c r="C88" s="198">
        <v>20</v>
      </c>
      <c r="D88" s="183">
        <f t="shared" si="6"/>
        <v>564.10256410256409</v>
      </c>
      <c r="E88" s="198"/>
      <c r="F88" s="254"/>
      <c r="G88" s="213"/>
      <c r="H88" s="195"/>
      <c r="I88" s="196"/>
      <c r="J88" s="5"/>
      <c r="K88" s="175"/>
      <c r="L88" s="5"/>
      <c r="M88" s="5"/>
      <c r="N88" s="5"/>
      <c r="O88" s="199">
        <f>IF(O87+1&lt;=MIN('Données projet'!$E$9:$E$18),O87+1,"STOP")</f>
        <v>55</v>
      </c>
      <c r="P88" s="189">
        <f t="shared" si="5"/>
        <v>2.6651722341798596</v>
      </c>
      <c r="Q88" s="257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4">
        <f>'Données projet'!A92</f>
        <v>35</v>
      </c>
      <c r="B89" s="185">
        <f>'Données projet'!D92</f>
        <v>26.923076923076923</v>
      </c>
      <c r="C89" s="198">
        <v>40</v>
      </c>
      <c r="D89" s="183">
        <f t="shared" si="6"/>
        <v>1076.9230769230769</v>
      </c>
      <c r="E89" s="198"/>
      <c r="F89" s="254"/>
      <c r="G89" s="213"/>
      <c r="H89" s="195"/>
      <c r="I89" s="196"/>
      <c r="J89" s="5"/>
      <c r="K89" s="175"/>
      <c r="L89" s="5"/>
      <c r="M89" s="5"/>
      <c r="N89" s="5"/>
      <c r="O89" s="199">
        <f>IF(O88+1&lt;=MIN('Données projet'!$E$9:$E$18),O88+1,"STOP")</f>
        <v>56</v>
      </c>
      <c r="P89" s="189">
        <f t="shared" si="5"/>
        <v>2.5504040518467566</v>
      </c>
      <c r="Q89" s="257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4">
        <f>'Données projet'!A93</f>
        <v>40</v>
      </c>
      <c r="B90" s="185">
        <f>'Données projet'!D93</f>
        <v>25</v>
      </c>
      <c r="C90" s="198">
        <v>70</v>
      </c>
      <c r="D90" s="183">
        <f t="shared" si="6"/>
        <v>1750</v>
      </c>
      <c r="E90" s="198"/>
      <c r="F90" s="254"/>
      <c r="G90" s="213"/>
      <c r="H90" s="195"/>
      <c r="I90" s="196"/>
      <c r="J90" s="5"/>
      <c r="K90" s="175"/>
      <c r="L90" s="5"/>
      <c r="M90" s="5"/>
      <c r="N90" s="5"/>
      <c r="O90" s="199">
        <f>IF(O89+1&lt;=MIN('Données projet'!$E$9:$E$18),O89+1,"STOP")</f>
        <v>57</v>
      </c>
      <c r="P90" s="189">
        <f t="shared" si="5"/>
        <v>2.4405780400447434</v>
      </c>
      <c r="Q90" s="257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4">
        <f>'Données projet'!A94</f>
        <v>45</v>
      </c>
      <c r="B91" s="185">
        <f>'Données projet'!D94</f>
        <v>23.076923076923077</v>
      </c>
      <c r="C91" s="198">
        <v>100</v>
      </c>
      <c r="D91" s="183">
        <f t="shared" si="6"/>
        <v>2307.6923076923076</v>
      </c>
      <c r="E91" s="198"/>
      <c r="F91" s="254"/>
      <c r="G91" s="214"/>
      <c r="H91" s="195"/>
      <c r="I91" s="196"/>
      <c r="J91" s="5"/>
      <c r="K91" s="175"/>
      <c r="L91" s="5"/>
      <c r="M91" s="5"/>
      <c r="N91" s="5"/>
      <c r="O91" s="199">
        <f>IF(O90+1&lt;=MIN('Données projet'!$E$9:$E$18),O90+1,"STOP")</f>
        <v>58</v>
      </c>
      <c r="P91" s="189">
        <f t="shared" si="5"/>
        <v>2.3354813780332475</v>
      </c>
      <c r="Q91" s="257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4">
        <f>'Données projet'!A95</f>
        <v>50</v>
      </c>
      <c r="B92" s="185">
        <f>'Données projet'!D95</f>
        <v>21.153846153846153</v>
      </c>
      <c r="C92" s="198">
        <v>120</v>
      </c>
      <c r="D92" s="183">
        <f t="shared" si="6"/>
        <v>2538.4615384615386</v>
      </c>
      <c r="E92" s="198"/>
      <c r="F92" s="254"/>
      <c r="G92" s="214"/>
      <c r="H92" s="195"/>
      <c r="I92" s="196"/>
      <c r="J92" s="5"/>
      <c r="K92" s="175"/>
      <c r="L92" s="5"/>
      <c r="M92" s="5"/>
      <c r="N92" s="5"/>
      <c r="O92" s="199">
        <f>IF(O91+1&lt;=MIN('Données projet'!$E$9:$E$18),O91+1,"STOP")</f>
        <v>59</v>
      </c>
      <c r="P92" s="189">
        <f t="shared" si="5"/>
        <v>2.234910409601194</v>
      </c>
      <c r="Q92" s="257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4">
        <f>'Données projet'!A96</f>
        <v>55</v>
      </c>
      <c r="B93" s="185">
        <f>'Données projet'!D96</f>
        <v>18.589743589743588</v>
      </c>
      <c r="C93" s="198">
        <v>120</v>
      </c>
      <c r="D93" s="183">
        <f t="shared" si="6"/>
        <v>2230.7692307692305</v>
      </c>
      <c r="E93" s="198"/>
      <c r="F93" s="254"/>
      <c r="G93" s="214"/>
      <c r="H93" s="195"/>
      <c r="I93" s="196"/>
      <c r="J93" s="5"/>
      <c r="K93" s="175"/>
      <c r="L93" s="5"/>
      <c r="M93" s="5"/>
      <c r="N93" s="5"/>
      <c r="O93" s="199">
        <f>IF(O92+1&lt;=MIN('Données projet'!$E$9:$E$18),O92+1,"STOP")</f>
        <v>60</v>
      </c>
      <c r="P93" s="189">
        <f t="shared" si="5"/>
        <v>2.1386702484221956</v>
      </c>
      <c r="Q93" s="257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4">
        <f>'Données projet'!A97</f>
        <v>60</v>
      </c>
      <c r="B94" s="185">
        <f>'Données projet'!D97</f>
        <v>16.666666666666668</v>
      </c>
      <c r="C94" s="198">
        <v>150</v>
      </c>
      <c r="D94" s="183">
        <f t="shared" si="6"/>
        <v>2500</v>
      </c>
      <c r="E94" s="198"/>
      <c r="F94" s="254"/>
      <c r="G94" s="214"/>
      <c r="H94" s="195"/>
      <c r="I94" s="196"/>
      <c r="J94" s="5"/>
      <c r="K94" s="175"/>
      <c r="L94" s="5"/>
      <c r="M94" s="5"/>
      <c r="N94" s="5"/>
      <c r="O94" s="199">
        <f>IF(O93+1&lt;=MIN('Données projet'!$E$9:$E$18),O93+1,"STOP")</f>
        <v>61</v>
      </c>
      <c r="P94" s="189">
        <f t="shared" si="5"/>
        <v>2.0465744004040145</v>
      </c>
      <c r="Q94" s="257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4">
        <f>'Données projet'!A98</f>
        <v>65</v>
      </c>
      <c r="B95" s="185">
        <f>'Données projet'!D98</f>
        <v>14.743589743589743</v>
      </c>
      <c r="C95" s="198">
        <v>150</v>
      </c>
      <c r="D95" s="183">
        <f t="shared" si="6"/>
        <v>2211.5384615384614</v>
      </c>
      <c r="E95" s="198"/>
      <c r="F95" s="254"/>
      <c r="G95" s="214"/>
      <c r="H95" s="195"/>
      <c r="I95" s="196"/>
      <c r="J95" s="5"/>
      <c r="K95" s="175"/>
      <c r="L95" s="5"/>
      <c r="M95" s="5"/>
      <c r="N95" s="5"/>
      <c r="O95" s="199">
        <f>IF(O94+1&lt;=MIN('Données projet'!$E$9:$E$18),O94+1,"STOP")</f>
        <v>62</v>
      </c>
      <c r="P95" s="189">
        <f t="shared" si="5"/>
        <v>1.9584444023004932</v>
      </c>
      <c r="Q95" s="257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4">
        <f>'Données projet'!A99</f>
        <v>70</v>
      </c>
      <c r="B96" s="185">
        <f>'Données projet'!D99</f>
        <v>159.61538461538461</v>
      </c>
      <c r="C96" s="198">
        <v>200</v>
      </c>
      <c r="D96" s="183">
        <f t="shared" si="6"/>
        <v>31923.076923076922</v>
      </c>
      <c r="E96" s="198"/>
      <c r="F96" s="254"/>
      <c r="G96" s="214"/>
      <c r="H96" s="195"/>
      <c r="I96" s="196"/>
      <c r="J96" s="5"/>
      <c r="K96" s="175"/>
      <c r="L96" s="5"/>
      <c r="M96" s="5"/>
      <c r="N96" s="5"/>
      <c r="O96" s="199">
        <f>IF(O95+1&lt;=MIN('Données projet'!$E$9:$E$18),O95+1,"STOP")</f>
        <v>63</v>
      </c>
      <c r="P96" s="189">
        <f t="shared" si="5"/>
        <v>1.8741094758856391</v>
      </c>
      <c r="Q96" s="257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4">
        <f>'Données projet'!A100</f>
        <v>0</v>
      </c>
      <c r="B97" s="185">
        <f>'Données projet'!D100</f>
        <v>0</v>
      </c>
      <c r="C97" s="198"/>
      <c r="D97" s="183">
        <f t="shared" si="6"/>
        <v>0</v>
      </c>
      <c r="E97" s="198"/>
      <c r="F97" s="254"/>
      <c r="G97" s="214"/>
      <c r="H97" s="195"/>
      <c r="I97" s="196"/>
      <c r="J97" s="5"/>
      <c r="K97" s="175"/>
      <c r="L97" s="5"/>
      <c r="M97" s="5"/>
      <c r="N97" s="5"/>
      <c r="O97" s="199">
        <f>IF(O96+1&lt;=MIN('Données projet'!$E$9:$E$18),O96+1,"STOP")</f>
        <v>64</v>
      </c>
      <c r="P97" s="189">
        <f t="shared" ref="P97:P128" si="7">$P$25/(1+$M$4)^O97</f>
        <v>1.7934061970197515</v>
      </c>
      <c r="Q97" s="257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4">
        <f>'Données projet'!A101</f>
        <v>0</v>
      </c>
      <c r="B98" s="185">
        <f>'Données projet'!D101</f>
        <v>0</v>
      </c>
      <c r="C98" s="198"/>
      <c r="D98" s="183">
        <f t="shared" si="6"/>
        <v>0</v>
      </c>
      <c r="E98" s="198"/>
      <c r="F98" s="254"/>
      <c r="G98" s="214"/>
      <c r="H98" s="195"/>
      <c r="I98" s="196"/>
      <c r="J98" s="5"/>
      <c r="K98" s="175"/>
      <c r="L98" s="5"/>
      <c r="M98" s="5"/>
      <c r="N98" s="5"/>
      <c r="O98" s="199">
        <f>IF(O97+1&lt;=MIN('Données projet'!$E$9:$E$18),O97+1,"STOP")</f>
        <v>65</v>
      </c>
      <c r="P98" s="189">
        <f t="shared" si="7"/>
        <v>1.7161781789662691</v>
      </c>
      <c r="Q98" s="257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4">
        <f>'Données projet'!A102</f>
        <v>0</v>
      </c>
      <c r="B99" s="185">
        <f>'Données projet'!D102</f>
        <v>0</v>
      </c>
      <c r="C99" s="198"/>
      <c r="D99" s="183">
        <f t="shared" si="6"/>
        <v>0</v>
      </c>
      <c r="E99" s="198"/>
      <c r="F99" s="254"/>
      <c r="G99" s="214"/>
      <c r="H99" s="195"/>
      <c r="I99" s="196"/>
      <c r="J99" s="5"/>
      <c r="K99" s="175"/>
      <c r="L99" s="5"/>
      <c r="M99" s="5"/>
      <c r="N99" s="5"/>
      <c r="O99" s="199">
        <f>IF(O98+1&lt;=MIN('Données projet'!$E$9:$E$18),O98+1,"STOP")</f>
        <v>66</v>
      </c>
      <c r="P99" s="189">
        <f t="shared" si="7"/>
        <v>1.6422757693457126</v>
      </c>
      <c r="Q99" s="257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4">
        <f>'Données projet'!A103</f>
        <v>0</v>
      </c>
      <c r="B100" s="185">
        <f>'Données projet'!D103</f>
        <v>0</v>
      </c>
      <c r="C100" s="198"/>
      <c r="D100" s="183">
        <f t="shared" si="6"/>
        <v>0</v>
      </c>
      <c r="E100" s="198"/>
      <c r="F100" s="254"/>
      <c r="G100" s="214"/>
      <c r="H100" s="195"/>
      <c r="I100" s="196"/>
      <c r="J100" s="5"/>
      <c r="K100" s="175"/>
      <c r="L100" s="5"/>
      <c r="M100" s="5"/>
      <c r="N100" s="5"/>
      <c r="O100" s="199">
        <f>IF(O99+1&lt;=MIN('Données projet'!$E$9:$E$18),O99+1,"STOP")</f>
        <v>67</v>
      </c>
      <c r="P100" s="189">
        <f t="shared" si="7"/>
        <v>1.5715557601394379</v>
      </c>
      <c r="Q100" s="257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4">
        <f>'Données projet'!A104</f>
        <v>0</v>
      </c>
      <c r="B101" s="185">
        <f>'Données projet'!D104</f>
        <v>0</v>
      </c>
      <c r="C101" s="198"/>
      <c r="D101" s="183">
        <f t="shared" si="6"/>
        <v>0</v>
      </c>
      <c r="E101" s="198"/>
      <c r="F101" s="254"/>
      <c r="G101" s="214"/>
      <c r="H101" s="195"/>
      <c r="I101" s="196"/>
      <c r="J101" s="5"/>
      <c r="K101" s="175"/>
      <c r="L101" s="5"/>
      <c r="M101" s="5"/>
      <c r="N101" s="5"/>
      <c r="O101" s="199">
        <f>IF(O100+1&lt;=MIN('Données projet'!$E$9:$E$18),O100+1,"STOP")</f>
        <v>68</v>
      </c>
      <c r="P101" s="189">
        <f t="shared" si="7"/>
        <v>1.5038811101812803</v>
      </c>
      <c r="Q101" s="257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4">
        <f>'Données projet'!A105</f>
        <v>0</v>
      </c>
      <c r="B102" s="185">
        <f>'Données projet'!D105</f>
        <v>0</v>
      </c>
      <c r="C102" s="198"/>
      <c r="D102" s="183">
        <f t="shared" si="6"/>
        <v>0</v>
      </c>
      <c r="E102" s="198"/>
      <c r="F102" s="254"/>
      <c r="G102" s="214"/>
      <c r="H102" s="195"/>
      <c r="I102" s="196"/>
      <c r="J102" s="5"/>
      <c r="K102" s="175"/>
      <c r="L102" s="5"/>
      <c r="M102" s="5"/>
      <c r="N102" s="5"/>
      <c r="O102" s="199">
        <f>IF(O101+1&lt;=MIN('Données projet'!$E$9:$E$18),O101+1,"STOP")</f>
        <v>69</v>
      </c>
      <c r="P102" s="189">
        <f t="shared" si="7"/>
        <v>1.4391206795993114</v>
      </c>
      <c r="Q102" s="257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4">
        <f>'Données projet'!A106</f>
        <v>0</v>
      </c>
      <c r="B103" s="185">
        <f>'Données projet'!D106</f>
        <v>0</v>
      </c>
      <c r="C103" s="198"/>
      <c r="D103" s="183">
        <f t="shared" si="6"/>
        <v>0</v>
      </c>
      <c r="E103" s="198"/>
      <c r="F103" s="254"/>
      <c r="G103" s="214"/>
      <c r="H103" s="195"/>
      <c r="I103" s="196"/>
      <c r="J103" s="5"/>
      <c r="K103" s="175"/>
      <c r="L103" s="5"/>
      <c r="M103" s="5"/>
      <c r="N103" s="5"/>
      <c r="O103" s="199">
        <f>IF(O102+1&lt;=MIN('Données projet'!$E$9:$E$18),O102+1,"STOP")</f>
        <v>70</v>
      </c>
      <c r="P103" s="189">
        <f t="shared" si="7"/>
        <v>1.3771489756931214</v>
      </c>
      <c r="Q103" s="257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4">
        <f>'Données projet'!A107</f>
        <v>0</v>
      </c>
      <c r="B104" s="185">
        <f>'Données projet'!D107</f>
        <v>0</v>
      </c>
      <c r="C104" s="198"/>
      <c r="D104" s="183">
        <f t="shared" si="6"/>
        <v>0</v>
      </c>
      <c r="E104" s="198"/>
      <c r="F104" s="254"/>
      <c r="G104" s="214"/>
      <c r="H104" s="195"/>
      <c r="I104" s="196"/>
      <c r="J104" s="5"/>
      <c r="K104" s="175"/>
      <c r="L104" s="5"/>
      <c r="M104" s="5"/>
      <c r="N104" s="5"/>
      <c r="O104" s="199" t="str">
        <f>IF(O103+1&lt;=MIN('Données projet'!$E$9:$E$18),O103+1,"STOP")</f>
        <v>STOP</v>
      </c>
      <c r="P104" s="189" t="e">
        <f t="shared" si="7"/>
        <v>#VALUE!</v>
      </c>
      <c r="Q104" s="257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2"/>
      <c r="G105" s="214"/>
      <c r="H105" s="195"/>
      <c r="I105" s="196"/>
      <c r="J105" s="5"/>
      <c r="K105" s="175"/>
      <c r="L105" s="5"/>
      <c r="M105" s="5"/>
      <c r="N105" s="5"/>
      <c r="O105" s="199" t="e">
        <f>IF(O104+1&lt;=MIN('Données projet'!$E$9:$E$18),O104+1,"STOP")</f>
        <v>#VALUE!</v>
      </c>
      <c r="P105" s="189" t="e">
        <f t="shared" si="7"/>
        <v>#VALUE!</v>
      </c>
      <c r="Q105" s="257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2"/>
      <c r="G106" s="214"/>
      <c r="H106" s="195"/>
      <c r="I106" s="196"/>
      <c r="J106" s="5"/>
      <c r="K106" s="175"/>
      <c r="L106" s="5"/>
      <c r="M106" s="5"/>
      <c r="N106" s="5"/>
      <c r="O106" s="199" t="e">
        <f>IF(O105+1&lt;=MIN('Données projet'!$E$9:$E$18),O105+1,"STOP")</f>
        <v>#VALUE!</v>
      </c>
      <c r="P106" s="189" t="e">
        <f t="shared" si="7"/>
        <v>#VALUE!</v>
      </c>
      <c r="Q106" s="257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78" t="str">
        <f>IF('Données projet'!B12="","",'Données projet'!B12)</f>
        <v>Alisier torminal</v>
      </c>
      <c r="C107" s="5"/>
      <c r="D107" s="5"/>
      <c r="E107" s="5"/>
      <c r="F107" s="252"/>
      <c r="G107" s="214"/>
      <c r="H107" s="195"/>
      <c r="I107" s="196"/>
      <c r="J107" s="5"/>
      <c r="K107" s="175"/>
      <c r="L107" s="5"/>
      <c r="M107" s="5"/>
      <c r="N107" s="5"/>
      <c r="O107" s="199" t="e">
        <f>IF(O106+1&lt;=MIN('Données projet'!$E$9:$E$18),O106+1,"STOP")</f>
        <v>#VALUE!</v>
      </c>
      <c r="P107" s="189" t="e">
        <f t="shared" si="7"/>
        <v>#VALUE!</v>
      </c>
      <c r="Q107" s="257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2"/>
      <c r="G108" s="214"/>
      <c r="H108" s="195"/>
      <c r="I108" s="196"/>
      <c r="J108" s="5"/>
      <c r="K108" s="175"/>
      <c r="L108" s="5"/>
      <c r="M108" s="5"/>
      <c r="N108" s="5"/>
      <c r="O108" s="199" t="e">
        <f>IF(O107+1&lt;=MIN('Données projet'!$E$9:$E$18),O107+1,"STOP")</f>
        <v>#VALUE!</v>
      </c>
      <c r="P108" s="189" t="e">
        <f t="shared" si="7"/>
        <v>#VALUE!</v>
      </c>
      <c r="Q108" s="257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48" t="s">
        <v>180</v>
      </c>
      <c r="B109" s="51" t="s">
        <v>256</v>
      </c>
      <c r="C109" s="51" t="s">
        <v>255</v>
      </c>
      <c r="D109" s="248" t="s">
        <v>252</v>
      </c>
      <c r="E109" s="248" t="s">
        <v>320</v>
      </c>
      <c r="F109" s="253"/>
      <c r="G109" s="214"/>
      <c r="H109" s="195"/>
      <c r="I109" s="196"/>
      <c r="J109" s="5"/>
      <c r="K109" s="175"/>
      <c r="L109" s="5"/>
      <c r="M109" s="5"/>
      <c r="N109" s="5"/>
      <c r="O109" s="199" t="e">
        <f>IF(O108+1&lt;=MIN('Données projet'!$E$9:$E$18),O108+1,"STOP")</f>
        <v>#VALUE!</v>
      </c>
      <c r="P109" s="189" t="e">
        <f t="shared" si="7"/>
        <v>#VALUE!</v>
      </c>
      <c r="Q109" s="257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1">
        <v>0</v>
      </c>
      <c r="B110" s="204" t="s">
        <v>132</v>
      </c>
      <c r="C110" s="203" t="s">
        <v>132</v>
      </c>
      <c r="D110" s="202" t="s">
        <v>132</v>
      </c>
      <c r="E110" s="198"/>
      <c r="F110" s="253"/>
      <c r="G110" s="214"/>
      <c r="H110" s="195"/>
      <c r="I110" s="196"/>
      <c r="J110" s="5"/>
      <c r="K110" s="175"/>
      <c r="L110" s="5"/>
      <c r="M110" s="5"/>
      <c r="N110" s="5"/>
      <c r="O110" s="199" t="e">
        <f>IF(O109+1&lt;=MIN('Données projet'!$E$9:$E$18),O109+1,"STOP")</f>
        <v>#VALUE!</v>
      </c>
      <c r="P110" s="189" t="e">
        <f t="shared" si="7"/>
        <v>#VALUE!</v>
      </c>
      <c r="Q110" s="257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1">
        <v>1</v>
      </c>
      <c r="B111" s="204" t="s">
        <v>132</v>
      </c>
      <c r="C111" s="203" t="s">
        <v>132</v>
      </c>
      <c r="D111" s="202" t="s">
        <v>132</v>
      </c>
      <c r="E111" s="198"/>
      <c r="F111" s="253"/>
      <c r="G111" s="212"/>
      <c r="H111" s="195"/>
      <c r="I111" s="196"/>
      <c r="J111" s="5"/>
      <c r="K111" s="175"/>
      <c r="L111" s="5"/>
      <c r="M111" s="5"/>
      <c r="N111" s="5"/>
      <c r="O111" s="199" t="e">
        <f>IF(O110+1&lt;=MIN('Données projet'!$E$9:$E$18),O110+1,"STOP")</f>
        <v>#VALUE!</v>
      </c>
      <c r="P111" s="189" t="e">
        <f t="shared" si="7"/>
        <v>#VALUE!</v>
      </c>
      <c r="Q111" s="257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1">
        <v>2</v>
      </c>
      <c r="B112" s="204" t="s">
        <v>132</v>
      </c>
      <c r="C112" s="203" t="s">
        <v>132</v>
      </c>
      <c r="D112" s="202" t="s">
        <v>132</v>
      </c>
      <c r="E112" s="198"/>
      <c r="F112" s="253"/>
      <c r="G112" s="212"/>
      <c r="H112" s="195"/>
      <c r="I112" s="196"/>
      <c r="J112" s="5"/>
      <c r="K112" s="175"/>
      <c r="L112" s="5"/>
      <c r="M112" s="5"/>
      <c r="N112" s="5"/>
      <c r="O112" s="199" t="e">
        <f>IF(O111+1&lt;=MIN('Données projet'!$E$9:$E$18),O111+1,"STOP")</f>
        <v>#VALUE!</v>
      </c>
      <c r="P112" s="189" t="e">
        <f t="shared" si="7"/>
        <v>#VALUE!</v>
      </c>
      <c r="Q112" s="257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1">
        <v>3</v>
      </c>
      <c r="B113" s="204" t="s">
        <v>132</v>
      </c>
      <c r="C113" s="203" t="s">
        <v>132</v>
      </c>
      <c r="D113" s="202" t="s">
        <v>132</v>
      </c>
      <c r="E113" s="198"/>
      <c r="F113" s="253"/>
      <c r="G113" s="212"/>
      <c r="H113" s="195"/>
      <c r="I113" s="196"/>
      <c r="J113" s="5"/>
      <c r="K113" s="175"/>
      <c r="L113" s="5"/>
      <c r="M113" s="5"/>
      <c r="N113" s="5"/>
      <c r="O113" s="199" t="e">
        <f>IF(O112+1&lt;=MIN('Données projet'!$E$9:$E$18),O112+1,"STOP")</f>
        <v>#VALUE!</v>
      </c>
      <c r="P113" s="189" t="e">
        <f t="shared" si="7"/>
        <v>#VALUE!</v>
      </c>
      <c r="Q113" s="257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1">
        <v>4</v>
      </c>
      <c r="B114" s="204" t="s">
        <v>132</v>
      </c>
      <c r="C114" s="203" t="s">
        <v>132</v>
      </c>
      <c r="D114" s="202" t="s">
        <v>132</v>
      </c>
      <c r="E114" s="198"/>
      <c r="F114" s="253"/>
      <c r="G114" s="212"/>
      <c r="H114" s="195"/>
      <c r="I114" s="196"/>
      <c r="J114" s="5"/>
      <c r="K114" s="175"/>
      <c r="L114" s="5"/>
      <c r="M114" s="5"/>
      <c r="N114" s="5"/>
      <c r="O114" s="199" t="e">
        <f>IF(O113+1&lt;=MIN('Données projet'!$E$9:$E$18),O113+1,"STOP")</f>
        <v>#VALUE!</v>
      </c>
      <c r="P114" s="189" t="e">
        <f t="shared" si="7"/>
        <v>#VALUE!</v>
      </c>
      <c r="Q114" s="257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1">
        <v>5</v>
      </c>
      <c r="B115" s="204" t="s">
        <v>132</v>
      </c>
      <c r="C115" s="203" t="s">
        <v>132</v>
      </c>
      <c r="D115" s="202" t="s">
        <v>132</v>
      </c>
      <c r="E115" s="198"/>
      <c r="F115" s="253"/>
      <c r="G115" s="213"/>
      <c r="H115" s="195"/>
      <c r="I115" s="196"/>
      <c r="J115" s="5"/>
      <c r="K115" s="175"/>
      <c r="L115" s="5"/>
      <c r="M115" s="5"/>
      <c r="N115" s="5"/>
      <c r="O115" s="199" t="e">
        <f>IF(O114+1&lt;=MIN('Données projet'!$E$9:$E$18),O114+1,"STOP")</f>
        <v>#VALUE!</v>
      </c>
      <c r="P115" s="189" t="e">
        <f t="shared" si="7"/>
        <v>#VALUE!</v>
      </c>
      <c r="Q115" s="257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4">
        <f>'Données projet'!A114</f>
        <v>35</v>
      </c>
      <c r="B116" s="185">
        <f>'Données projet'!D114</f>
        <v>13</v>
      </c>
      <c r="C116" s="196">
        <v>20</v>
      </c>
      <c r="D116" s="183">
        <f>B116*C116</f>
        <v>260</v>
      </c>
      <c r="E116" s="198"/>
      <c r="F116" s="254"/>
      <c r="G116" s="213"/>
      <c r="H116" s="195"/>
      <c r="I116" s="196"/>
      <c r="J116" s="5"/>
      <c r="K116" s="175"/>
      <c r="L116" s="5"/>
      <c r="M116" s="5"/>
      <c r="N116" s="5"/>
      <c r="O116" s="199" t="e">
        <f>IF(O115+1&lt;=MIN('Données projet'!$E$9:$E$18),O115+1,"STOP")</f>
        <v>#VALUE!</v>
      </c>
      <c r="P116" s="189" t="e">
        <f t="shared" si="7"/>
        <v>#VALUE!</v>
      </c>
      <c r="Q116" s="257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4">
        <f>'Données projet'!A115</f>
        <v>45</v>
      </c>
      <c r="B117" s="185">
        <f>'Données projet'!D115</f>
        <v>28</v>
      </c>
      <c r="C117" s="196">
        <v>20</v>
      </c>
      <c r="D117" s="183">
        <f t="shared" ref="D117:D135" si="8">B117*C117</f>
        <v>560</v>
      </c>
      <c r="E117" s="198"/>
      <c r="F117" s="254"/>
      <c r="G117" s="213"/>
      <c r="H117" s="195"/>
      <c r="I117" s="196"/>
      <c r="J117" s="5"/>
      <c r="K117" s="175"/>
      <c r="L117" s="5"/>
      <c r="M117" s="5"/>
      <c r="N117" s="5"/>
      <c r="O117" s="199" t="e">
        <f>IF(O116+1&lt;=MIN('Données projet'!$E$9:$E$18),O116+1,"STOP")</f>
        <v>#VALUE!</v>
      </c>
      <c r="P117" s="189" t="e">
        <f t="shared" si="7"/>
        <v>#VALUE!</v>
      </c>
      <c r="Q117" s="257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4">
        <f>'Données projet'!A116</f>
        <v>55</v>
      </c>
      <c r="B118" s="185">
        <f>'Données projet'!D116</f>
        <v>28</v>
      </c>
      <c r="C118" s="198">
        <v>20</v>
      </c>
      <c r="D118" s="183">
        <f t="shared" si="8"/>
        <v>560</v>
      </c>
      <c r="E118" s="198"/>
      <c r="F118" s="254"/>
      <c r="G118" s="213"/>
      <c r="H118" s="195"/>
      <c r="I118" s="196"/>
      <c r="J118" s="5"/>
      <c r="K118" s="175"/>
      <c r="L118" s="5"/>
      <c r="M118" s="5"/>
      <c r="N118" s="5"/>
      <c r="O118" s="199" t="e">
        <f>IF(O117+1&lt;=MIN('Données projet'!$E$9:$E$18),O117+1,"STOP")</f>
        <v>#VALUE!</v>
      </c>
      <c r="P118" s="189" t="e">
        <f t="shared" si="7"/>
        <v>#VALUE!</v>
      </c>
      <c r="Q118" s="257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4">
        <f>'Données projet'!A117</f>
        <v>65</v>
      </c>
      <c r="B119" s="185">
        <f>'Données projet'!D117</f>
        <v>28</v>
      </c>
      <c r="C119" s="198">
        <v>30</v>
      </c>
      <c r="D119" s="183">
        <f t="shared" si="8"/>
        <v>840</v>
      </c>
      <c r="E119" s="198"/>
      <c r="F119" s="254"/>
      <c r="G119" s="213"/>
      <c r="H119" s="195"/>
      <c r="I119" s="196"/>
      <c r="J119" s="5"/>
      <c r="K119" s="175"/>
      <c r="L119" s="5"/>
      <c r="M119" s="5"/>
      <c r="N119" s="5"/>
      <c r="O119" s="199" t="e">
        <f>IF(O118+1&lt;=MIN('Données projet'!$E$9:$E$18),O118+1,"STOP")</f>
        <v>#VALUE!</v>
      </c>
      <c r="P119" s="189" t="e">
        <f t="shared" si="7"/>
        <v>#VALUE!</v>
      </c>
      <c r="Q119" s="257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4">
        <f>'Données projet'!A118</f>
        <v>75</v>
      </c>
      <c r="B120" s="185">
        <f>'Données projet'!D118</f>
        <v>28</v>
      </c>
      <c r="C120" s="198">
        <v>40</v>
      </c>
      <c r="D120" s="183">
        <f t="shared" si="8"/>
        <v>1120</v>
      </c>
      <c r="E120" s="198"/>
      <c r="F120" s="254"/>
      <c r="G120" s="213"/>
      <c r="H120" s="195"/>
      <c r="I120" s="196"/>
      <c r="J120" s="5"/>
      <c r="K120" s="175"/>
      <c r="L120" s="5"/>
      <c r="M120" s="5"/>
      <c r="N120" s="5"/>
      <c r="O120" s="199" t="e">
        <f>IF(O119+1&lt;=MIN('Données projet'!$E$9:$E$18),O119+1,"STOP")</f>
        <v>#VALUE!</v>
      </c>
      <c r="P120" s="189" t="e">
        <f t="shared" si="7"/>
        <v>#VALUE!</v>
      </c>
      <c r="Q120" s="257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4">
        <f>'Données projet'!A119</f>
        <v>85</v>
      </c>
      <c r="B121" s="185">
        <f>'Données projet'!D119</f>
        <v>28</v>
      </c>
      <c r="C121" s="198">
        <v>50</v>
      </c>
      <c r="D121" s="183">
        <f t="shared" si="8"/>
        <v>1400</v>
      </c>
      <c r="E121" s="198"/>
      <c r="F121" s="254"/>
      <c r="G121" s="213"/>
      <c r="H121" s="195"/>
      <c r="I121" s="196"/>
      <c r="J121" s="5"/>
      <c r="K121" s="175"/>
      <c r="L121" s="5"/>
      <c r="M121" s="5"/>
      <c r="N121" s="5"/>
      <c r="O121" s="199" t="e">
        <f>IF(O120+1&lt;=MIN('Données projet'!$E$9:$E$18),O120+1,"STOP")</f>
        <v>#VALUE!</v>
      </c>
      <c r="P121" s="189" t="e">
        <f t="shared" si="7"/>
        <v>#VALUE!</v>
      </c>
      <c r="Q121" s="257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4">
        <f>'Données projet'!A120</f>
        <v>95</v>
      </c>
      <c r="B122" s="185">
        <f>'Données projet'!D120</f>
        <v>28</v>
      </c>
      <c r="C122" s="198">
        <v>70</v>
      </c>
      <c r="D122" s="183">
        <f t="shared" si="8"/>
        <v>1960</v>
      </c>
      <c r="E122" s="198"/>
      <c r="F122" s="254"/>
      <c r="G122" s="214"/>
      <c r="H122" s="195"/>
      <c r="I122" s="196"/>
      <c r="J122" s="5"/>
      <c r="K122" s="175"/>
      <c r="L122" s="5"/>
      <c r="M122" s="5"/>
      <c r="N122" s="5"/>
      <c r="O122" s="199" t="e">
        <f>IF(O121+1&lt;=MIN('Données projet'!$E$9:$E$18),O121+1,"STOP")</f>
        <v>#VALUE!</v>
      </c>
      <c r="P122" s="189" t="e">
        <f t="shared" si="7"/>
        <v>#VALUE!</v>
      </c>
      <c r="Q122" s="257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4">
        <f>'Données projet'!A121</f>
        <v>105</v>
      </c>
      <c r="B123" s="185">
        <f>'Données projet'!D121</f>
        <v>28</v>
      </c>
      <c r="C123" s="198">
        <v>80</v>
      </c>
      <c r="D123" s="183">
        <f t="shared" si="8"/>
        <v>2240</v>
      </c>
      <c r="E123" s="198"/>
      <c r="F123" s="254"/>
      <c r="G123" s="214"/>
      <c r="H123" s="195"/>
      <c r="I123" s="196"/>
      <c r="J123" s="5"/>
      <c r="K123" s="175"/>
      <c r="L123" s="5"/>
      <c r="M123" s="5"/>
      <c r="N123" s="5"/>
      <c r="O123" s="199" t="e">
        <f>IF(O122+1&lt;=MIN('Données projet'!$E$9:$E$18),O122+1,"STOP")</f>
        <v>#VALUE!</v>
      </c>
      <c r="P123" s="189" t="e">
        <f t="shared" si="7"/>
        <v>#VALUE!</v>
      </c>
      <c r="Q123" s="257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4">
        <f>'Données projet'!A122</f>
        <v>115</v>
      </c>
      <c r="B124" s="185">
        <f>'Données projet'!D122</f>
        <v>26</v>
      </c>
      <c r="C124" s="198">
        <v>100</v>
      </c>
      <c r="D124" s="183">
        <f t="shared" si="8"/>
        <v>2600</v>
      </c>
      <c r="E124" s="198"/>
      <c r="F124" s="254"/>
      <c r="G124" s="214"/>
      <c r="H124" s="195"/>
      <c r="I124" s="196"/>
      <c r="J124" s="5"/>
      <c r="K124" s="175"/>
      <c r="L124" s="5"/>
      <c r="M124" s="5"/>
      <c r="N124" s="5"/>
      <c r="O124" s="199" t="e">
        <f>IF(O123+1&lt;=MIN('Données projet'!$E$9:$E$18),O123+1,"STOP")</f>
        <v>#VALUE!</v>
      </c>
      <c r="P124" s="189" t="e">
        <f t="shared" si="7"/>
        <v>#VALUE!</v>
      </c>
      <c r="Q124" s="257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4">
        <f>'Données projet'!A123</f>
        <v>125</v>
      </c>
      <c r="B125" s="185">
        <f>'Données projet'!D123</f>
        <v>23</v>
      </c>
      <c r="C125" s="198">
        <v>120</v>
      </c>
      <c r="D125" s="183">
        <f t="shared" si="8"/>
        <v>2760</v>
      </c>
      <c r="E125" s="198"/>
      <c r="F125" s="254"/>
      <c r="G125" s="214"/>
      <c r="H125" s="195"/>
      <c r="I125" s="196"/>
      <c r="J125" s="5"/>
      <c r="K125" s="175"/>
      <c r="L125" s="5"/>
      <c r="M125" s="5"/>
      <c r="N125" s="5"/>
      <c r="O125" s="199" t="e">
        <f>IF(O124+1&lt;=MIN('Données projet'!$E$9:$E$18),O124+1,"STOP")</f>
        <v>#VALUE!</v>
      </c>
      <c r="P125" s="189" t="e">
        <f t="shared" si="7"/>
        <v>#VALUE!</v>
      </c>
      <c r="Q125" s="257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4">
        <f>'Données projet'!A124</f>
        <v>135</v>
      </c>
      <c r="B126" s="185">
        <f>'Données projet'!D124</f>
        <v>19</v>
      </c>
      <c r="C126" s="198">
        <v>150</v>
      </c>
      <c r="D126" s="183">
        <f t="shared" si="8"/>
        <v>2850</v>
      </c>
      <c r="E126" s="198"/>
      <c r="F126" s="254"/>
      <c r="G126" s="214"/>
      <c r="H126" s="195"/>
      <c r="I126" s="196"/>
      <c r="J126" s="5"/>
      <c r="K126" s="175"/>
      <c r="L126" s="5"/>
      <c r="M126" s="5"/>
      <c r="N126" s="5"/>
      <c r="O126" s="199" t="e">
        <f>IF(O125+1&lt;=MIN('Données projet'!$E$9:$E$18),O125+1,"STOP")</f>
        <v>#VALUE!</v>
      </c>
      <c r="P126" s="189" t="e">
        <f t="shared" si="7"/>
        <v>#VALUE!</v>
      </c>
      <c r="Q126" s="257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4">
        <f>'Données projet'!A125</f>
        <v>145</v>
      </c>
      <c r="B127" s="185">
        <f>'Données projet'!D125</f>
        <v>0</v>
      </c>
      <c r="C127" s="198">
        <v>150</v>
      </c>
      <c r="D127" s="183">
        <f t="shared" si="8"/>
        <v>0</v>
      </c>
      <c r="E127" s="198"/>
      <c r="F127" s="254"/>
      <c r="G127" s="214"/>
      <c r="H127" s="195"/>
      <c r="I127" s="196"/>
      <c r="J127" s="5"/>
      <c r="K127" s="175"/>
      <c r="L127" s="5"/>
      <c r="M127" s="5"/>
      <c r="N127" s="5"/>
      <c r="O127" s="199" t="e">
        <f>IF(O126+1&lt;=MIN('Données projet'!$E$9:$E$18),O126+1,"STOP")</f>
        <v>#VALUE!</v>
      </c>
      <c r="P127" s="189" t="e">
        <f t="shared" si="7"/>
        <v>#VALUE!</v>
      </c>
      <c r="Q127" s="257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4">
        <f>'Données projet'!A126</f>
        <v>150</v>
      </c>
      <c r="B128" s="185">
        <f>'Données projet'!D126</f>
        <v>232</v>
      </c>
      <c r="C128" s="198">
        <v>200</v>
      </c>
      <c r="D128" s="183">
        <f t="shared" si="8"/>
        <v>46400</v>
      </c>
      <c r="E128" s="198"/>
      <c r="F128" s="254"/>
      <c r="G128" s="214"/>
      <c r="H128" s="195"/>
      <c r="I128" s="196"/>
      <c r="J128" s="5"/>
      <c r="K128" s="175"/>
      <c r="L128" s="5"/>
      <c r="M128" s="5"/>
      <c r="N128" s="5"/>
      <c r="O128" s="199" t="e">
        <f>IF(O127+1&lt;=MIN('Données projet'!$E$9:$E$18),O127+1,"STOP")</f>
        <v>#VALUE!</v>
      </c>
      <c r="P128" s="189" t="e">
        <f t="shared" si="7"/>
        <v>#VALUE!</v>
      </c>
      <c r="Q128" s="257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4">
        <f>'Données projet'!A127</f>
        <v>0</v>
      </c>
      <c r="B129" s="185">
        <f>'Données projet'!D127</f>
        <v>0</v>
      </c>
      <c r="C129" s="198"/>
      <c r="D129" s="183">
        <f t="shared" si="8"/>
        <v>0</v>
      </c>
      <c r="E129" s="198"/>
      <c r="F129" s="254"/>
      <c r="G129" s="214"/>
      <c r="H129" s="195"/>
      <c r="I129" s="196"/>
      <c r="J129" s="5"/>
      <c r="K129" s="175"/>
      <c r="L129" s="5"/>
      <c r="M129" s="5"/>
      <c r="N129" s="5"/>
      <c r="O129" s="199" t="e">
        <f>IF(O128+1&lt;=MIN('Données projet'!$E$9:$E$18),O128+1,"STOP")</f>
        <v>#VALUE!</v>
      </c>
      <c r="P129" s="189" t="e">
        <f t="shared" ref="P129:P132" si="9">$P$25/(1+$M$4)^O129</f>
        <v>#VALUE!</v>
      </c>
      <c r="Q129" s="257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4">
        <f>'Données projet'!A128</f>
        <v>0</v>
      </c>
      <c r="B130" s="185">
        <f>'Données projet'!D128</f>
        <v>0</v>
      </c>
      <c r="C130" s="198"/>
      <c r="D130" s="183">
        <f t="shared" si="8"/>
        <v>0</v>
      </c>
      <c r="E130" s="198"/>
      <c r="F130" s="254"/>
      <c r="G130" s="214"/>
      <c r="H130" s="195"/>
      <c r="I130" s="196"/>
      <c r="J130" s="5"/>
      <c r="K130" s="175"/>
      <c r="L130" s="5"/>
      <c r="M130" s="5"/>
      <c r="N130" s="5"/>
      <c r="O130" s="199" t="e">
        <f>IF(O129+1&lt;=MIN('Données projet'!$E$9:$E$18),O129+1,"STOP")</f>
        <v>#VALUE!</v>
      </c>
      <c r="P130" s="189" t="e">
        <f t="shared" si="9"/>
        <v>#VALUE!</v>
      </c>
      <c r="Q130" s="257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4">
        <f>'Données projet'!A129</f>
        <v>0</v>
      </c>
      <c r="B131" s="185">
        <f>'Données projet'!D129</f>
        <v>0</v>
      </c>
      <c r="C131" s="198"/>
      <c r="D131" s="183">
        <f t="shared" si="8"/>
        <v>0</v>
      </c>
      <c r="E131" s="198"/>
      <c r="F131" s="254"/>
      <c r="G131" s="214"/>
      <c r="H131" s="195"/>
      <c r="I131" s="196"/>
      <c r="J131" s="5"/>
      <c r="K131" s="175"/>
      <c r="L131" s="5"/>
      <c r="M131" s="5"/>
      <c r="N131" s="5"/>
      <c r="O131" s="199" t="e">
        <f>IF(O130+1&lt;=MIN('Données projet'!$E$9:$E$18),O130+1,"STOP")</f>
        <v>#VALUE!</v>
      </c>
      <c r="P131" s="189" t="e">
        <f t="shared" si="9"/>
        <v>#VALUE!</v>
      </c>
      <c r="Q131" s="257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4">
        <f>'Données projet'!A130</f>
        <v>0</v>
      </c>
      <c r="B132" s="185">
        <f>'Données projet'!D130</f>
        <v>0</v>
      </c>
      <c r="C132" s="198"/>
      <c r="D132" s="183">
        <f t="shared" si="8"/>
        <v>0</v>
      </c>
      <c r="E132" s="198"/>
      <c r="F132" s="254"/>
      <c r="G132" s="214"/>
      <c r="H132" s="195"/>
      <c r="I132" s="196"/>
      <c r="J132" s="5"/>
      <c r="K132" s="175"/>
      <c r="L132" s="5"/>
      <c r="M132" s="5"/>
      <c r="N132" s="5"/>
      <c r="O132" s="199" t="e">
        <f>IF(O131+1&lt;=MIN('Données projet'!$E$9:$E$18),O131+1,"STOP")</f>
        <v>#VALUE!</v>
      </c>
      <c r="P132" s="189" t="e">
        <f t="shared" si="9"/>
        <v>#VALUE!</v>
      </c>
      <c r="Q132" s="257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4">
        <f>'Données projet'!A131</f>
        <v>0</v>
      </c>
      <c r="B133" s="185">
        <f>'Données projet'!D131</f>
        <v>0</v>
      </c>
      <c r="C133" s="198"/>
      <c r="D133" s="183">
        <f t="shared" si="8"/>
        <v>0</v>
      </c>
      <c r="E133" s="198"/>
      <c r="F133" s="254"/>
      <c r="G133" s="214"/>
      <c r="H133" s="195"/>
      <c r="I133" s="196"/>
      <c r="J133" s="5"/>
      <c r="K133" s="175"/>
      <c r="Q133" s="257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4">
        <f>'Données projet'!A132</f>
        <v>0</v>
      </c>
      <c r="B134" s="185">
        <f>'Données projet'!D132</f>
        <v>0</v>
      </c>
      <c r="C134" s="198"/>
      <c r="D134" s="183">
        <f t="shared" si="8"/>
        <v>0</v>
      </c>
      <c r="E134" s="198"/>
      <c r="F134" s="254"/>
      <c r="G134" s="214"/>
      <c r="H134" s="195"/>
      <c r="I134" s="196"/>
      <c r="J134" s="5"/>
      <c r="K134" s="175"/>
      <c r="Q134" s="257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4">
        <f>'Données projet'!A133</f>
        <v>0</v>
      </c>
      <c r="B135" s="185">
        <f>'Données projet'!D133</f>
        <v>0</v>
      </c>
      <c r="C135" s="198"/>
      <c r="D135" s="183">
        <f t="shared" si="8"/>
        <v>0</v>
      </c>
      <c r="E135" s="198"/>
      <c r="F135" s="254"/>
      <c r="G135" s="214"/>
      <c r="H135" s="195"/>
      <c r="I135" s="196"/>
      <c r="J135" s="5"/>
      <c r="K135" s="175"/>
      <c r="Q135" s="257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2"/>
      <c r="G136" s="214"/>
      <c r="H136" s="195"/>
      <c r="I136" s="196"/>
      <c r="J136" s="5"/>
      <c r="K136" s="175"/>
      <c r="L136" s="5"/>
      <c r="M136" s="5"/>
      <c r="N136" s="5"/>
      <c r="Q136" s="257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2"/>
      <c r="G137" s="214"/>
      <c r="H137" s="195"/>
      <c r="I137" s="196"/>
      <c r="J137" s="5"/>
      <c r="K137" s="175"/>
      <c r="L137" s="5"/>
      <c r="M137" s="5"/>
      <c r="N137" s="5"/>
      <c r="Q137" s="257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78" t="str">
        <f>IF('Données projet'!B13="","",'Données projet'!B13)</f>
        <v/>
      </c>
      <c r="C138" s="5"/>
      <c r="D138" s="5"/>
      <c r="E138" s="5"/>
      <c r="F138" s="252"/>
      <c r="G138" s="214"/>
      <c r="H138" s="195"/>
      <c r="I138" s="196"/>
      <c r="J138" s="5"/>
      <c r="K138" s="175"/>
      <c r="L138" s="5"/>
      <c r="M138" s="5"/>
      <c r="N138" s="5"/>
      <c r="Q138" s="257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2"/>
      <c r="G139" s="214"/>
      <c r="H139" s="195"/>
      <c r="I139" s="196"/>
      <c r="J139" s="5"/>
      <c r="K139" s="175"/>
      <c r="L139" s="5"/>
      <c r="M139" s="5"/>
      <c r="N139" s="5"/>
      <c r="Q139" s="257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48" t="s">
        <v>180</v>
      </c>
      <c r="B140" s="51" t="s">
        <v>256</v>
      </c>
      <c r="C140" s="51" t="s">
        <v>255</v>
      </c>
      <c r="D140" s="248" t="s">
        <v>252</v>
      </c>
      <c r="E140" s="248" t="s">
        <v>320</v>
      </c>
      <c r="F140" s="253"/>
      <c r="G140" s="214"/>
      <c r="H140" s="195"/>
      <c r="I140" s="196"/>
      <c r="J140" s="5"/>
      <c r="K140" s="175"/>
      <c r="L140" s="5"/>
      <c r="M140" s="5"/>
      <c r="N140" s="5"/>
      <c r="Q140" s="257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1">
        <v>0</v>
      </c>
      <c r="B141" s="204" t="s">
        <v>132</v>
      </c>
      <c r="C141" s="203"/>
      <c r="D141" s="202" t="s">
        <v>132</v>
      </c>
      <c r="E141" s="198"/>
      <c r="F141" s="253"/>
      <c r="G141" s="214"/>
      <c r="H141" s="195"/>
      <c r="I141" s="196"/>
      <c r="J141" s="5"/>
      <c r="K141" s="175"/>
      <c r="L141" s="5"/>
      <c r="M141" s="5"/>
      <c r="N141" s="5"/>
      <c r="Q141" s="257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1">
        <v>1</v>
      </c>
      <c r="B142" s="204" t="s">
        <v>132</v>
      </c>
      <c r="C142" s="203"/>
      <c r="D142" s="202" t="s">
        <v>132</v>
      </c>
      <c r="E142" s="198"/>
      <c r="F142" s="253"/>
      <c r="G142" s="212"/>
      <c r="H142" s="195"/>
      <c r="I142" s="196"/>
      <c r="J142" s="5"/>
      <c r="K142" s="175"/>
      <c r="L142" s="5"/>
      <c r="M142" s="5"/>
      <c r="N142" s="5"/>
      <c r="Q142" s="257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1">
        <v>2</v>
      </c>
      <c r="B143" s="204" t="s">
        <v>132</v>
      </c>
      <c r="C143" s="203"/>
      <c r="D143" s="202" t="s">
        <v>132</v>
      </c>
      <c r="E143" s="198"/>
      <c r="F143" s="253"/>
      <c r="G143" s="212"/>
      <c r="H143" s="195"/>
      <c r="I143" s="196"/>
      <c r="J143" s="5"/>
      <c r="K143" s="175"/>
      <c r="L143" s="5"/>
      <c r="M143" s="5"/>
      <c r="N143" s="5"/>
      <c r="Q143" s="257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1">
        <v>3</v>
      </c>
      <c r="B144" s="204" t="s">
        <v>132</v>
      </c>
      <c r="C144" s="203"/>
      <c r="D144" s="202" t="s">
        <v>132</v>
      </c>
      <c r="E144" s="198"/>
      <c r="F144" s="253"/>
      <c r="G144" s="212"/>
      <c r="H144" s="195"/>
      <c r="I144" s="196"/>
      <c r="J144" s="5"/>
      <c r="K144" s="175"/>
      <c r="L144" s="5"/>
      <c r="M144" s="5"/>
      <c r="N144" s="5"/>
      <c r="Q144" s="257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1">
        <v>4</v>
      </c>
      <c r="B145" s="204" t="s">
        <v>132</v>
      </c>
      <c r="C145" s="203"/>
      <c r="D145" s="202" t="s">
        <v>132</v>
      </c>
      <c r="E145" s="198"/>
      <c r="F145" s="253"/>
      <c r="G145" s="212"/>
      <c r="H145" s="195"/>
      <c r="I145" s="196"/>
      <c r="J145" s="5"/>
      <c r="K145" s="175"/>
      <c r="L145" s="5"/>
      <c r="M145" s="5"/>
      <c r="N145" s="5"/>
      <c r="Q145" s="257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1">
        <v>5</v>
      </c>
      <c r="B146" s="204" t="s">
        <v>132</v>
      </c>
      <c r="C146" s="196"/>
      <c r="D146" s="202" t="s">
        <v>132</v>
      </c>
      <c r="E146" s="198"/>
      <c r="F146" s="253"/>
      <c r="G146" s="213"/>
      <c r="H146" s="195"/>
      <c r="I146" s="196"/>
      <c r="J146" s="5"/>
      <c r="K146" s="175"/>
      <c r="L146" s="5"/>
      <c r="M146" s="5"/>
      <c r="N146" s="5"/>
      <c r="Q146" s="257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79">
        <f>'Données projet'!D140</f>
        <v>0</v>
      </c>
      <c r="C147" s="196"/>
      <c r="D147" s="186">
        <f>B147*C147</f>
        <v>0</v>
      </c>
      <c r="E147" s="198"/>
      <c r="F147" s="255"/>
      <c r="G147" s="213"/>
      <c r="H147" s="195"/>
      <c r="I147" s="196"/>
      <c r="J147" s="5"/>
      <c r="K147" s="175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79">
        <f>'Données projet'!D141</f>
        <v>0</v>
      </c>
      <c r="C148" s="198"/>
      <c r="D148" s="186">
        <f t="shared" ref="D148:D166" si="10">B148*C148</f>
        <v>0</v>
      </c>
      <c r="E148" s="198"/>
      <c r="F148" s="255"/>
      <c r="G148" s="213"/>
      <c r="H148" s="195"/>
      <c r="I148" s="196"/>
      <c r="J148" s="5"/>
      <c r="K148" s="175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79">
        <f>'Données projet'!D142</f>
        <v>0</v>
      </c>
      <c r="C149" s="196"/>
      <c r="D149" s="186">
        <f t="shared" si="10"/>
        <v>0</v>
      </c>
      <c r="E149" s="198"/>
      <c r="F149" s="255"/>
      <c r="G149" s="213"/>
      <c r="H149" s="195"/>
      <c r="I149" s="196"/>
      <c r="J149" s="5"/>
      <c r="K149" s="175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79">
        <f>'Données projet'!D143</f>
        <v>0</v>
      </c>
      <c r="C150" s="196"/>
      <c r="D150" s="186">
        <f t="shared" si="10"/>
        <v>0</v>
      </c>
      <c r="E150" s="198"/>
      <c r="F150" s="255"/>
      <c r="G150" s="213"/>
      <c r="H150" s="195"/>
      <c r="I150" s="196"/>
      <c r="J150" s="5"/>
      <c r="K150" s="175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79">
        <f>'Données projet'!D144</f>
        <v>0</v>
      </c>
      <c r="C151" s="196"/>
      <c r="D151" s="186">
        <f t="shared" si="10"/>
        <v>0</v>
      </c>
      <c r="E151" s="198"/>
      <c r="F151" s="255"/>
      <c r="G151" s="213"/>
      <c r="H151" s="195"/>
      <c r="I151" s="196"/>
      <c r="J151" s="5"/>
      <c r="K151" s="175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79">
        <f>'Données projet'!D145</f>
        <v>0</v>
      </c>
      <c r="C152" s="196"/>
      <c r="D152" s="186">
        <f t="shared" si="10"/>
        <v>0</v>
      </c>
      <c r="E152" s="198"/>
      <c r="F152" s="255"/>
      <c r="G152" s="213"/>
      <c r="H152" s="195"/>
      <c r="I152" s="196"/>
      <c r="J152" s="5"/>
      <c r="K152" s="175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79">
        <f>'Données projet'!D146</f>
        <v>0</v>
      </c>
      <c r="C153" s="196"/>
      <c r="D153" s="186">
        <f t="shared" si="10"/>
        <v>0</v>
      </c>
      <c r="E153" s="198"/>
      <c r="F153" s="255"/>
      <c r="G153" s="209"/>
      <c r="H153" s="195"/>
      <c r="I153" s="196"/>
      <c r="J153" s="5"/>
      <c r="K153" s="175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79">
        <f>'Données projet'!D147</f>
        <v>0</v>
      </c>
      <c r="C154" s="196"/>
      <c r="D154" s="186">
        <f t="shared" si="10"/>
        <v>0</v>
      </c>
      <c r="E154" s="198"/>
      <c r="F154" s="255"/>
      <c r="G154" s="209"/>
      <c r="H154" s="195"/>
      <c r="I154" s="196"/>
      <c r="J154" s="5"/>
      <c r="K154" s="175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79">
        <f>'Données projet'!D148</f>
        <v>0</v>
      </c>
      <c r="C155" s="196"/>
      <c r="D155" s="186">
        <f t="shared" si="10"/>
        <v>0</v>
      </c>
      <c r="E155" s="198"/>
      <c r="F155" s="255"/>
      <c r="G155" s="209"/>
      <c r="H155" s="195"/>
      <c r="I155" s="196"/>
      <c r="J155" s="5"/>
      <c r="K155" s="175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79">
        <f>'Données projet'!D149</f>
        <v>0</v>
      </c>
      <c r="C156" s="196"/>
      <c r="D156" s="186">
        <f t="shared" si="10"/>
        <v>0</v>
      </c>
      <c r="E156" s="198"/>
      <c r="F156" s="255"/>
      <c r="G156" s="209"/>
      <c r="H156" s="195"/>
      <c r="I156" s="196"/>
      <c r="J156" s="5"/>
      <c r="K156" s="175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79">
        <f>'Données projet'!D150</f>
        <v>0</v>
      </c>
      <c r="C157" s="196"/>
      <c r="D157" s="186">
        <f t="shared" si="10"/>
        <v>0</v>
      </c>
      <c r="E157" s="198"/>
      <c r="F157" s="255"/>
      <c r="G157" s="209"/>
      <c r="H157" s="195"/>
      <c r="I157" s="196"/>
      <c r="J157" s="5"/>
      <c r="K157" s="175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79">
        <f>'Données projet'!D151</f>
        <v>0</v>
      </c>
      <c r="C158" s="196"/>
      <c r="D158" s="186">
        <f t="shared" si="10"/>
        <v>0</v>
      </c>
      <c r="E158" s="198"/>
      <c r="F158" s="255"/>
      <c r="G158" s="209"/>
      <c r="H158" s="195"/>
      <c r="I158" s="196"/>
      <c r="J158" s="5"/>
      <c r="K158" s="175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79">
        <f>'Données projet'!D152</f>
        <v>0</v>
      </c>
      <c r="C159" s="196"/>
      <c r="D159" s="186">
        <f t="shared" si="10"/>
        <v>0</v>
      </c>
      <c r="E159" s="198"/>
      <c r="F159" s="255"/>
      <c r="G159" s="209"/>
      <c r="H159" s="195"/>
      <c r="I159" s="196"/>
      <c r="J159" s="5"/>
      <c r="K159" s="175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79">
        <f>'Données projet'!D153</f>
        <v>0</v>
      </c>
      <c r="C160" s="196"/>
      <c r="D160" s="186">
        <f t="shared" si="10"/>
        <v>0</v>
      </c>
      <c r="E160" s="198"/>
      <c r="F160" s="255"/>
      <c r="G160" s="209"/>
      <c r="H160" s="195"/>
      <c r="I160" s="196"/>
      <c r="J160" s="5"/>
      <c r="K160" s="17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79">
        <f>'Données projet'!D154</f>
        <v>0</v>
      </c>
      <c r="C161" s="198"/>
      <c r="D161" s="186">
        <f t="shared" si="10"/>
        <v>0</v>
      </c>
      <c r="E161" s="198"/>
      <c r="F161" s="255"/>
      <c r="G161" s="209"/>
      <c r="H161" s="195"/>
      <c r="I161" s="196"/>
      <c r="J161" s="5"/>
      <c r="K161" s="17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79">
        <f>'Données projet'!D155</f>
        <v>0</v>
      </c>
      <c r="C162" s="196"/>
      <c r="D162" s="186">
        <f t="shared" si="10"/>
        <v>0</v>
      </c>
      <c r="E162" s="198"/>
      <c r="F162" s="255"/>
      <c r="G162" s="209"/>
      <c r="H162" s="195"/>
      <c r="I162" s="196"/>
      <c r="J162" s="5"/>
      <c r="K162" s="17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79">
        <f>'Données projet'!D156</f>
        <v>0</v>
      </c>
      <c r="C163" s="196"/>
      <c r="D163" s="186">
        <f t="shared" si="10"/>
        <v>0</v>
      </c>
      <c r="E163" s="198"/>
      <c r="F163" s="255"/>
      <c r="G163" s="209"/>
      <c r="H163" s="195"/>
      <c r="I163" s="196"/>
      <c r="J163" s="5"/>
      <c r="K163" s="17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79">
        <f>'Données projet'!D157</f>
        <v>0</v>
      </c>
      <c r="C164" s="196"/>
      <c r="D164" s="186">
        <f t="shared" si="10"/>
        <v>0</v>
      </c>
      <c r="E164" s="198"/>
      <c r="F164" s="255"/>
      <c r="G164" s="209"/>
      <c r="H164" s="195"/>
      <c r="I164" s="196"/>
      <c r="J164" s="5"/>
      <c r="K164" s="17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79">
        <f>'Données projet'!D158</f>
        <v>0</v>
      </c>
      <c r="C165" s="196"/>
      <c r="D165" s="186">
        <f t="shared" si="10"/>
        <v>0</v>
      </c>
      <c r="E165" s="198"/>
      <c r="F165" s="255"/>
      <c r="G165" s="209"/>
      <c r="H165" s="195"/>
      <c r="I165" s="196"/>
      <c r="J165" s="5"/>
      <c r="K165" s="17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79">
        <f>'Données projet'!D159</f>
        <v>0</v>
      </c>
      <c r="C166" s="196"/>
      <c r="D166" s="186">
        <f t="shared" si="10"/>
        <v>0</v>
      </c>
      <c r="E166" s="198"/>
      <c r="F166" s="255"/>
      <c r="G166" s="209"/>
      <c r="H166" s="195"/>
      <c r="I166" s="196"/>
      <c r="J166" s="5"/>
      <c r="K166" s="17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2"/>
      <c r="G167" s="209"/>
      <c r="H167" s="195"/>
      <c r="I167" s="196"/>
      <c r="J167" s="5"/>
      <c r="K167" s="17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2"/>
      <c r="G168" s="209"/>
      <c r="H168" s="195"/>
      <c r="I168" s="196"/>
      <c r="J168" s="5"/>
      <c r="K168" s="17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78" t="str">
        <f>IF('Données projet'!B14="","",'Données projet'!B14)</f>
        <v>Charme</v>
      </c>
      <c r="C169" s="5"/>
      <c r="D169" s="5"/>
      <c r="E169" s="5"/>
      <c r="F169" s="252"/>
      <c r="G169" s="209"/>
      <c r="H169" s="195"/>
      <c r="I169" s="196"/>
      <c r="J169" s="5"/>
      <c r="K169" s="17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2"/>
      <c r="G170" s="209"/>
      <c r="H170" s="195"/>
      <c r="I170" s="196"/>
      <c r="J170" s="5"/>
      <c r="K170" s="17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48" t="s">
        <v>180</v>
      </c>
      <c r="B171" s="51" t="s">
        <v>256</v>
      </c>
      <c r="C171" s="51" t="s">
        <v>255</v>
      </c>
      <c r="D171" s="248" t="s">
        <v>252</v>
      </c>
      <c r="E171" s="248" t="s">
        <v>320</v>
      </c>
      <c r="F171" s="253"/>
      <c r="G171" s="209"/>
      <c r="H171" s="195"/>
      <c r="I171" s="196"/>
      <c r="J171" s="5"/>
      <c r="K171" s="17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1">
        <v>0</v>
      </c>
      <c r="B172" s="204" t="s">
        <v>132</v>
      </c>
      <c r="C172" s="203"/>
      <c r="D172" s="202" t="s">
        <v>132</v>
      </c>
      <c r="E172" s="198"/>
      <c r="F172" s="253"/>
      <c r="G172" s="209"/>
      <c r="H172" s="195"/>
      <c r="I172" s="196"/>
      <c r="J172" s="5"/>
      <c r="K172" s="17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1">
        <v>1</v>
      </c>
      <c r="B173" s="204" t="s">
        <v>132</v>
      </c>
      <c r="C173" s="203"/>
      <c r="D173" s="202" t="s">
        <v>132</v>
      </c>
      <c r="E173" s="198"/>
      <c r="F173" s="253"/>
      <c r="G173" s="212"/>
      <c r="H173" s="195"/>
      <c r="I173" s="196"/>
      <c r="J173" s="5"/>
      <c r="K173" s="17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1">
        <v>2</v>
      </c>
      <c r="B174" s="204" t="s">
        <v>132</v>
      </c>
      <c r="C174" s="203"/>
      <c r="D174" s="202" t="s">
        <v>132</v>
      </c>
      <c r="E174" s="198"/>
      <c r="F174" s="253"/>
      <c r="G174" s="212"/>
      <c r="H174" s="195"/>
      <c r="I174" s="196"/>
      <c r="J174" s="5"/>
      <c r="K174" s="17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1">
        <v>3</v>
      </c>
      <c r="B175" s="204" t="s">
        <v>132</v>
      </c>
      <c r="C175" s="203"/>
      <c r="D175" s="202" t="s">
        <v>132</v>
      </c>
      <c r="E175" s="198"/>
      <c r="F175" s="253"/>
      <c r="G175" s="212"/>
      <c r="H175" s="195"/>
      <c r="I175" s="196"/>
      <c r="J175" s="5"/>
      <c r="K175" s="17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1">
        <v>4</v>
      </c>
      <c r="B176" s="204" t="s">
        <v>132</v>
      </c>
      <c r="C176" s="203"/>
      <c r="D176" s="202" t="s">
        <v>132</v>
      </c>
      <c r="E176" s="198"/>
      <c r="F176" s="253"/>
      <c r="G176" s="212"/>
      <c r="H176" s="195"/>
      <c r="I176" s="196"/>
      <c r="J176" s="5"/>
      <c r="K176" s="17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1">
        <v>5</v>
      </c>
      <c r="B177" s="204" t="s">
        <v>132</v>
      </c>
      <c r="C177" s="203"/>
      <c r="D177" s="202" t="s">
        <v>132</v>
      </c>
      <c r="E177" s="198"/>
      <c r="F177" s="253"/>
      <c r="G177" s="213"/>
      <c r="H177" s="195"/>
      <c r="I177" s="196"/>
      <c r="J177" s="5"/>
      <c r="K177" s="17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4">
        <f>'Données projet'!A166</f>
        <v>20</v>
      </c>
      <c r="B178" s="185">
        <f>'Données projet'!D166</f>
        <v>15.384615384615383</v>
      </c>
      <c r="C178" s="198">
        <v>15</v>
      </c>
      <c r="D178" s="183">
        <f>B178*C178</f>
        <v>230.76923076923075</v>
      </c>
      <c r="E178" s="198"/>
      <c r="F178" s="254"/>
      <c r="G178" s="213"/>
      <c r="H178" s="195"/>
      <c r="I178" s="196"/>
      <c r="J178" s="5"/>
      <c r="K178" s="17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4">
        <f>'Données projet'!A167</f>
        <v>30</v>
      </c>
      <c r="B179" s="185">
        <f>'Données projet'!D167</f>
        <v>24.358974358974358</v>
      </c>
      <c r="C179" s="196">
        <v>20</v>
      </c>
      <c r="D179" s="183">
        <f t="shared" ref="D179:D197" si="11">B179*C179</f>
        <v>487.17948717948718</v>
      </c>
      <c r="E179" s="198"/>
      <c r="F179" s="254"/>
      <c r="G179" s="213"/>
      <c r="H179" s="195"/>
      <c r="I179" s="196"/>
      <c r="J179" s="5"/>
      <c r="K179" s="17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4">
        <f>'Données projet'!A168</f>
        <v>40</v>
      </c>
      <c r="B180" s="185">
        <f>'Données projet'!D168</f>
        <v>26.060606060606062</v>
      </c>
      <c r="C180" s="196">
        <v>20</v>
      </c>
      <c r="D180" s="183">
        <f t="shared" si="11"/>
        <v>521.21212121212125</v>
      </c>
      <c r="E180" s="198"/>
      <c r="F180" s="254"/>
      <c r="G180" s="213"/>
      <c r="H180" s="195"/>
      <c r="I180" s="196"/>
      <c r="J180" s="5"/>
      <c r="K180" s="17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4">
        <f>'Données projet'!A169</f>
        <v>50</v>
      </c>
      <c r="B181" s="185">
        <f>'Données projet'!D169</f>
        <v>26.666666666666668</v>
      </c>
      <c r="C181" s="196">
        <v>20</v>
      </c>
      <c r="D181" s="183">
        <f t="shared" si="11"/>
        <v>533.33333333333337</v>
      </c>
      <c r="E181" s="198"/>
      <c r="F181" s="254"/>
      <c r="G181" s="213"/>
      <c r="H181" s="195"/>
      <c r="I181" s="196"/>
      <c r="J181" s="5"/>
      <c r="K181" s="17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4">
        <f>'Données projet'!A170</f>
        <v>60</v>
      </c>
      <c r="B182" s="185">
        <f>'Données projet'!D170</f>
        <v>26.666666666666668</v>
      </c>
      <c r="C182" s="196">
        <v>20</v>
      </c>
      <c r="D182" s="183">
        <f t="shared" si="11"/>
        <v>533.33333333333337</v>
      </c>
      <c r="E182" s="198"/>
      <c r="F182" s="254"/>
      <c r="G182" s="213"/>
      <c r="H182" s="195"/>
      <c r="I182" s="196"/>
      <c r="J182" s="5"/>
      <c r="K182" s="17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4">
        <f>'Données projet'!A171</f>
        <v>70</v>
      </c>
      <c r="B183" s="185">
        <f>'Données projet'!D171</f>
        <v>26.060606060606062</v>
      </c>
      <c r="C183" s="196">
        <v>20</v>
      </c>
      <c r="D183" s="183">
        <f t="shared" si="11"/>
        <v>521.21212121212125</v>
      </c>
      <c r="E183" s="198"/>
      <c r="F183" s="254"/>
      <c r="G183" s="213"/>
      <c r="H183" s="195"/>
      <c r="I183" s="196"/>
      <c r="J183" s="5"/>
      <c r="K183" s="17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4">
        <f>'Données projet'!A172</f>
        <v>80</v>
      </c>
      <c r="B184" s="185">
        <f>'Données projet'!D172</f>
        <v>24.848484848484851</v>
      </c>
      <c r="C184" s="196">
        <v>30</v>
      </c>
      <c r="D184" s="183">
        <f t="shared" si="11"/>
        <v>745.4545454545455</v>
      </c>
      <c r="E184" s="198"/>
      <c r="F184" s="254"/>
      <c r="G184" s="214"/>
      <c r="H184" s="195"/>
      <c r="I184" s="196"/>
      <c r="J184" s="5"/>
      <c r="K184" s="17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4">
        <f>'Données projet'!A173</f>
        <v>90</v>
      </c>
      <c r="B185" s="185">
        <f>'Données projet'!D173</f>
        <v>23.636363636363637</v>
      </c>
      <c r="C185" s="196">
        <v>30</v>
      </c>
      <c r="D185" s="183">
        <f t="shared" si="11"/>
        <v>709.09090909090912</v>
      </c>
      <c r="E185" s="198"/>
      <c r="F185" s="254"/>
      <c r="G185" s="214"/>
      <c r="H185" s="195"/>
      <c r="I185" s="196"/>
      <c r="J185" s="5"/>
      <c r="K185" s="17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4">
        <f>'Données projet'!A174</f>
        <v>100</v>
      </c>
      <c r="B186" s="185">
        <f>'Données projet'!D174</f>
        <v>21.81818181818182</v>
      </c>
      <c r="C186" s="198">
        <v>40</v>
      </c>
      <c r="D186" s="183">
        <f t="shared" si="11"/>
        <v>872.72727272727275</v>
      </c>
      <c r="E186" s="198"/>
      <c r="F186" s="254"/>
      <c r="G186" s="214"/>
      <c r="H186" s="195"/>
      <c r="I186" s="196"/>
      <c r="J186" s="5"/>
      <c r="K186" s="17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4">
        <f>'Données projet'!A175</f>
        <v>110</v>
      </c>
      <c r="B187" s="185">
        <f>'Données projet'!D175</f>
        <v>20.606060606060606</v>
      </c>
      <c r="C187" s="198">
        <v>40</v>
      </c>
      <c r="D187" s="183">
        <f t="shared" si="11"/>
        <v>824.24242424242425</v>
      </c>
      <c r="E187" s="198"/>
      <c r="F187" s="254"/>
      <c r="G187" s="214"/>
      <c r="H187" s="195"/>
      <c r="I187" s="196"/>
      <c r="J187" s="5"/>
      <c r="K187" s="17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4">
        <f>'Données projet'!A176</f>
        <v>120</v>
      </c>
      <c r="B188" s="185">
        <f>'Données projet'!D176</f>
        <v>237.57575757575759</v>
      </c>
      <c r="C188" s="198">
        <v>50</v>
      </c>
      <c r="D188" s="183">
        <f t="shared" si="11"/>
        <v>11878.78787878788</v>
      </c>
      <c r="E188" s="198"/>
      <c r="F188" s="254"/>
      <c r="G188" s="214"/>
      <c r="H188" s="195"/>
      <c r="I188" s="196"/>
      <c r="J188" s="5"/>
      <c r="K188" s="17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4">
        <f>'Données projet'!A177</f>
        <v>0</v>
      </c>
      <c r="B189" s="185">
        <f>'Données projet'!D177</f>
        <v>0</v>
      </c>
      <c r="C189" s="198"/>
      <c r="D189" s="183">
        <f t="shared" si="11"/>
        <v>0</v>
      </c>
      <c r="E189" s="198"/>
      <c r="F189" s="254"/>
      <c r="G189" s="214"/>
      <c r="H189" s="195"/>
      <c r="I189" s="196"/>
      <c r="J189" s="5"/>
      <c r="K189" s="17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4">
        <f>'Données projet'!A178</f>
        <v>0</v>
      </c>
      <c r="B190" s="185">
        <f>'Données projet'!D178</f>
        <v>0</v>
      </c>
      <c r="C190" s="198"/>
      <c r="D190" s="183">
        <f t="shared" si="11"/>
        <v>0</v>
      </c>
      <c r="E190" s="198"/>
      <c r="F190" s="254"/>
      <c r="G190" s="214"/>
      <c r="H190" s="195"/>
      <c r="I190" s="196"/>
      <c r="J190" s="5"/>
      <c r="K190" s="17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4">
        <f>'Données projet'!A179</f>
        <v>0</v>
      </c>
      <c r="B191" s="185">
        <f>'Données projet'!D179</f>
        <v>0</v>
      </c>
      <c r="C191" s="198"/>
      <c r="D191" s="183">
        <f t="shared" si="11"/>
        <v>0</v>
      </c>
      <c r="E191" s="198"/>
      <c r="F191" s="254"/>
      <c r="G191" s="214"/>
      <c r="H191" s="195"/>
      <c r="I191" s="196"/>
      <c r="J191" s="5"/>
      <c r="K191" s="17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4">
        <f>'Données projet'!A180</f>
        <v>0</v>
      </c>
      <c r="B192" s="185">
        <f>'Données projet'!D180</f>
        <v>0</v>
      </c>
      <c r="C192" s="198"/>
      <c r="D192" s="183">
        <f t="shared" si="11"/>
        <v>0</v>
      </c>
      <c r="E192" s="198"/>
      <c r="F192" s="254"/>
      <c r="G192" s="214"/>
      <c r="H192" s="195"/>
      <c r="I192" s="196"/>
      <c r="J192" s="5"/>
      <c r="K192" s="17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4">
        <f>'Données projet'!A181</f>
        <v>0</v>
      </c>
      <c r="B193" s="185">
        <f>'Données projet'!D181</f>
        <v>0</v>
      </c>
      <c r="C193" s="198"/>
      <c r="D193" s="183">
        <f t="shared" si="11"/>
        <v>0</v>
      </c>
      <c r="E193" s="198"/>
      <c r="F193" s="254"/>
      <c r="G193" s="214"/>
      <c r="H193" s="195"/>
      <c r="I193" s="196"/>
      <c r="J193" s="5"/>
      <c r="K193" s="17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4">
        <f>'Données projet'!A182</f>
        <v>0</v>
      </c>
      <c r="B194" s="185">
        <f>'Données projet'!D182</f>
        <v>0</v>
      </c>
      <c r="C194" s="198"/>
      <c r="D194" s="183">
        <f t="shared" si="11"/>
        <v>0</v>
      </c>
      <c r="E194" s="198"/>
      <c r="F194" s="254"/>
      <c r="G194" s="214"/>
      <c r="H194" s="195"/>
      <c r="I194" s="196"/>
      <c r="J194" s="5"/>
      <c r="K194" s="17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4">
        <f>'Données projet'!A183</f>
        <v>0</v>
      </c>
      <c r="B195" s="185">
        <f>'Données projet'!D183</f>
        <v>0</v>
      </c>
      <c r="C195" s="198"/>
      <c r="D195" s="183">
        <f t="shared" si="11"/>
        <v>0</v>
      </c>
      <c r="E195" s="198"/>
      <c r="F195" s="254"/>
      <c r="G195" s="214"/>
      <c r="H195" s="195"/>
      <c r="I195" s="196"/>
      <c r="J195" s="5"/>
      <c r="K195" s="17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4">
        <f>'Données projet'!A184</f>
        <v>0</v>
      </c>
      <c r="B196" s="185">
        <f>'Données projet'!D184</f>
        <v>0</v>
      </c>
      <c r="C196" s="198"/>
      <c r="D196" s="183">
        <f t="shared" si="11"/>
        <v>0</v>
      </c>
      <c r="E196" s="198"/>
      <c r="F196" s="254"/>
      <c r="G196" s="214"/>
      <c r="H196" s="195"/>
      <c r="I196" s="196"/>
      <c r="J196" s="5"/>
      <c r="K196" s="17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4">
        <f>'Données projet'!A185</f>
        <v>0</v>
      </c>
      <c r="B197" s="185">
        <f>'Données projet'!D185</f>
        <v>0</v>
      </c>
      <c r="C197" s="198"/>
      <c r="D197" s="183">
        <f t="shared" si="11"/>
        <v>0</v>
      </c>
      <c r="E197" s="198"/>
      <c r="F197" s="254"/>
      <c r="G197" s="214"/>
      <c r="H197" s="195"/>
      <c r="I197" s="196"/>
      <c r="J197" s="5"/>
      <c r="K197" s="17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2"/>
      <c r="G198" s="214"/>
      <c r="H198" s="195"/>
      <c r="I198" s="196"/>
      <c r="J198" s="5"/>
      <c r="K198" s="17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2"/>
      <c r="G199" s="214"/>
      <c r="H199" s="195"/>
      <c r="I199" s="196"/>
      <c r="J199" s="5"/>
      <c r="K199" s="17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78" t="str">
        <f>IF('Données projet'!$B$15="","",'Données projet'!$B$15)</f>
        <v>Chêne chevelu</v>
      </c>
      <c r="C200" s="5"/>
      <c r="D200" s="5"/>
      <c r="E200" s="5"/>
      <c r="F200" s="252"/>
      <c r="G200" s="214"/>
      <c r="H200" s="195"/>
      <c r="I200" s="196"/>
      <c r="J200" s="5"/>
      <c r="K200" s="17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2"/>
      <c r="G201" s="214"/>
      <c r="H201" s="195"/>
      <c r="I201" s="196"/>
      <c r="J201" s="5"/>
      <c r="K201" s="17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48" t="s">
        <v>180</v>
      </c>
      <c r="B202" s="51" t="s">
        <v>256</v>
      </c>
      <c r="C202" s="51" t="s">
        <v>255</v>
      </c>
      <c r="D202" s="248" t="s">
        <v>252</v>
      </c>
      <c r="E202" s="248" t="s">
        <v>320</v>
      </c>
      <c r="F202" s="253"/>
      <c r="G202" s="214"/>
      <c r="H202" s="195"/>
      <c r="I202" s="196"/>
      <c r="J202" s="5"/>
      <c r="K202" s="17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1">
        <v>0</v>
      </c>
      <c r="B203" s="204" t="s">
        <v>132</v>
      </c>
      <c r="C203" s="203" t="s">
        <v>132</v>
      </c>
      <c r="D203" s="202" t="s">
        <v>132</v>
      </c>
      <c r="E203" s="198"/>
      <c r="F203" s="253"/>
      <c r="G203" s="214"/>
      <c r="H203" s="195"/>
      <c r="I203" s="196"/>
      <c r="J203" s="5"/>
      <c r="K203" s="17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1">
        <v>1</v>
      </c>
      <c r="B204" s="204" t="s">
        <v>132</v>
      </c>
      <c r="C204" s="203" t="s">
        <v>132</v>
      </c>
      <c r="D204" s="202" t="s">
        <v>132</v>
      </c>
      <c r="E204" s="198"/>
      <c r="F204" s="253"/>
      <c r="G204" s="212"/>
      <c r="H204" s="195"/>
      <c r="I204" s="196"/>
      <c r="J204" s="5"/>
      <c r="K204" s="17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1">
        <v>2</v>
      </c>
      <c r="B205" s="204" t="s">
        <v>132</v>
      </c>
      <c r="C205" s="203" t="s">
        <v>132</v>
      </c>
      <c r="D205" s="202" t="s">
        <v>132</v>
      </c>
      <c r="E205" s="198"/>
      <c r="F205" s="253"/>
      <c r="G205" s="212"/>
      <c r="H205" s="195"/>
      <c r="I205" s="196"/>
      <c r="J205" s="5"/>
      <c r="K205" s="17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1">
        <v>3</v>
      </c>
      <c r="B206" s="204" t="s">
        <v>132</v>
      </c>
      <c r="C206" s="203" t="s">
        <v>132</v>
      </c>
      <c r="D206" s="202" t="s">
        <v>132</v>
      </c>
      <c r="E206" s="198"/>
      <c r="F206" s="253"/>
      <c r="G206" s="212"/>
      <c r="H206" s="195"/>
      <c r="I206" s="196"/>
      <c r="J206" s="5"/>
      <c r="K206" s="17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1">
        <v>4</v>
      </c>
      <c r="B207" s="204" t="s">
        <v>132</v>
      </c>
      <c r="C207" s="203" t="s">
        <v>132</v>
      </c>
      <c r="D207" s="202" t="s">
        <v>132</v>
      </c>
      <c r="E207" s="198"/>
      <c r="F207" s="253"/>
      <c r="G207" s="212"/>
      <c r="H207" s="195"/>
      <c r="I207" s="196"/>
      <c r="J207" s="5"/>
      <c r="K207" s="17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1">
        <v>5</v>
      </c>
      <c r="B208" s="204" t="s">
        <v>132</v>
      </c>
      <c r="C208" s="203" t="s">
        <v>132</v>
      </c>
      <c r="D208" s="202" t="s">
        <v>132</v>
      </c>
      <c r="E208" s="198"/>
      <c r="F208" s="253"/>
      <c r="G208" s="213"/>
      <c r="H208" s="195"/>
      <c r="I208" s="196"/>
      <c r="J208" s="5"/>
      <c r="K208" s="17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4">
        <f>'Données projet'!A192</f>
        <v>15</v>
      </c>
      <c r="B209" s="185">
        <f>'Données projet'!D192</f>
        <v>0</v>
      </c>
      <c r="C209" s="196">
        <v>0</v>
      </c>
      <c r="D209" s="183">
        <f>B209*C209</f>
        <v>0</v>
      </c>
      <c r="E209" s="198"/>
      <c r="F209" s="254"/>
      <c r="G209" s="213"/>
      <c r="H209" s="195"/>
      <c r="I209" s="196"/>
      <c r="J209" s="5"/>
      <c r="K209" s="17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4">
        <f>'Données projet'!A193</f>
        <v>20</v>
      </c>
      <c r="B210" s="185">
        <f>'Données projet'!D193</f>
        <v>12.820512820512819</v>
      </c>
      <c r="C210" s="196">
        <v>10</v>
      </c>
      <c r="D210" s="183">
        <f t="shared" ref="D210:D228" si="12">B210*C210</f>
        <v>128.2051282051282</v>
      </c>
      <c r="E210" s="198"/>
      <c r="F210" s="254"/>
      <c r="G210" s="213"/>
      <c r="H210" s="195"/>
      <c r="I210" s="196"/>
      <c r="J210" s="5"/>
      <c r="K210" s="17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4">
        <f>'Données projet'!A194</f>
        <v>25</v>
      </c>
      <c r="B211" s="185">
        <f>'Données projet'!D194</f>
        <v>0</v>
      </c>
      <c r="C211" s="198">
        <v>10</v>
      </c>
      <c r="D211" s="183">
        <f t="shared" si="12"/>
        <v>0</v>
      </c>
      <c r="E211" s="198"/>
      <c r="F211" s="254"/>
      <c r="G211" s="213"/>
      <c r="H211" s="195"/>
      <c r="I211" s="196"/>
      <c r="J211" s="5"/>
      <c r="K211" s="17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4">
        <f>'Données projet'!A195</f>
        <v>30</v>
      </c>
      <c r="B212" s="185">
        <f>'Données projet'!D195</f>
        <v>22.435897435897434</v>
      </c>
      <c r="C212" s="198">
        <v>10</v>
      </c>
      <c r="D212" s="183">
        <f t="shared" si="12"/>
        <v>224.35897435897434</v>
      </c>
      <c r="E212" s="198"/>
      <c r="F212" s="254"/>
      <c r="G212" s="213"/>
      <c r="H212" s="195"/>
      <c r="I212" s="196"/>
      <c r="J212" s="5"/>
      <c r="K212" s="17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4">
        <f>'Données projet'!A196</f>
        <v>35</v>
      </c>
      <c r="B213" s="185">
        <f>'Données projet'!D196</f>
        <v>0</v>
      </c>
      <c r="C213" s="198">
        <v>10</v>
      </c>
      <c r="D213" s="183">
        <f t="shared" si="12"/>
        <v>0</v>
      </c>
      <c r="E213" s="198"/>
      <c r="F213" s="254"/>
      <c r="G213" s="213"/>
      <c r="H213" s="195"/>
      <c r="I213" s="196"/>
      <c r="J213" s="5"/>
      <c r="K213" s="17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4">
        <f>'Données projet'!A197</f>
        <v>40</v>
      </c>
      <c r="B214" s="185">
        <f>'Données projet'!D197</f>
        <v>27.564102564102562</v>
      </c>
      <c r="C214" s="198">
        <v>10</v>
      </c>
      <c r="D214" s="183">
        <f>B214*C214</f>
        <v>275.64102564102564</v>
      </c>
      <c r="E214" s="198"/>
      <c r="F214" s="254"/>
      <c r="G214" s="213"/>
      <c r="H214" s="195"/>
      <c r="I214" s="196"/>
      <c r="J214" s="5"/>
      <c r="K214" s="17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4">
        <f>'Données projet'!A198</f>
        <v>45</v>
      </c>
      <c r="B215" s="185">
        <f>'Données projet'!D198</f>
        <v>0</v>
      </c>
      <c r="C215" s="198">
        <v>20</v>
      </c>
      <c r="D215" s="183">
        <f t="shared" si="12"/>
        <v>0</v>
      </c>
      <c r="E215" s="198"/>
      <c r="F215" s="254"/>
      <c r="G215" s="214"/>
      <c r="H215" s="195"/>
      <c r="I215" s="196"/>
      <c r="J215" s="5"/>
      <c r="K215" s="17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4">
        <f>'Données projet'!A199</f>
        <v>50</v>
      </c>
      <c r="B216" s="185">
        <f>'Données projet'!D199</f>
        <v>28.846153846153847</v>
      </c>
      <c r="C216" s="198">
        <v>20</v>
      </c>
      <c r="D216" s="183">
        <f t="shared" si="12"/>
        <v>576.92307692307691</v>
      </c>
      <c r="E216" s="198"/>
      <c r="F216" s="254"/>
      <c r="G216" s="214"/>
      <c r="H216" s="195"/>
      <c r="I216" s="196"/>
      <c r="J216" s="5"/>
      <c r="K216" s="17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4">
        <f>'Données projet'!A200</f>
        <v>55</v>
      </c>
      <c r="B217" s="185">
        <f>'Données projet'!D200</f>
        <v>0</v>
      </c>
      <c r="C217" s="198">
        <v>30</v>
      </c>
      <c r="D217" s="183">
        <f>B217*C217</f>
        <v>0</v>
      </c>
      <c r="E217" s="198"/>
      <c r="F217" s="254"/>
      <c r="G217" s="214"/>
      <c r="H217" s="195"/>
      <c r="I217" s="196"/>
      <c r="J217" s="5"/>
      <c r="K217" s="17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4">
        <f>'Données projet'!A201</f>
        <v>60</v>
      </c>
      <c r="B218" s="185">
        <f>'Données projet'!D201</f>
        <v>29.487179487179485</v>
      </c>
      <c r="C218" s="198">
        <v>30</v>
      </c>
      <c r="D218" s="183">
        <f t="shared" si="12"/>
        <v>884.61538461538453</v>
      </c>
      <c r="E218" s="198"/>
      <c r="F218" s="254"/>
      <c r="G218" s="214"/>
      <c r="H218" s="195"/>
      <c r="I218" s="196"/>
      <c r="J218" s="5"/>
      <c r="K218" s="17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4">
        <f>'Données projet'!A202</f>
        <v>65</v>
      </c>
      <c r="B219" s="185">
        <f>'Données projet'!D202</f>
        <v>0</v>
      </c>
      <c r="C219" s="198">
        <v>40</v>
      </c>
      <c r="D219" s="183">
        <f t="shared" si="12"/>
        <v>0</v>
      </c>
      <c r="E219" s="198"/>
      <c r="F219" s="254"/>
      <c r="G219" s="214"/>
      <c r="H219" s="195"/>
      <c r="I219" s="196"/>
      <c r="J219" s="5"/>
      <c r="K219" s="17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4">
        <f>'Données projet'!A203</f>
        <v>70</v>
      </c>
      <c r="B220" s="185">
        <f>'Données projet'!D203</f>
        <v>28.846153846153847</v>
      </c>
      <c r="C220" s="198">
        <v>40</v>
      </c>
      <c r="D220" s="183">
        <f t="shared" si="12"/>
        <v>1153.8461538461538</v>
      </c>
      <c r="E220" s="198"/>
      <c r="F220" s="254"/>
      <c r="G220" s="214"/>
      <c r="H220" s="5"/>
      <c r="I220" s="5"/>
      <c r="J220" s="5"/>
      <c r="K220" s="17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4">
        <f>'Données projet'!A204</f>
        <v>75</v>
      </c>
      <c r="B221" s="185">
        <f>'Données projet'!D204</f>
        <v>0</v>
      </c>
      <c r="C221" s="198">
        <v>50</v>
      </c>
      <c r="D221" s="183">
        <f t="shared" si="12"/>
        <v>0</v>
      </c>
      <c r="E221" s="198"/>
      <c r="F221" s="254"/>
      <c r="G221" s="214"/>
      <c r="H221" s="5"/>
      <c r="I221" s="5"/>
      <c r="J221" s="5"/>
      <c r="K221" s="17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4">
        <f>'Données projet'!A205</f>
        <v>80</v>
      </c>
      <c r="B222" s="185">
        <f>'Données projet'!D205</f>
        <v>27.564102564102562</v>
      </c>
      <c r="C222" s="198">
        <v>50</v>
      </c>
      <c r="D222" s="183">
        <f t="shared" si="12"/>
        <v>1378.2051282051282</v>
      </c>
      <c r="E222" s="198"/>
      <c r="F222" s="254"/>
      <c r="G222" s="214"/>
      <c r="H222" s="5"/>
      <c r="I222" s="5"/>
      <c r="J222" s="5"/>
      <c r="K222" s="17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4">
        <f>'Données projet'!A206</f>
        <v>85</v>
      </c>
      <c r="B223" s="185">
        <f>'Données projet'!D206</f>
        <v>0</v>
      </c>
      <c r="C223" s="198">
        <v>60</v>
      </c>
      <c r="D223" s="183">
        <f t="shared" si="12"/>
        <v>0</v>
      </c>
      <c r="E223" s="198"/>
      <c r="F223" s="254"/>
      <c r="G223" s="214"/>
      <c r="H223" s="5"/>
      <c r="I223" s="5"/>
      <c r="J223" s="5"/>
      <c r="K223" s="17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4">
        <f>'Données projet'!A207</f>
        <v>90</v>
      </c>
      <c r="B224" s="185">
        <f>'Données projet'!D207</f>
        <v>26.282051282051281</v>
      </c>
      <c r="C224" s="198">
        <v>70</v>
      </c>
      <c r="D224" s="183">
        <f t="shared" si="12"/>
        <v>1839.7435897435896</v>
      </c>
      <c r="E224" s="198"/>
      <c r="F224" s="254"/>
      <c r="G224" s="214"/>
      <c r="H224" s="5"/>
      <c r="I224" s="5"/>
      <c r="J224" s="5"/>
      <c r="K224" s="17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4">
        <f>'Données projet'!A208</f>
        <v>100</v>
      </c>
      <c r="B225" s="185">
        <f>'Données projet'!D208</f>
        <v>24.358974358974358</v>
      </c>
      <c r="C225" s="198">
        <v>80</v>
      </c>
      <c r="D225" s="183">
        <f t="shared" si="12"/>
        <v>1948.7179487179487</v>
      </c>
      <c r="E225" s="198"/>
      <c r="F225" s="254"/>
      <c r="G225" s="214"/>
      <c r="H225" s="5"/>
      <c r="I225" s="5"/>
      <c r="J225" s="5"/>
      <c r="K225" s="17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4">
        <f>'Données projet'!A209</f>
        <v>110</v>
      </c>
      <c r="B226" s="185">
        <f>'Données projet'!D209</f>
        <v>35.897435897435898</v>
      </c>
      <c r="C226" s="198">
        <v>100</v>
      </c>
      <c r="D226" s="183">
        <f t="shared" si="12"/>
        <v>3589.7435897435898</v>
      </c>
      <c r="E226" s="198"/>
      <c r="F226" s="254"/>
      <c r="G226" s="214"/>
      <c r="H226" s="5"/>
      <c r="I226" s="5"/>
      <c r="J226" s="5"/>
      <c r="K226" s="17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4">
        <f>'Données projet'!A210</f>
        <v>120</v>
      </c>
      <c r="B227" s="185">
        <f>'Données projet'!D210</f>
        <v>21.153846153846153</v>
      </c>
      <c r="C227" s="198">
        <v>150</v>
      </c>
      <c r="D227" s="183">
        <f t="shared" si="12"/>
        <v>3173.0769230769229</v>
      </c>
      <c r="E227" s="198"/>
      <c r="F227" s="254"/>
      <c r="G227" s="214"/>
      <c r="H227" s="5"/>
      <c r="I227" s="5"/>
      <c r="J227" s="5"/>
      <c r="K227" s="17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4">
        <f>'Données projet'!A211</f>
        <v>130</v>
      </c>
      <c r="B228" s="185">
        <f>'Données projet'!D211</f>
        <v>408.97435897435895</v>
      </c>
      <c r="C228" s="198">
        <v>200</v>
      </c>
      <c r="D228" s="183">
        <f t="shared" si="12"/>
        <v>81794.871794871797</v>
      </c>
      <c r="E228" s="198"/>
      <c r="F228" s="254"/>
      <c r="G228" s="214"/>
      <c r="H228" s="5"/>
      <c r="I228" s="5"/>
      <c r="J228" s="5"/>
      <c r="K228" s="17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2"/>
      <c r="G229" s="214"/>
      <c r="H229" s="5"/>
      <c r="I229" s="5"/>
      <c r="J229" s="5"/>
      <c r="K229" s="17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2"/>
      <c r="G230" s="214"/>
      <c r="H230" s="5"/>
      <c r="I230" s="5"/>
      <c r="J230" s="5"/>
      <c r="K230" s="17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78" t="str">
        <f>IF('Données projet'!$B$16="","",'Données projet'!$B$16)</f>
        <v>Cèdre de l'Atlas</v>
      </c>
      <c r="C231" s="5"/>
      <c r="D231" s="5"/>
      <c r="E231" s="5"/>
      <c r="F231" s="252"/>
      <c r="G231" s="214"/>
      <c r="H231" s="5"/>
      <c r="I231" s="5"/>
      <c r="J231" s="5"/>
      <c r="K231" s="17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2"/>
      <c r="G232" s="214"/>
      <c r="H232" s="5"/>
      <c r="I232" s="5"/>
      <c r="J232" s="5"/>
      <c r="K232" s="17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48" t="s">
        <v>180</v>
      </c>
      <c r="B233" s="51" t="s">
        <v>256</v>
      </c>
      <c r="C233" s="51" t="s">
        <v>255</v>
      </c>
      <c r="D233" s="248" t="s">
        <v>252</v>
      </c>
      <c r="E233" s="248" t="s">
        <v>320</v>
      </c>
      <c r="F233" s="253"/>
      <c r="G233" s="214"/>
      <c r="H233" s="5"/>
      <c r="I233" s="5"/>
      <c r="J233" s="5"/>
      <c r="K233" s="17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1">
        <v>0</v>
      </c>
      <c r="B234" s="204" t="s">
        <v>132</v>
      </c>
      <c r="C234" s="203" t="s">
        <v>132</v>
      </c>
      <c r="D234" s="202" t="s">
        <v>132</v>
      </c>
      <c r="E234" s="198"/>
      <c r="F234" s="253"/>
      <c r="G234" s="214"/>
      <c r="H234" s="5"/>
      <c r="I234" s="5"/>
      <c r="J234" s="5"/>
      <c r="K234" s="17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1">
        <v>1</v>
      </c>
      <c r="B235" s="204" t="s">
        <v>132</v>
      </c>
      <c r="C235" s="203" t="s">
        <v>132</v>
      </c>
      <c r="D235" s="202" t="s">
        <v>132</v>
      </c>
      <c r="E235" s="198"/>
      <c r="F235" s="253"/>
      <c r="G235" s="212"/>
      <c r="H235" s="5"/>
      <c r="I235" s="5"/>
      <c r="J235" s="5"/>
      <c r="K235" s="17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1">
        <v>2</v>
      </c>
      <c r="B236" s="204" t="s">
        <v>132</v>
      </c>
      <c r="C236" s="203" t="s">
        <v>132</v>
      </c>
      <c r="D236" s="202" t="s">
        <v>132</v>
      </c>
      <c r="E236" s="198"/>
      <c r="F236" s="253"/>
      <c r="G236" s="212"/>
      <c r="H236" s="5"/>
      <c r="I236" s="5"/>
      <c r="J236" s="5"/>
      <c r="K236" s="17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1">
        <v>3</v>
      </c>
      <c r="B237" s="204" t="s">
        <v>132</v>
      </c>
      <c r="C237" s="203" t="s">
        <v>132</v>
      </c>
      <c r="D237" s="202" t="s">
        <v>132</v>
      </c>
      <c r="E237" s="198"/>
      <c r="F237" s="253"/>
      <c r="G237" s="212"/>
      <c r="H237" s="5"/>
      <c r="I237" s="5"/>
      <c r="J237" s="5"/>
      <c r="K237" s="17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1">
        <v>4</v>
      </c>
      <c r="B238" s="204" t="s">
        <v>132</v>
      </c>
      <c r="C238" s="203"/>
      <c r="D238" s="202" t="s">
        <v>132</v>
      </c>
      <c r="E238" s="198"/>
      <c r="F238" s="253"/>
      <c r="G238" s="212"/>
      <c r="H238" s="5"/>
      <c r="I238" s="5"/>
      <c r="J238" s="5"/>
      <c r="K238" s="17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1">
        <v>5</v>
      </c>
      <c r="B239" s="204" t="s">
        <v>132</v>
      </c>
      <c r="C239" s="203"/>
      <c r="D239" s="202" t="s">
        <v>132</v>
      </c>
      <c r="E239" s="198"/>
      <c r="F239" s="253"/>
      <c r="G239" s="213"/>
      <c r="H239" s="5"/>
      <c r="I239" s="5"/>
      <c r="J239" s="5"/>
      <c r="K239" s="17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4">
        <f>'Données projet'!A218</f>
        <v>30</v>
      </c>
      <c r="B240" s="185">
        <f>'Données projet'!D218</f>
        <v>0</v>
      </c>
      <c r="C240" s="198"/>
      <c r="D240" s="183">
        <f>B240*C240</f>
        <v>0</v>
      </c>
      <c r="E240" s="198"/>
      <c r="F240" s="254"/>
      <c r="G240" s="213"/>
      <c r="H240" s="5"/>
      <c r="I240" s="5"/>
      <c r="J240" s="5"/>
      <c r="K240" s="17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4">
        <f>'Données projet'!A219</f>
        <v>35</v>
      </c>
      <c r="B241" s="185">
        <f>'Données projet'!D219</f>
        <v>0</v>
      </c>
      <c r="C241" s="198"/>
      <c r="D241" s="183">
        <f t="shared" ref="D241:D259" si="13">B241*C241</f>
        <v>0</v>
      </c>
      <c r="E241" s="198"/>
      <c r="F241" s="254"/>
      <c r="G241" s="213"/>
      <c r="H241" s="5"/>
      <c r="I241" s="5"/>
      <c r="J241" s="5"/>
      <c r="K241" s="17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4">
        <f>'Données projet'!A220</f>
        <v>40</v>
      </c>
      <c r="B242" s="185">
        <f>'Données projet'!D220</f>
        <v>0</v>
      </c>
      <c r="C242" s="196">
        <v>0</v>
      </c>
      <c r="D242" s="183">
        <f t="shared" si="13"/>
        <v>0</v>
      </c>
      <c r="E242" s="198"/>
      <c r="F242" s="254"/>
      <c r="G242" s="213"/>
      <c r="H242" s="5"/>
      <c r="I242" s="5"/>
      <c r="J242" s="5"/>
      <c r="K242" s="17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4">
        <f>'Données projet'!A221</f>
        <v>42</v>
      </c>
      <c r="B243" s="185">
        <f>'Données projet'!D221</f>
        <v>179.84615384615384</v>
      </c>
      <c r="C243" s="196">
        <v>15</v>
      </c>
      <c r="D243" s="183">
        <f t="shared" si="13"/>
        <v>2697.6923076923076</v>
      </c>
      <c r="E243" s="198"/>
      <c r="F243" s="254"/>
      <c r="G243" s="213"/>
      <c r="H243" s="5"/>
      <c r="I243" s="5"/>
      <c r="J243" s="5"/>
      <c r="K243" s="17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4">
        <f>'Données projet'!A222</f>
        <v>49</v>
      </c>
      <c r="B244" s="185">
        <f>'Données projet'!D222</f>
        <v>94.476923076923072</v>
      </c>
      <c r="C244" s="196">
        <v>15</v>
      </c>
      <c r="D244" s="183">
        <f t="shared" si="13"/>
        <v>1417.1538461538462</v>
      </c>
      <c r="E244" s="198"/>
      <c r="F244" s="254"/>
      <c r="G244" s="213"/>
      <c r="H244" s="5"/>
      <c r="I244" s="5"/>
      <c r="J244" s="5"/>
      <c r="K244" s="17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4">
        <f>'Données projet'!A223</f>
        <v>56</v>
      </c>
      <c r="B245" s="185">
        <f>'Données projet'!D223</f>
        <v>72.769230769230759</v>
      </c>
      <c r="C245" s="196">
        <v>20</v>
      </c>
      <c r="D245" s="183">
        <f t="shared" si="13"/>
        <v>1455.3846153846152</v>
      </c>
      <c r="E245" s="198"/>
      <c r="F245" s="254"/>
      <c r="G245" s="213"/>
      <c r="H245" s="5"/>
      <c r="I245" s="5"/>
      <c r="J245" s="5"/>
      <c r="K245" s="17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4">
        <f>'Données projet'!A224</f>
        <v>63</v>
      </c>
      <c r="B246" s="185">
        <f>'Données projet'!D224</f>
        <v>71.123076923076923</v>
      </c>
      <c r="C246" s="196">
        <v>20</v>
      </c>
      <c r="D246" s="183">
        <f t="shared" si="13"/>
        <v>1422.4615384615386</v>
      </c>
      <c r="E246" s="198"/>
      <c r="F246" s="254"/>
      <c r="G246" s="214"/>
      <c r="H246" s="5"/>
      <c r="I246" s="5"/>
      <c r="J246" s="5"/>
      <c r="K246" s="17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4">
        <f>'Données projet'!A225</f>
        <v>71</v>
      </c>
      <c r="B247" s="185">
        <f>'Données projet'!D225</f>
        <v>80.399999999999991</v>
      </c>
      <c r="C247" s="196">
        <v>30</v>
      </c>
      <c r="D247" s="183">
        <f t="shared" si="13"/>
        <v>2411.9999999999995</v>
      </c>
      <c r="E247" s="198"/>
      <c r="F247" s="254"/>
      <c r="G247" s="214"/>
      <c r="H247" s="5"/>
      <c r="I247" s="5"/>
      <c r="J247" s="5"/>
      <c r="K247" s="17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4">
        <f>'Données projet'!A226</f>
        <v>79</v>
      </c>
      <c r="B248" s="185">
        <f>'Données projet'!D226</f>
        <v>77.338461538461544</v>
      </c>
      <c r="C248" s="196">
        <v>50</v>
      </c>
      <c r="D248" s="183">
        <f t="shared" si="13"/>
        <v>3866.9230769230771</v>
      </c>
      <c r="E248" s="198"/>
      <c r="F248" s="254"/>
      <c r="G248" s="214"/>
      <c r="H248" s="5"/>
      <c r="I248" s="5"/>
      <c r="J248" s="5"/>
      <c r="K248" s="17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4">
        <f>'Données projet'!A227</f>
        <v>87</v>
      </c>
      <c r="B249" s="185">
        <f>'Données projet'!D227</f>
        <v>77.330769230769235</v>
      </c>
      <c r="C249" s="196">
        <v>60</v>
      </c>
      <c r="D249" s="183">
        <f t="shared" si="13"/>
        <v>4639.8461538461543</v>
      </c>
      <c r="E249" s="198"/>
      <c r="F249" s="254"/>
      <c r="G249" s="214"/>
      <c r="H249" s="5"/>
      <c r="I249" s="5"/>
      <c r="J249" s="5"/>
      <c r="K249" s="17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4">
        <f>'Données projet'!A228</f>
        <v>95</v>
      </c>
      <c r="B250" s="185">
        <f>'Données projet'!D228</f>
        <v>234.42307692307691</v>
      </c>
      <c r="C250" s="196">
        <v>80</v>
      </c>
      <c r="D250" s="183">
        <f t="shared" si="13"/>
        <v>18753.846153846152</v>
      </c>
      <c r="E250" s="198"/>
      <c r="F250" s="254"/>
      <c r="G250" s="214"/>
      <c r="H250" s="5"/>
      <c r="I250" s="5"/>
      <c r="J250" s="5"/>
      <c r="K250" s="17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4">
        <f>'Données projet'!A229</f>
        <v>105</v>
      </c>
      <c r="B251" s="185">
        <f>'Données projet'!D229</f>
        <v>309.71538461538461</v>
      </c>
      <c r="C251" s="196">
        <v>80</v>
      </c>
      <c r="D251" s="183">
        <f t="shared" si="13"/>
        <v>24777.23076923077</v>
      </c>
      <c r="E251" s="198"/>
      <c r="F251" s="254"/>
      <c r="G251" s="214"/>
      <c r="H251" s="5"/>
      <c r="I251" s="5"/>
      <c r="J251" s="5"/>
      <c r="K251" s="17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4">
        <f>'Données projet'!A230</f>
        <v>0</v>
      </c>
      <c r="B252" s="185">
        <f>'Données projet'!D230</f>
        <v>0</v>
      </c>
      <c r="C252" s="198"/>
      <c r="D252" s="183">
        <f t="shared" si="13"/>
        <v>0</v>
      </c>
      <c r="E252" s="198"/>
      <c r="F252" s="254"/>
      <c r="G252" s="214"/>
      <c r="H252" s="5"/>
      <c r="I252" s="5"/>
      <c r="J252" s="5"/>
      <c r="K252" s="17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4">
        <f>'Données projet'!A231</f>
        <v>0</v>
      </c>
      <c r="B253" s="185">
        <f>'Données projet'!D231</f>
        <v>0</v>
      </c>
      <c r="C253" s="198"/>
      <c r="D253" s="183">
        <f t="shared" si="13"/>
        <v>0</v>
      </c>
      <c r="E253" s="198"/>
      <c r="F253" s="254"/>
      <c r="G253" s="214"/>
      <c r="H253" s="5"/>
      <c r="I253" s="5"/>
      <c r="J253" s="5"/>
      <c r="K253" s="17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4">
        <f>'Données projet'!A232</f>
        <v>0</v>
      </c>
      <c r="B254" s="185">
        <f>'Données projet'!D232</f>
        <v>0</v>
      </c>
      <c r="C254" s="198"/>
      <c r="D254" s="183">
        <f t="shared" si="13"/>
        <v>0</v>
      </c>
      <c r="E254" s="198"/>
      <c r="F254" s="254"/>
      <c r="G254" s="214"/>
      <c r="H254" s="5"/>
      <c r="I254" s="5"/>
      <c r="J254" s="5"/>
      <c r="K254" s="17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4">
        <f>'Données projet'!A233</f>
        <v>0</v>
      </c>
      <c r="B255" s="185">
        <f>'Données projet'!D233</f>
        <v>0</v>
      </c>
      <c r="C255" s="198"/>
      <c r="D255" s="183">
        <f t="shared" si="13"/>
        <v>0</v>
      </c>
      <c r="E255" s="198"/>
      <c r="F255" s="254"/>
      <c r="G255" s="214"/>
      <c r="H255" s="5"/>
      <c r="I255" s="5"/>
      <c r="J255" s="5"/>
      <c r="K255" s="17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4">
        <f>'Données projet'!A234</f>
        <v>0</v>
      </c>
      <c r="B256" s="185">
        <f>'Données projet'!D234</f>
        <v>0</v>
      </c>
      <c r="C256" s="198"/>
      <c r="D256" s="183">
        <f t="shared" si="13"/>
        <v>0</v>
      </c>
      <c r="E256" s="198"/>
      <c r="F256" s="254"/>
      <c r="G256" s="214"/>
      <c r="H256" s="5"/>
      <c r="I256" s="5"/>
      <c r="J256" s="5"/>
      <c r="K256" s="17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4">
        <f>'Données projet'!A235</f>
        <v>0</v>
      </c>
      <c r="B257" s="185">
        <f>'Données projet'!D235</f>
        <v>0</v>
      </c>
      <c r="C257" s="198"/>
      <c r="D257" s="183">
        <f t="shared" si="13"/>
        <v>0</v>
      </c>
      <c r="E257" s="198"/>
      <c r="F257" s="254"/>
      <c r="G257" s="214"/>
      <c r="H257" s="5"/>
      <c r="I257" s="5"/>
      <c r="J257" s="5"/>
      <c r="K257" s="17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4">
        <f>'Données projet'!A236</f>
        <v>0</v>
      </c>
      <c r="B258" s="185">
        <f>'Données projet'!D236</f>
        <v>0</v>
      </c>
      <c r="C258" s="198"/>
      <c r="D258" s="183">
        <f t="shared" si="13"/>
        <v>0</v>
      </c>
      <c r="E258" s="198"/>
      <c r="F258" s="254"/>
      <c r="G258" s="214"/>
      <c r="H258" s="5"/>
      <c r="I258" s="5"/>
      <c r="J258" s="5"/>
      <c r="K258" s="17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4">
        <f>'Données projet'!A237</f>
        <v>0</v>
      </c>
      <c r="B259" s="185">
        <f>'Données projet'!D237</f>
        <v>0</v>
      </c>
      <c r="C259" s="198"/>
      <c r="D259" s="183">
        <f t="shared" si="13"/>
        <v>0</v>
      </c>
      <c r="E259" s="198"/>
      <c r="F259" s="254"/>
      <c r="G259" s="214"/>
      <c r="H259" s="5"/>
      <c r="I259" s="5"/>
      <c r="J259" s="5"/>
      <c r="K259" s="17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2"/>
      <c r="G260" s="214"/>
      <c r="H260" s="5"/>
      <c r="I260" s="5"/>
      <c r="J260" s="5"/>
      <c r="K260" s="17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2"/>
      <c r="G261" s="214"/>
      <c r="H261" s="5"/>
      <c r="I261" s="5"/>
      <c r="J261" s="5"/>
      <c r="K261" s="17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78" t="str">
        <f>IF('Données projet'!$B$17="","",'Données projet'!$B$17)</f>
        <v>Tilleul</v>
      </c>
      <c r="C262" s="5"/>
      <c r="D262" s="5"/>
      <c r="E262" s="5"/>
      <c r="F262" s="252"/>
      <c r="G262" s="214"/>
      <c r="H262" s="5"/>
      <c r="I262" s="5"/>
      <c r="J262" s="5"/>
      <c r="K262" s="17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2"/>
      <c r="G263" s="214"/>
      <c r="H263" s="5"/>
      <c r="I263" s="5"/>
      <c r="J263" s="5"/>
      <c r="K263" s="17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48" t="s">
        <v>180</v>
      </c>
      <c r="B264" s="51" t="s">
        <v>256</v>
      </c>
      <c r="C264" s="51" t="s">
        <v>255</v>
      </c>
      <c r="D264" s="248" t="s">
        <v>252</v>
      </c>
      <c r="E264" s="248" t="s">
        <v>320</v>
      </c>
      <c r="F264" s="253"/>
      <c r="G264" s="214"/>
      <c r="H264" s="5"/>
      <c r="I264" s="5"/>
      <c r="J264" s="5"/>
      <c r="K264" s="17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1">
        <v>0</v>
      </c>
      <c r="B265" s="204" t="s">
        <v>132</v>
      </c>
      <c r="C265" s="203" t="s">
        <v>132</v>
      </c>
      <c r="D265" s="202" t="s">
        <v>132</v>
      </c>
      <c r="E265" s="198"/>
      <c r="F265" s="253"/>
      <c r="G265" s="214"/>
      <c r="H265" s="5"/>
      <c r="I265" s="5"/>
      <c r="J265" s="5"/>
      <c r="K265" s="17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1">
        <v>1</v>
      </c>
      <c r="B266" s="204" t="s">
        <v>132</v>
      </c>
      <c r="C266" s="203" t="s">
        <v>132</v>
      </c>
      <c r="D266" s="202" t="s">
        <v>132</v>
      </c>
      <c r="E266" s="198"/>
      <c r="F266" s="253"/>
      <c r="G266" s="212"/>
      <c r="H266" s="5"/>
      <c r="I266" s="5"/>
      <c r="J266" s="5"/>
      <c r="K266" s="17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1">
        <v>2</v>
      </c>
      <c r="B267" s="204" t="s">
        <v>132</v>
      </c>
      <c r="C267" s="203" t="s">
        <v>132</v>
      </c>
      <c r="D267" s="202" t="s">
        <v>132</v>
      </c>
      <c r="E267" s="198"/>
      <c r="F267" s="253"/>
      <c r="G267" s="212"/>
      <c r="H267" s="5"/>
      <c r="I267" s="5"/>
      <c r="J267" s="5"/>
      <c r="K267" s="17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1">
        <v>3</v>
      </c>
      <c r="B268" s="204" t="s">
        <v>132</v>
      </c>
      <c r="C268" s="203" t="s">
        <v>132</v>
      </c>
      <c r="D268" s="202" t="s">
        <v>132</v>
      </c>
      <c r="E268" s="198"/>
      <c r="F268" s="253"/>
      <c r="G268" s="212"/>
      <c r="H268" s="5"/>
      <c r="I268" s="5"/>
      <c r="J268" s="5"/>
      <c r="K268" s="17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1">
        <v>4</v>
      </c>
      <c r="B269" s="204" t="s">
        <v>132</v>
      </c>
      <c r="C269" s="203" t="s">
        <v>132</v>
      </c>
      <c r="D269" s="202" t="s">
        <v>132</v>
      </c>
      <c r="E269" s="198"/>
      <c r="F269" s="253"/>
      <c r="G269" s="212"/>
      <c r="H269" s="5"/>
      <c r="I269" s="5"/>
      <c r="J269" s="5"/>
      <c r="K269" s="17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1">
        <v>5</v>
      </c>
      <c r="B270" s="204" t="s">
        <v>132</v>
      </c>
      <c r="C270" s="203" t="s">
        <v>132</v>
      </c>
      <c r="D270" s="202" t="s">
        <v>132</v>
      </c>
      <c r="E270" s="198"/>
      <c r="F270" s="253"/>
      <c r="G270" s="213"/>
      <c r="H270" s="5"/>
      <c r="I270" s="5"/>
      <c r="J270" s="5"/>
      <c r="K270" s="17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4">
        <f>'Données projet'!A244</f>
        <v>15</v>
      </c>
      <c r="B271" s="185">
        <f>'Données projet'!D244</f>
        <v>0</v>
      </c>
      <c r="C271" s="198">
        <v>10</v>
      </c>
      <c r="D271" s="183">
        <f>B271*C271</f>
        <v>0</v>
      </c>
      <c r="E271" s="198"/>
      <c r="F271" s="254"/>
      <c r="G271" s="213"/>
      <c r="H271" s="5"/>
      <c r="I271" s="5"/>
      <c r="J271" s="5"/>
      <c r="K271" s="17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4">
        <f>'Données projet'!A245</f>
        <v>20</v>
      </c>
      <c r="B272" s="185">
        <f>'Données projet'!D245</f>
        <v>39.102564102564102</v>
      </c>
      <c r="C272" s="198">
        <v>10</v>
      </c>
      <c r="D272" s="183">
        <f t="shared" ref="D272:D290" si="14">B272*C272</f>
        <v>391.02564102564099</v>
      </c>
      <c r="E272" s="198"/>
      <c r="F272" s="254"/>
      <c r="G272" s="213"/>
      <c r="H272" s="5"/>
      <c r="I272" s="5"/>
      <c r="J272" s="5"/>
      <c r="K272" s="17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4">
        <f>'Données projet'!A246</f>
        <v>25</v>
      </c>
      <c r="B273" s="185">
        <f>'Données projet'!D246</f>
        <v>0</v>
      </c>
      <c r="C273" s="196">
        <v>10</v>
      </c>
      <c r="D273" s="183">
        <f t="shared" si="14"/>
        <v>0</v>
      </c>
      <c r="E273" s="198"/>
      <c r="F273" s="254"/>
      <c r="G273" s="213"/>
      <c r="H273" s="5"/>
      <c r="I273" s="5"/>
      <c r="J273" s="5"/>
      <c r="K273" s="17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4">
        <f>'Données projet'!A247</f>
        <v>30</v>
      </c>
      <c r="B274" s="185">
        <f>'Données projet'!D247</f>
        <v>39.102564102564102</v>
      </c>
      <c r="C274" s="196">
        <v>15</v>
      </c>
      <c r="D274" s="183">
        <f t="shared" si="14"/>
        <v>586.53846153846155</v>
      </c>
      <c r="E274" s="198"/>
      <c r="F274" s="254"/>
      <c r="G274" s="213"/>
      <c r="H274" s="5"/>
      <c r="I274" s="5"/>
      <c r="J274" s="5"/>
      <c r="K274" s="17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4">
        <f>'Données projet'!A248</f>
        <v>35</v>
      </c>
      <c r="B275" s="185">
        <f>'Données projet'!D248</f>
        <v>0</v>
      </c>
      <c r="C275" s="196">
        <v>15</v>
      </c>
      <c r="D275" s="183">
        <f t="shared" si="14"/>
        <v>0</v>
      </c>
      <c r="E275" s="198"/>
      <c r="F275" s="254"/>
      <c r="G275" s="213"/>
      <c r="H275" s="5"/>
      <c r="I275" s="5"/>
      <c r="J275" s="5"/>
      <c r="K275" s="17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4">
        <f>'Données projet'!A249</f>
        <v>40</v>
      </c>
      <c r="B276" s="185">
        <f>'Données projet'!D249</f>
        <v>39.743589743589745</v>
      </c>
      <c r="C276" s="196">
        <v>15</v>
      </c>
      <c r="D276" s="183">
        <f t="shared" si="14"/>
        <v>596.15384615384619</v>
      </c>
      <c r="E276" s="198"/>
      <c r="F276" s="254"/>
      <c r="G276" s="213"/>
      <c r="H276" s="5"/>
      <c r="I276" s="5"/>
      <c r="J276" s="5"/>
      <c r="K276" s="17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4">
        <f>'Données projet'!A250</f>
        <v>45</v>
      </c>
      <c r="B277" s="185">
        <f>'Données projet'!D250</f>
        <v>0</v>
      </c>
      <c r="C277" s="198">
        <v>20</v>
      </c>
      <c r="D277" s="183">
        <f t="shared" si="14"/>
        <v>0</v>
      </c>
      <c r="E277" s="198"/>
      <c r="F277" s="254"/>
      <c r="G277" s="214"/>
      <c r="H277" s="5"/>
      <c r="I277" s="5"/>
      <c r="J277" s="5"/>
      <c r="K277" s="17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4">
        <f>'Données projet'!A251</f>
        <v>50</v>
      </c>
      <c r="B278" s="185">
        <f>'Données projet'!D251</f>
        <v>36.53846153846154</v>
      </c>
      <c r="C278" s="198">
        <v>20</v>
      </c>
      <c r="D278" s="183">
        <f t="shared" si="14"/>
        <v>730.76923076923083</v>
      </c>
      <c r="E278" s="198"/>
      <c r="F278" s="254"/>
      <c r="G278" s="214"/>
      <c r="H278" s="5"/>
      <c r="I278" s="5"/>
      <c r="J278" s="5"/>
      <c r="K278" s="17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4">
        <f>'Données projet'!A252</f>
        <v>55</v>
      </c>
      <c r="B279" s="185">
        <f>'Données projet'!D252</f>
        <v>0</v>
      </c>
      <c r="C279" s="198">
        <v>20</v>
      </c>
      <c r="D279" s="183">
        <f t="shared" si="14"/>
        <v>0</v>
      </c>
      <c r="E279" s="198"/>
      <c r="F279" s="254"/>
      <c r="G279" s="214"/>
      <c r="H279" s="5"/>
      <c r="I279" s="5"/>
      <c r="J279" s="5"/>
      <c r="K279" s="17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4">
        <f>'Données projet'!A253</f>
        <v>60</v>
      </c>
      <c r="B280" s="185">
        <f>'Données projet'!D253</f>
        <v>35.256410256410255</v>
      </c>
      <c r="C280" s="198">
        <v>30</v>
      </c>
      <c r="D280" s="183">
        <f t="shared" si="14"/>
        <v>1057.6923076923076</v>
      </c>
      <c r="E280" s="198"/>
      <c r="F280" s="254"/>
      <c r="G280" s="214"/>
      <c r="H280" s="5"/>
      <c r="I280" s="5"/>
      <c r="J280" s="5"/>
      <c r="K280" s="17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4">
        <f>'Données projet'!A254</f>
        <v>65</v>
      </c>
      <c r="B281" s="185">
        <f>'Données projet'!D254</f>
        <v>0</v>
      </c>
      <c r="C281" s="198">
        <v>30</v>
      </c>
      <c r="D281" s="183">
        <f t="shared" si="14"/>
        <v>0</v>
      </c>
      <c r="E281" s="198"/>
      <c r="F281" s="254"/>
      <c r="G281" s="214"/>
      <c r="H281" s="5"/>
      <c r="I281" s="5"/>
      <c r="J281" s="5"/>
      <c r="K281" s="17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4">
        <f>'Données projet'!A255</f>
        <v>70</v>
      </c>
      <c r="B282" s="185">
        <f>'Données projet'!D255</f>
        <v>31.410256410256409</v>
      </c>
      <c r="C282" s="196">
        <v>40</v>
      </c>
      <c r="D282" s="183">
        <f t="shared" si="14"/>
        <v>1256.4102564102564</v>
      </c>
      <c r="E282" s="198"/>
      <c r="F282" s="254"/>
      <c r="G282" s="214"/>
      <c r="H282" s="5"/>
      <c r="I282" s="5"/>
      <c r="J282" s="5"/>
      <c r="K282" s="17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4">
        <f>'Données projet'!A256</f>
        <v>75</v>
      </c>
      <c r="B283" s="185">
        <f>'Données projet'!D256</f>
        <v>0</v>
      </c>
      <c r="C283" s="196">
        <v>40</v>
      </c>
      <c r="D283" s="183">
        <f t="shared" si="14"/>
        <v>0</v>
      </c>
      <c r="E283" s="198"/>
      <c r="F283" s="254"/>
      <c r="G283" s="214"/>
      <c r="H283" s="5"/>
      <c r="I283" s="5"/>
      <c r="J283" s="5"/>
      <c r="K283" s="17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4">
        <f>'Données projet'!A257</f>
        <v>80</v>
      </c>
      <c r="B284" s="185">
        <f>'Données projet'!D257</f>
        <v>28.846153846153847</v>
      </c>
      <c r="C284" s="198">
        <v>50</v>
      </c>
      <c r="D284" s="183">
        <f t="shared" si="14"/>
        <v>1442.3076923076924</v>
      </c>
      <c r="E284" s="198"/>
      <c r="F284" s="254"/>
      <c r="G284" s="214"/>
      <c r="H284" s="5"/>
      <c r="I284" s="5"/>
      <c r="J284" s="5"/>
      <c r="K284" s="17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4">
        <f>'Données projet'!A258</f>
        <v>85</v>
      </c>
      <c r="B285" s="185">
        <f>'Données projet'!D258</f>
        <v>0</v>
      </c>
      <c r="C285" s="198">
        <v>50</v>
      </c>
      <c r="D285" s="183">
        <f t="shared" si="14"/>
        <v>0</v>
      </c>
      <c r="E285" s="198"/>
      <c r="F285" s="254"/>
      <c r="G285" s="214"/>
      <c r="H285" s="5"/>
      <c r="I285" s="5"/>
      <c r="J285" s="5"/>
      <c r="K285" s="17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4">
        <f>'Données projet'!A259</f>
        <v>90</v>
      </c>
      <c r="B286" s="185">
        <f>'Données projet'!D259</f>
        <v>27.564102564102562</v>
      </c>
      <c r="C286" s="198">
        <v>60</v>
      </c>
      <c r="D286" s="183">
        <f t="shared" si="14"/>
        <v>1653.8461538461538</v>
      </c>
      <c r="E286" s="198"/>
      <c r="F286" s="254"/>
      <c r="G286" s="214"/>
      <c r="H286" s="5"/>
      <c r="I286" s="5"/>
      <c r="J286" s="5"/>
      <c r="K286" s="17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4">
        <f>'Données projet'!A260</f>
        <v>95</v>
      </c>
      <c r="B287" s="185">
        <f>'Données projet'!D260</f>
        <v>0</v>
      </c>
      <c r="C287" s="198">
        <v>60</v>
      </c>
      <c r="D287" s="183">
        <f t="shared" si="14"/>
        <v>0</v>
      </c>
      <c r="E287" s="198"/>
      <c r="F287" s="254"/>
      <c r="G287" s="214"/>
      <c r="H287" s="5"/>
      <c r="I287" s="5"/>
      <c r="J287" s="5"/>
      <c r="K287" s="17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4">
        <f>'Données projet'!A261</f>
        <v>100</v>
      </c>
      <c r="B288" s="185">
        <f>'Données projet'!D261</f>
        <v>25</v>
      </c>
      <c r="C288" s="196">
        <v>70</v>
      </c>
      <c r="D288" s="183">
        <f t="shared" si="14"/>
        <v>1750</v>
      </c>
      <c r="E288" s="198"/>
      <c r="F288" s="254"/>
      <c r="G288" s="214"/>
      <c r="H288" s="5"/>
      <c r="I288" s="5"/>
      <c r="J288" s="5"/>
      <c r="K288" s="17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4">
        <f>'Données projet'!A262</f>
        <v>105</v>
      </c>
      <c r="B289" s="185">
        <f>'Données projet'!D262</f>
        <v>0</v>
      </c>
      <c r="C289" s="196"/>
      <c r="D289" s="183">
        <f t="shared" si="14"/>
        <v>0</v>
      </c>
      <c r="E289" s="198"/>
      <c r="F289" s="254"/>
      <c r="G289" s="214"/>
      <c r="H289" s="5"/>
      <c r="I289" s="5"/>
      <c r="J289" s="5"/>
      <c r="K289" s="17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4">
        <f>'Données projet'!A263</f>
        <v>110</v>
      </c>
      <c r="B290" s="185">
        <f>'Données projet'!D263</f>
        <v>366.66666666666663</v>
      </c>
      <c r="C290" s="196"/>
      <c r="D290" s="183">
        <f t="shared" si="14"/>
        <v>0</v>
      </c>
      <c r="E290" s="198"/>
      <c r="F290" s="254"/>
      <c r="G290" s="214"/>
      <c r="H290" s="5"/>
      <c r="I290" s="5"/>
      <c r="J290" s="5"/>
      <c r="K290" s="17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2"/>
      <c r="G291" s="214"/>
      <c r="H291" s="5"/>
      <c r="I291" s="5"/>
      <c r="J291" s="5"/>
      <c r="K291" s="17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2"/>
      <c r="G292" s="214"/>
      <c r="H292" s="5"/>
      <c r="I292" s="5"/>
      <c r="J292" s="5"/>
      <c r="K292" s="17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78" t="str">
        <f>IF('Données projet'!$B$18="","",'Données projet'!$B$18)</f>
        <v/>
      </c>
      <c r="C293" s="5"/>
      <c r="D293" s="5"/>
      <c r="E293" s="5"/>
      <c r="F293" s="252"/>
      <c r="G293" s="214"/>
      <c r="H293" s="5"/>
      <c r="I293" s="5"/>
      <c r="J293" s="5"/>
      <c r="K293" s="17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2"/>
      <c r="G294" s="214"/>
      <c r="H294" s="5"/>
      <c r="I294" s="5"/>
      <c r="J294" s="5"/>
      <c r="K294" s="17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48" t="s">
        <v>180</v>
      </c>
      <c r="B295" s="51" t="s">
        <v>256</v>
      </c>
      <c r="C295" s="51" t="s">
        <v>255</v>
      </c>
      <c r="D295" s="248" t="s">
        <v>252</v>
      </c>
      <c r="E295" s="248" t="s">
        <v>320</v>
      </c>
      <c r="F295" s="253"/>
      <c r="G295" s="214"/>
      <c r="H295" s="5"/>
      <c r="I295" s="5"/>
      <c r="J295" s="5"/>
      <c r="K295" s="17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1">
        <v>0</v>
      </c>
      <c r="B296" s="204" t="s">
        <v>132</v>
      </c>
      <c r="C296" s="203" t="s">
        <v>132</v>
      </c>
      <c r="D296" s="202" t="s">
        <v>132</v>
      </c>
      <c r="E296" s="198"/>
      <c r="F296" s="253"/>
      <c r="G296" s="214"/>
      <c r="H296" s="5"/>
      <c r="I296" s="5"/>
      <c r="J296" s="5"/>
      <c r="K296" s="17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1">
        <v>1</v>
      </c>
      <c r="B297" s="204" t="s">
        <v>132</v>
      </c>
      <c r="C297" s="203" t="s">
        <v>132</v>
      </c>
      <c r="D297" s="202" t="s">
        <v>132</v>
      </c>
      <c r="E297" s="198"/>
      <c r="F297" s="253"/>
      <c r="G297" s="212"/>
      <c r="H297" s="5"/>
      <c r="I297" s="5"/>
      <c r="J297" s="5"/>
      <c r="K297" s="17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1">
        <v>2</v>
      </c>
      <c r="B298" s="204" t="s">
        <v>132</v>
      </c>
      <c r="C298" s="203" t="s">
        <v>132</v>
      </c>
      <c r="D298" s="202" t="s">
        <v>132</v>
      </c>
      <c r="E298" s="198"/>
      <c r="F298" s="253"/>
      <c r="G298" s="212"/>
      <c r="H298" s="5"/>
      <c r="I298" s="5"/>
      <c r="J298" s="5"/>
      <c r="K298" s="17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1">
        <v>3</v>
      </c>
      <c r="B299" s="204" t="s">
        <v>132</v>
      </c>
      <c r="C299" s="203" t="s">
        <v>132</v>
      </c>
      <c r="D299" s="202" t="s">
        <v>132</v>
      </c>
      <c r="E299" s="198"/>
      <c r="F299" s="253"/>
      <c r="G299" s="212"/>
      <c r="H299" s="5"/>
      <c r="I299" s="5"/>
      <c r="J299" s="5"/>
      <c r="K299" s="17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1">
        <v>4</v>
      </c>
      <c r="B300" s="204" t="s">
        <v>132</v>
      </c>
      <c r="C300" s="203" t="s">
        <v>132</v>
      </c>
      <c r="D300" s="202" t="s">
        <v>132</v>
      </c>
      <c r="E300" s="198"/>
      <c r="F300" s="253"/>
      <c r="G300" s="212"/>
      <c r="H300" s="5"/>
      <c r="I300" s="5"/>
      <c r="J300" s="5"/>
      <c r="K300" s="17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1">
        <v>5</v>
      </c>
      <c r="B301" s="204" t="s">
        <v>132</v>
      </c>
      <c r="C301" s="203" t="s">
        <v>132</v>
      </c>
      <c r="D301" s="202" t="s">
        <v>132</v>
      </c>
      <c r="E301" s="198"/>
      <c r="F301" s="253"/>
      <c r="G301" s="213"/>
      <c r="H301" s="5"/>
      <c r="I301" s="5"/>
      <c r="J301" s="5"/>
      <c r="K301" s="17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4">
        <f>'Données projet'!A270</f>
        <v>0</v>
      </c>
      <c r="B302" s="185">
        <f>'Données projet'!D270</f>
        <v>0</v>
      </c>
      <c r="C302" s="196"/>
      <c r="D302" s="186">
        <f t="shared" ref="D302:D314" si="15">B302*C302</f>
        <v>0</v>
      </c>
      <c r="E302" s="198"/>
      <c r="F302" s="255"/>
      <c r="G302" s="213"/>
      <c r="H302" s="5"/>
      <c r="I302" s="5"/>
      <c r="J302" s="5"/>
      <c r="K302" s="17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4">
        <f>'Données projet'!A271</f>
        <v>0</v>
      </c>
      <c r="B303" s="185">
        <f>'Données projet'!D271</f>
        <v>0</v>
      </c>
      <c r="C303" s="198"/>
      <c r="D303" s="186">
        <f t="shared" si="15"/>
        <v>0</v>
      </c>
      <c r="E303" s="198"/>
      <c r="F303" s="255"/>
      <c r="G303" s="213"/>
      <c r="H303" s="5"/>
      <c r="I303" s="5"/>
      <c r="J303" s="5"/>
      <c r="K303" s="17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4">
        <f>'Données projet'!A272</f>
        <v>0</v>
      </c>
      <c r="B304" s="185">
        <f>'Données projet'!D272</f>
        <v>0</v>
      </c>
      <c r="C304" s="198"/>
      <c r="D304" s="186">
        <f t="shared" si="15"/>
        <v>0</v>
      </c>
      <c r="E304" s="198"/>
      <c r="F304" s="255"/>
      <c r="G304" s="213"/>
      <c r="H304" s="5"/>
      <c r="I304" s="5"/>
      <c r="J304" s="5"/>
      <c r="K304" s="17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4">
        <f>'Données projet'!A273</f>
        <v>0</v>
      </c>
      <c r="B305" s="185">
        <f>'Données projet'!D273</f>
        <v>0</v>
      </c>
      <c r="C305" s="198"/>
      <c r="D305" s="186">
        <f t="shared" si="15"/>
        <v>0</v>
      </c>
      <c r="E305" s="198"/>
      <c r="F305" s="255"/>
      <c r="G305" s="213"/>
      <c r="H305" s="5"/>
      <c r="I305" s="5"/>
      <c r="J305" s="5"/>
      <c r="K305" s="17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4">
        <f>'Données projet'!A274</f>
        <v>0</v>
      </c>
      <c r="B306" s="185">
        <f>'Données projet'!D274</f>
        <v>0</v>
      </c>
      <c r="C306" s="198"/>
      <c r="D306" s="186">
        <f t="shared" si="15"/>
        <v>0</v>
      </c>
      <c r="E306" s="198"/>
      <c r="F306" s="255"/>
      <c r="G306" s="213"/>
      <c r="H306" s="5"/>
      <c r="I306" s="5"/>
      <c r="J306" s="5"/>
      <c r="K306" s="17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4">
        <f>'Données projet'!A275</f>
        <v>0</v>
      </c>
      <c r="B307" s="185">
        <f>'Données projet'!D275</f>
        <v>0</v>
      </c>
      <c r="C307" s="198"/>
      <c r="D307" s="186">
        <f t="shared" si="15"/>
        <v>0</v>
      </c>
      <c r="E307" s="198"/>
      <c r="F307" s="255"/>
      <c r="G307" s="213"/>
      <c r="H307" s="5"/>
      <c r="I307" s="5"/>
      <c r="J307" s="5"/>
      <c r="K307" s="17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4">
        <f>'Données projet'!A276</f>
        <v>0</v>
      </c>
      <c r="B308" s="185">
        <f>'Données projet'!D276</f>
        <v>0</v>
      </c>
      <c r="C308" s="198"/>
      <c r="D308" s="186">
        <f t="shared" si="15"/>
        <v>0</v>
      </c>
      <c r="E308" s="198"/>
      <c r="F308" s="255"/>
      <c r="G308" s="209"/>
      <c r="H308" s="5"/>
      <c r="I308" s="5"/>
      <c r="J308" s="5"/>
      <c r="K308" s="17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4">
        <f>'Données projet'!A277</f>
        <v>0</v>
      </c>
      <c r="B309" s="185">
        <f>'Données projet'!D277</f>
        <v>0</v>
      </c>
      <c r="C309" s="198"/>
      <c r="D309" s="186">
        <f t="shared" si="15"/>
        <v>0</v>
      </c>
      <c r="E309" s="198"/>
      <c r="F309" s="255"/>
      <c r="G309" s="209"/>
      <c r="H309" s="5"/>
      <c r="I309" s="5"/>
      <c r="J309" s="5"/>
      <c r="K309" s="17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4">
        <f>'Données projet'!A278</f>
        <v>0</v>
      </c>
      <c r="B310" s="185">
        <f>'Données projet'!D278</f>
        <v>0</v>
      </c>
      <c r="C310" s="198"/>
      <c r="D310" s="186">
        <f t="shared" si="15"/>
        <v>0</v>
      </c>
      <c r="E310" s="198"/>
      <c r="F310" s="255"/>
      <c r="G310" s="209"/>
      <c r="H310" s="5"/>
      <c r="I310" s="5"/>
      <c r="J310" s="5"/>
      <c r="K310" s="17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4">
        <f>'Données projet'!A279</f>
        <v>0</v>
      </c>
      <c r="B311" s="185">
        <f>'Données projet'!D279</f>
        <v>0</v>
      </c>
      <c r="C311" s="198"/>
      <c r="D311" s="186">
        <f t="shared" si="15"/>
        <v>0</v>
      </c>
      <c r="E311" s="198"/>
      <c r="F311" s="255"/>
      <c r="G311" s="209"/>
      <c r="H311" s="5"/>
      <c r="I311" s="5"/>
      <c r="J311" s="5"/>
      <c r="K311" s="17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4">
        <f>'Données projet'!A280</f>
        <v>0</v>
      </c>
      <c r="B312" s="185">
        <f>'Données projet'!D280</f>
        <v>0</v>
      </c>
      <c r="C312" s="198"/>
      <c r="D312" s="186">
        <f t="shared" si="15"/>
        <v>0</v>
      </c>
      <c r="E312" s="198"/>
      <c r="F312" s="255"/>
      <c r="G312" s="209"/>
      <c r="H312" s="5"/>
      <c r="I312" s="5"/>
      <c r="J312" s="5"/>
      <c r="K312" s="17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4">
        <f>'Données projet'!A281</f>
        <v>0</v>
      </c>
      <c r="B313" s="185">
        <f>'Données projet'!D281</f>
        <v>0</v>
      </c>
      <c r="C313" s="198"/>
      <c r="D313" s="186">
        <f t="shared" si="15"/>
        <v>0</v>
      </c>
      <c r="E313" s="198"/>
      <c r="F313" s="255"/>
      <c r="G313" s="209"/>
      <c r="H313" s="5"/>
      <c r="I313" s="5"/>
      <c r="J313" s="5"/>
      <c r="K313" s="17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4">
        <f>'Données projet'!A282</f>
        <v>0</v>
      </c>
      <c r="B314" s="185">
        <f>'Données projet'!D282</f>
        <v>0</v>
      </c>
      <c r="C314" s="198"/>
      <c r="D314" s="186">
        <f t="shared" si="15"/>
        <v>0</v>
      </c>
      <c r="E314" s="198"/>
      <c r="F314" s="255"/>
      <c r="G314" s="209"/>
      <c r="H314" s="5"/>
      <c r="I314" s="5"/>
      <c r="J314" s="5"/>
      <c r="K314" s="17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4">
        <f>'Données projet'!A283</f>
        <v>0</v>
      </c>
      <c r="B315" s="185">
        <f>'Données projet'!D283</f>
        <v>0</v>
      </c>
      <c r="C315" s="198"/>
      <c r="D315" s="186">
        <f t="shared" ref="D315:D321" si="16">B315*C315</f>
        <v>0</v>
      </c>
      <c r="E315" s="198"/>
      <c r="F315" s="255"/>
      <c r="G315" s="209"/>
      <c r="H315" s="5"/>
      <c r="I315" s="5"/>
      <c r="J315" s="5"/>
      <c r="K315" s="17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4">
        <f>'Données projet'!A284</f>
        <v>0</v>
      </c>
      <c r="B316" s="185">
        <f>'Données projet'!D284</f>
        <v>0</v>
      </c>
      <c r="C316" s="198"/>
      <c r="D316" s="186">
        <f t="shared" si="16"/>
        <v>0</v>
      </c>
      <c r="E316" s="198"/>
      <c r="F316" s="255"/>
      <c r="G316" s="209"/>
      <c r="H316" s="5"/>
      <c r="I316" s="5"/>
      <c r="J316" s="5"/>
      <c r="K316" s="17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4">
        <f>'Données projet'!A285</f>
        <v>0</v>
      </c>
      <c r="B317" s="185">
        <f>'Données projet'!D285</f>
        <v>0</v>
      </c>
      <c r="C317" s="198"/>
      <c r="D317" s="186">
        <f t="shared" si="16"/>
        <v>0</v>
      </c>
      <c r="E317" s="198"/>
      <c r="F317" s="255"/>
      <c r="G317" s="209"/>
      <c r="H317" s="5"/>
      <c r="I317" s="5"/>
      <c r="J317" s="5"/>
      <c r="K317" s="17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4">
        <f>'Données projet'!A286</f>
        <v>0</v>
      </c>
      <c r="B318" s="185">
        <f>'Données projet'!D286</f>
        <v>0</v>
      </c>
      <c r="C318" s="198"/>
      <c r="D318" s="186">
        <f t="shared" si="16"/>
        <v>0</v>
      </c>
      <c r="E318" s="198"/>
      <c r="F318" s="255"/>
      <c r="G318" s="209"/>
      <c r="H318" s="5"/>
      <c r="I318" s="5"/>
      <c r="J318" s="5"/>
      <c r="K318" s="17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4">
        <f>'Données projet'!A287</f>
        <v>0</v>
      </c>
      <c r="B319" s="185">
        <f>'Données projet'!D287</f>
        <v>0</v>
      </c>
      <c r="C319" s="198"/>
      <c r="D319" s="186">
        <f t="shared" si="16"/>
        <v>0</v>
      </c>
      <c r="E319" s="198"/>
      <c r="F319" s="255"/>
      <c r="G319" s="209"/>
      <c r="H319" s="5"/>
      <c r="I319" s="5"/>
      <c r="J319" s="5"/>
      <c r="K319" s="17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4">
        <f>'Données projet'!A288</f>
        <v>0</v>
      </c>
      <c r="B320" s="185">
        <f>'Données projet'!D288</f>
        <v>0</v>
      </c>
      <c r="C320" s="198"/>
      <c r="D320" s="186">
        <f t="shared" si="16"/>
        <v>0</v>
      </c>
      <c r="E320" s="198"/>
      <c r="F320" s="255"/>
      <c r="G320" s="209"/>
      <c r="H320" s="5"/>
      <c r="I320" s="5"/>
      <c r="J320" s="5"/>
      <c r="K320" s="17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4">
        <f>'Données projet'!A289</f>
        <v>0</v>
      </c>
      <c r="B321" s="185">
        <f>'Données projet'!D289</f>
        <v>0</v>
      </c>
      <c r="C321" s="198"/>
      <c r="D321" s="186">
        <f t="shared" si="16"/>
        <v>0</v>
      </c>
      <c r="E321" s="198"/>
      <c r="F321" s="255"/>
      <c r="G321" s="209"/>
      <c r="H321" s="5"/>
      <c r="I321" s="5"/>
      <c r="J321" s="5"/>
      <c r="K321" s="17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09"/>
      <c r="H322" s="5"/>
      <c r="I322" s="5"/>
      <c r="J322" s="5"/>
      <c r="K322" s="17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09"/>
      <c r="H323" s="5"/>
      <c r="I323" s="5"/>
      <c r="J323" s="5"/>
      <c r="K323" s="17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09"/>
      <c r="H324" s="5"/>
      <c r="I324" s="5"/>
      <c r="J324" s="5"/>
      <c r="K324" s="17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09"/>
      <c r="H325" s="5"/>
      <c r="I325" s="5"/>
      <c r="J325" s="5"/>
      <c r="K325" s="17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09"/>
      <c r="H326" s="5"/>
      <c r="I326" s="5"/>
      <c r="J326" s="5"/>
      <c r="K326" s="17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09"/>
      <c r="H327" s="5"/>
      <c r="I327" s="5"/>
      <c r="J327" s="5"/>
      <c r="K327" s="17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2"/>
      <c r="G328" s="222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2"/>
      <c r="G329" s="222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2"/>
      <c r="G330" s="222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2"/>
      <c r="G331" s="222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2"/>
      <c r="G332" s="222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2"/>
      <c r="G333" s="222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2"/>
      <c r="G334" s="222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2"/>
      <c r="G335" s="222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2"/>
      <c r="G336" s="222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2"/>
      <c r="G337" s="222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2"/>
      <c r="G338" s="222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2"/>
      <c r="G339" s="222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2"/>
      <c r="G340" s="222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2"/>
      <c r="G341" s="222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2"/>
      <c r="G342" s="222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2"/>
      <c r="G343" s="222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2"/>
      <c r="G344" s="222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2"/>
      <c r="G345" s="222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2"/>
      <c r="G346" s="222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2"/>
      <c r="G347" s="222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2"/>
      <c r="G348" s="222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2"/>
      <c r="G349" s="222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2"/>
      <c r="G350" s="222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2"/>
      <c r="G351" s="222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2"/>
      <c r="G352" s="222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2"/>
      <c r="G353" s="222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2"/>
      <c r="G354" s="222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2"/>
      <c r="G355" s="222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2"/>
      <c r="G356" s="222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2"/>
      <c r="G357" s="222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2"/>
      <c r="G358" s="222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2"/>
      <c r="G359" s="222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2"/>
      <c r="G360" s="222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2"/>
      <c r="G361" s="222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2"/>
      <c r="G362" s="222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2"/>
      <c r="G363" s="222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2"/>
      <c r="G364" s="222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2"/>
      <c r="G365" s="222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2"/>
      <c r="G366" s="222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2"/>
      <c r="G367" s="222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2"/>
      <c r="G368" s="222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2"/>
      <c r="G369" s="222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2"/>
      <c r="G370" s="6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2"/>
      <c r="G371" s="6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2"/>
      <c r="G372" s="6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2"/>
      <c r="G373" s="6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2"/>
      <c r="G374" s="6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2"/>
      <c r="G375" s="6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2"/>
      <c r="G376" s="64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2"/>
      <c r="G377" s="64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2"/>
      <c r="G378" s="64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2"/>
      <c r="G379" s="64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2"/>
      <c r="G380" s="64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2"/>
      <c r="G381" s="64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2"/>
      <c r="G382" s="64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2"/>
      <c r="G383" s="64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2"/>
      <c r="G384" s="64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2"/>
      <c r="G385" s="64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2"/>
      <c r="G386" s="64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2"/>
      <c r="G387" s="64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2"/>
      <c r="G388" s="64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2"/>
      <c r="G389" s="64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2"/>
      <c r="G390" s="64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2"/>
      <c r="G391" s="64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2"/>
      <c r="G392" s="64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2"/>
      <c r="G393" s="64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2"/>
      <c r="G394" s="64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2"/>
      <c r="G395" s="64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4"/>
      <c r="G396" s="64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4"/>
      <c r="G397" s="64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4"/>
      <c r="G398" s="64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4"/>
      <c r="G399" s="64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4"/>
      <c r="G400" s="64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4"/>
      <c r="G401" s="64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4"/>
      <c r="G402" s="64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4"/>
      <c r="G403" s="64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4"/>
      <c r="G404" s="64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4"/>
      <c r="G405" s="64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4"/>
      <c r="G406" s="64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4"/>
      <c r="G407" s="64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4"/>
      <c r="G408" s="64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4"/>
      <c r="G409" s="64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4"/>
      <c r="G410" s="64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4"/>
      <c r="G411" s="64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4"/>
      <c r="G412" s="64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4"/>
      <c r="G413" s="64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4"/>
      <c r="G414" s="64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4"/>
      <c r="G415" s="64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4"/>
      <c r="G416" s="64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4"/>
      <c r="G417" s="64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4"/>
      <c r="G418" s="64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4"/>
      <c r="G419" s="64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4"/>
      <c r="G420" s="64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4"/>
      <c r="G421" s="64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4"/>
      <c r="G422" s="64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4"/>
      <c r="G423" s="64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4"/>
      <c r="G424" s="64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4"/>
      <c r="G425" s="64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4"/>
      <c r="G426" s="64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4"/>
      <c r="G427" s="64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4"/>
      <c r="G428" s="64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4"/>
      <c r="G429" s="64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4"/>
      <c r="G430" s="64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4"/>
      <c r="G431" s="64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4"/>
      <c r="G432" s="64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4"/>
      <c r="G433" s="64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4"/>
      <c r="G434" s="64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4"/>
      <c r="G435" s="64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4"/>
      <c r="G436" s="64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4"/>
      <c r="G437" s="64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4"/>
      <c r="G438" s="64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4"/>
      <c r="G439" s="64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4"/>
      <c r="G440" s="64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4"/>
      <c r="G441" s="64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2025-02-14T14:18:37Z</dcterms:modified>
</cp:coreProperties>
</file>