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GFR DES ORMEAUX (Bais) - 21831044 LE/"/>
    </mc:Choice>
  </mc:AlternateContent>
  <xr:revisionPtr revIDLastSave="33" documentId="6_{B419C6E4-1C44-44A6-906C-88B2DAFB1F20}" xr6:coauthVersionLast="47" xr6:coauthVersionMax="47" xr10:uidLastSave="{E75280C3-EAC8-4B1F-B729-1EA2D06A0926}"/>
  <bookViews>
    <workbookView xWindow="-28905" yWindow="7635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6" l="1" a="1"/>
  <c r="J23" i="6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ED155" i="2" s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EX161" i="2"/>
  <c r="ED160" i="2"/>
  <c r="EB161" i="2"/>
  <c r="ED161" i="2" s="1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W162" i="2"/>
  <c r="DI161" i="2"/>
  <c r="HH162" i="2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D163" i="2" s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DG167" i="2"/>
  <c r="EA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DG168" i="2"/>
  <c r="EB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B172" i="2"/>
  <c r="EA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B179" i="2"/>
  <c r="HH179" i="2"/>
  <c r="EV179" i="2"/>
  <c r="EY179" i="2" s="1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D192" i="2" s="1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H197" i="2"/>
  <c r="AA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I202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" i="2" a="1"/>
  <c r="GT11" i="2" s="1"/>
  <c r="EI166" i="2" a="1"/>
  <c r="EI166" i="2" s="1"/>
  <c r="EI106" i="2" a="1"/>
  <c r="EI106" i="2" s="1"/>
  <c r="EI142" i="2" a="1"/>
  <c r="EI142" i="2" s="1"/>
  <c r="DN170" i="2" a="1"/>
  <c r="DN170" i="2" s="1"/>
  <c r="DN153" i="2" a="1"/>
  <c r="DN153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FY196" i="2" a="1"/>
  <c r="FY196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78" i="2" a="1"/>
  <c r="GT178" i="2" s="1"/>
  <c r="GT74" i="2" a="1"/>
  <c r="GT74" i="2" s="1"/>
  <c r="GT126" i="2" a="1"/>
  <c r="GT126" i="2" s="1"/>
  <c r="GT38" i="2" a="1"/>
  <c r="GT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CS56" i="2" a="1"/>
  <c r="CS56" i="2" s="1"/>
  <c r="CS114" i="2" a="1"/>
  <c r="CS114" i="2" s="1"/>
  <c r="DN49" i="2" a="1"/>
  <c r="DN49" i="2" s="1"/>
  <c r="DN162" i="2" a="1"/>
  <c r="DN162" i="2" s="1"/>
  <c r="DN6" i="2" a="1"/>
  <c r="DN6" i="2" s="1"/>
  <c r="DO6" i="2" s="1"/>
  <c r="CS134" i="2" a="1"/>
  <c r="CS134" i="2" s="1"/>
  <c r="DN45" i="2" a="1"/>
  <c r="DN45" i="2" s="1"/>
  <c r="HJ202" i="2"/>
  <c r="AX200" i="2"/>
  <c r="FD188" i="2" l="1" a="1"/>
  <c r="FD188" i="2" s="1"/>
  <c r="DN86" i="2" a="1"/>
  <c r="DN86" i="2" s="1"/>
  <c r="DN124" i="2" a="1"/>
  <c r="DN124" i="2" s="1"/>
  <c r="GT181" i="2" a="1"/>
  <c r="GT181" i="2" s="1"/>
  <c r="FY78" i="2" a="1"/>
  <c r="FY78" i="2" s="1"/>
  <c r="DN164" i="2" a="1"/>
  <c r="DN164" i="2" s="1"/>
  <c r="DN129" i="2" a="1"/>
  <c r="DN129" i="2" s="1"/>
  <c r="DN135" i="2" a="1"/>
  <c r="DN135" i="2" s="1"/>
  <c r="DN50" i="2" a="1"/>
  <c r="DN50" i="2" s="1"/>
  <c r="DN46" i="2" a="1"/>
  <c r="DN46" i="2" s="1"/>
  <c r="DN113" i="2" a="1"/>
  <c r="DN113" i="2" s="1"/>
  <c r="GT102" i="2" a="1"/>
  <c r="GT102" i="2" s="1"/>
  <c r="DN25" i="2" a="1"/>
  <c r="DN25" i="2" s="1"/>
  <c r="DN176" i="2" a="1"/>
  <c r="DN176" i="2" s="1"/>
  <c r="DN184" i="2" a="1"/>
  <c r="DN184" i="2" s="1"/>
  <c r="DN80" i="2" a="1"/>
  <c r="DN80" i="2" s="1"/>
  <c r="DN152" i="2" a="1"/>
  <c r="DN152" i="2" s="1"/>
  <c r="DN133" i="2" a="1"/>
  <c r="DN133" i="2" s="1"/>
  <c r="DN168" i="2" a="1"/>
  <c r="DN168" i="2" s="1"/>
  <c r="FD160" i="2" a="1"/>
  <c r="FD160" i="2" s="1"/>
  <c r="DN29" i="2" a="1"/>
  <c r="DN29" i="2" s="1"/>
  <c r="DN65" i="2" a="1"/>
  <c r="DN65" i="2" s="1"/>
  <c r="EI38" i="2" a="1"/>
  <c r="EI38" i="2" s="1"/>
  <c r="FD159" i="2" a="1"/>
  <c r="FD159" i="2" s="1"/>
  <c r="DN41" i="2" a="1"/>
  <c r="DN41" i="2" s="1"/>
  <c r="FS203" i="2"/>
  <c r="DN70" i="2" a="1"/>
  <c r="DN70" i="2" s="1"/>
  <c r="GT15" i="2" a="1"/>
  <c r="GT15" i="2" s="1"/>
  <c r="FD167" i="2" a="1"/>
  <c r="FD167" i="2" s="1"/>
  <c r="DN43" i="2" a="1"/>
  <c r="DN43" i="2" s="1"/>
  <c r="GT122" i="2" a="1"/>
  <c r="GT122" i="2" s="1"/>
  <c r="EI139" i="2" a="1"/>
  <c r="EI139" i="2" s="1"/>
  <c r="GT138" i="2" a="1"/>
  <c r="GT138" i="2" s="1"/>
  <c r="FD189" i="2" a="1"/>
  <c r="FD189" i="2" s="1"/>
  <c r="DN186" i="2" a="1"/>
  <c r="DN186" i="2" s="1"/>
  <c r="FY104" i="2" a="1"/>
  <c r="FY104" i="2" s="1"/>
  <c r="DN110" i="2" a="1"/>
  <c r="DN110" i="2" s="1"/>
  <c r="EI67" i="2" a="1"/>
  <c r="EI67" i="2" s="1"/>
  <c r="DN188" i="2" a="1"/>
  <c r="DN188" i="2" s="1"/>
  <c r="GT68" i="2" a="1"/>
  <c r="GT68" i="2" s="1"/>
  <c r="FD82" i="2" a="1"/>
  <c r="FD82" i="2" s="1"/>
  <c r="DN31" i="2" a="1"/>
  <c r="DN31" i="2" s="1"/>
  <c r="EI170" i="2" a="1"/>
  <c r="EI170" i="2" s="1"/>
  <c r="GT174" i="2" a="1"/>
  <c r="GT174" i="2" s="1"/>
  <c r="BX107" i="2" a="1"/>
  <c r="BX107" i="2" s="1"/>
  <c r="DN167" i="2" a="1"/>
  <c r="DN167" i="2" s="1"/>
  <c r="EI16" i="2" a="1"/>
  <c r="EI16" i="2" s="1"/>
  <c r="GT190" i="2" a="1"/>
  <c r="GT190" i="2" s="1"/>
  <c r="FY142" i="2" a="1"/>
  <c r="FY142" i="2" s="1"/>
  <c r="DN177" i="2" a="1"/>
  <c r="DN177" i="2" s="1"/>
  <c r="CS66" i="2" a="1"/>
  <c r="CS66" i="2" s="1"/>
  <c r="GT184" i="2" a="1"/>
  <c r="GT184" i="2" s="1"/>
  <c r="FY186" i="2" a="1"/>
  <c r="FY186" i="2" s="1"/>
  <c r="DN132" i="2" a="1"/>
  <c r="DN132" i="2" s="1"/>
  <c r="DN30" i="2" a="1"/>
  <c r="DN30" i="2" s="1"/>
  <c r="DN114" i="2" a="1"/>
  <c r="DN114" i="2" s="1"/>
  <c r="DN38" i="2" a="1"/>
  <c r="DN38" i="2" s="1"/>
  <c r="GT189" i="2" a="1"/>
  <c r="GT189" i="2" s="1"/>
  <c r="DN103" i="2" a="1"/>
  <c r="DN103" i="2" s="1"/>
  <c r="GT198" i="2" a="1"/>
  <c r="GT198" i="2" s="1"/>
  <c r="GT147" i="2" a="1"/>
  <c r="GT147" i="2" s="1"/>
  <c r="GT21" i="2" a="1"/>
  <c r="GT21" i="2" s="1"/>
  <c r="DN123" i="2" a="1"/>
  <c r="DN123" i="2" s="1"/>
  <c r="GT152" i="2" a="1"/>
  <c r="GT152" i="2" s="1"/>
  <c r="DN190" i="2" a="1"/>
  <c r="DN190" i="2" s="1"/>
  <c r="GT12" i="2" a="1"/>
  <c r="GT12" i="2" s="1"/>
  <c r="GT33" i="2" a="1"/>
  <c r="GT33" i="2" s="1"/>
  <c r="GT133" i="2" a="1"/>
  <c r="GT133" i="2" s="1"/>
  <c r="EI37" i="2" a="1"/>
  <c r="EI37" i="2" s="1"/>
  <c r="DN63" i="2" a="1"/>
  <c r="DN63" i="2" s="1"/>
  <c r="DN150" i="2" a="1"/>
  <c r="DN150" i="2" s="1"/>
  <c r="GT121" i="2" a="1"/>
  <c r="GT121" i="2" s="1"/>
  <c r="EI35" i="2" a="1"/>
  <c r="EI35" i="2" s="1"/>
  <c r="DN192" i="2" a="1"/>
  <c r="DN192" i="2" s="1"/>
  <c r="DN55" i="2" a="1"/>
  <c r="DN55" i="2" s="1"/>
  <c r="DN66" i="2" a="1"/>
  <c r="DN66" i="2" s="1"/>
  <c r="GT51" i="2" a="1"/>
  <c r="GT51" i="2" s="1"/>
  <c r="DN187" i="2" a="1"/>
  <c r="DN187" i="2" s="1"/>
  <c r="GT107" i="2" a="1"/>
  <c r="GT107" i="2" s="1"/>
  <c r="FD48" i="2" a="1"/>
  <c r="FD48" i="2" s="1"/>
  <c r="DN137" i="2" a="1"/>
  <c r="DN137" i="2" s="1"/>
  <c r="FY190" i="2" a="1"/>
  <c r="FY190" i="2" s="1"/>
  <c r="CS72" i="2" a="1"/>
  <c r="CS72" i="2" s="1"/>
  <c r="DN16" i="2" a="1"/>
  <c r="DN16" i="2" s="1"/>
  <c r="EI113" i="2" a="1"/>
  <c r="EI113" i="2" s="1"/>
  <c r="GT191" i="2" a="1"/>
  <c r="GT191" i="2" s="1"/>
  <c r="FY30" i="2" a="1"/>
  <c r="FY30" i="2" s="1"/>
  <c r="DN115" i="2" a="1"/>
  <c r="DN115" i="2" s="1"/>
  <c r="DN155" i="2" a="1"/>
  <c r="DN155" i="2" s="1"/>
  <c r="GT115" i="2" a="1"/>
  <c r="GT115" i="2" s="1"/>
  <c r="FY69" i="2" a="1"/>
  <c r="FY69" i="2" s="1"/>
  <c r="CS185" i="2" a="1"/>
  <c r="CS185" i="2" s="1"/>
  <c r="AH151" i="2" a="1"/>
  <c r="AH151" i="2" s="1"/>
  <c r="CS24" i="2" a="1"/>
  <c r="CS24" i="2" s="1"/>
  <c r="CS38" i="2" a="1"/>
  <c r="CS38" i="2" s="1"/>
  <c r="CS52" i="2" a="1"/>
  <c r="CS52" i="2" s="1"/>
  <c r="CS129" i="2" a="1"/>
  <c r="CS129" i="2" s="1"/>
  <c r="CS105" i="2" a="1"/>
  <c r="CS105" i="2" s="1"/>
  <c r="AH163" i="2" a="1"/>
  <c r="AH163" i="2" s="1"/>
  <c r="AH199" i="2" a="1"/>
  <c r="AH199" i="2" s="1"/>
  <c r="AH166" i="2" a="1"/>
  <c r="AH166" i="2" s="1"/>
  <c r="AH62" i="2" a="1"/>
  <c r="AH62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ED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11" i="2" l="1"/>
  <c r="CD193" i="2"/>
  <c r="CD23" i="2"/>
  <c r="CD163" i="2"/>
  <c r="CD203" i="2"/>
  <c r="CD3" i="2"/>
  <c r="C9" i="4" s="1"/>
  <c r="E9" i="4" s="1"/>
  <c r="F9" i="4" s="1"/>
  <c r="G9" i="4" s="1"/>
  <c r="L9" i="4" s="1"/>
  <c r="CD170" i="2"/>
  <c r="CD71" i="2"/>
  <c r="CD60" i="2"/>
  <c r="CD110" i="2"/>
  <c r="CD79" i="2"/>
  <c r="CD154" i="2"/>
  <c r="CD88" i="2"/>
  <c r="CD63" i="2"/>
  <c r="CD81" i="2"/>
  <c r="CD104" i="2"/>
  <c r="CD201" i="2"/>
  <c r="CD125" i="2"/>
  <c r="CD47" i="2"/>
  <c r="CD174" i="2"/>
  <c r="CD17" i="2"/>
  <c r="CD138" i="2"/>
  <c r="CD187" i="2"/>
  <c r="CD28" i="2"/>
  <c r="CD107" i="2"/>
  <c r="CD97" i="2"/>
  <c r="CD158" i="2"/>
  <c r="CD58" i="2"/>
  <c r="CD157" i="2"/>
  <c r="CD198" i="2"/>
  <c r="CD116" i="2"/>
  <c r="CD21" i="2"/>
  <c r="CD156" i="2"/>
  <c r="CD49" i="2"/>
  <c r="CD86" i="2"/>
  <c r="CD130" i="2"/>
  <c r="CD68" i="2"/>
  <c r="CD61" i="2"/>
  <c r="CD32" i="2"/>
  <c r="CD191" i="2"/>
  <c r="CD146" i="2"/>
  <c r="CD189" i="2"/>
  <c r="CD74" i="2"/>
  <c r="CD144" i="2"/>
  <c r="CD94" i="2"/>
  <c r="CD121" i="2"/>
  <c r="CD59" i="2"/>
  <c r="CD7" i="2"/>
  <c r="CD96" i="2"/>
  <c r="CD64" i="2"/>
  <c r="CD155" i="2"/>
  <c r="CD122" i="2"/>
  <c r="CD72" i="2"/>
  <c r="CD109" i="2"/>
  <c r="CD20" i="2"/>
  <c r="CD67" i="2"/>
  <c r="CD140" i="2"/>
  <c r="CD162" i="2"/>
  <c r="CD37" i="2"/>
  <c r="CD195" i="2"/>
  <c r="CD80" i="2"/>
  <c r="CD56" i="2"/>
  <c r="CD35" i="2"/>
  <c r="CD152" i="2"/>
  <c r="CD77" i="2"/>
  <c r="CD87" i="2"/>
  <c r="CD181" i="2"/>
  <c r="CD36" i="2"/>
  <c r="CD165" i="2"/>
  <c r="CD185" i="2"/>
  <c r="CD164" i="2"/>
  <c r="CD132" i="2"/>
  <c r="CD65" i="2"/>
  <c r="CD30" i="2"/>
  <c r="CD84" i="2"/>
  <c r="CD123" i="2"/>
  <c r="CD199" i="2"/>
  <c r="CD145" i="2"/>
  <c r="CD127" i="2"/>
  <c r="CD200" i="2"/>
  <c r="CD192" i="2"/>
  <c r="CD131" i="2"/>
  <c r="CD39" i="2"/>
  <c r="CD128" i="2"/>
  <c r="CD66" i="2"/>
  <c r="CD22" i="2"/>
  <c r="CD188" i="2"/>
  <c r="CD114" i="2"/>
  <c r="CD180" i="2"/>
  <c r="CD41" i="2"/>
  <c r="CD10" i="2"/>
  <c r="CD12" i="2"/>
  <c r="CD151" i="2"/>
  <c r="CD194" i="2"/>
  <c r="CD19" i="2"/>
  <c r="CD159" i="2"/>
  <c r="CD169" i="2"/>
  <c r="CD99" i="2"/>
  <c r="CD148" i="2"/>
  <c r="CD89" i="2"/>
  <c r="CD48" i="2"/>
  <c r="CD166" i="2"/>
  <c r="CD26" i="2"/>
  <c r="CD190" i="2"/>
  <c r="CD150" i="2"/>
  <c r="CD27" i="2"/>
  <c r="CD51" i="2"/>
  <c r="CD183" i="2"/>
  <c r="CD161" i="2"/>
  <c r="CD54" i="2"/>
  <c r="CD33" i="2"/>
  <c r="CD44" i="2"/>
  <c r="CD136" i="2"/>
  <c r="CD78" i="2"/>
  <c r="CD76" i="2"/>
  <c r="CD129" i="2"/>
  <c r="CD57" i="2"/>
  <c r="CD167" i="2"/>
  <c r="CD118" i="2"/>
  <c r="CD8" i="2"/>
  <c r="CD112" i="2"/>
  <c r="CD120" i="2"/>
  <c r="CD16" i="2"/>
  <c r="CD126" i="2"/>
  <c r="CD34" i="2"/>
  <c r="CD46" i="2"/>
  <c r="CD95" i="2"/>
  <c r="CD98" i="2"/>
  <c r="CD101" i="2"/>
  <c r="CD168" i="2"/>
  <c r="CD184" i="2"/>
  <c r="CD197" i="2"/>
  <c r="CD141" i="2"/>
  <c r="CD142" i="2"/>
  <c r="CD153" i="2"/>
  <c r="CD134" i="2"/>
  <c r="CD18" i="2"/>
  <c r="CD50" i="2"/>
  <c r="CD113" i="2"/>
  <c r="CD92" i="2"/>
  <c r="CD172" i="2"/>
  <c r="CD11" i="2"/>
  <c r="CD70" i="2"/>
  <c r="CD93" i="2"/>
  <c r="CD15" i="2"/>
  <c r="CD178" i="2"/>
  <c r="CD117" i="2"/>
  <c r="CD103" i="2"/>
  <c r="CD106" i="2"/>
  <c r="CD55" i="2"/>
  <c r="CD45" i="2"/>
  <c r="CD75" i="2"/>
  <c r="CD182" i="2"/>
  <c r="CD149" i="2"/>
  <c r="CD202" i="2"/>
  <c r="CD179" i="2"/>
  <c r="CD83" i="2"/>
  <c r="CD196" i="2"/>
  <c r="CD119" i="2"/>
  <c r="CD143" i="2"/>
  <c r="CD85" i="2"/>
  <c r="CD171" i="2"/>
  <c r="CD135" i="2"/>
  <c r="CD105" i="2"/>
  <c r="CD14" i="2"/>
  <c r="CD115" i="2"/>
  <c r="CD25" i="2"/>
  <c r="CD40" i="2"/>
  <c r="CD139" i="2"/>
  <c r="CD91" i="2"/>
  <c r="CD177" i="2"/>
  <c r="CD5" i="2"/>
  <c r="CD137" i="2"/>
  <c r="CD6" i="2"/>
  <c r="CD108" i="2"/>
  <c r="CD133" i="2"/>
  <c r="CD43" i="2"/>
  <c r="CD52" i="2"/>
  <c r="CD124" i="2"/>
  <c r="CD102" i="2"/>
  <c r="CD38" i="2"/>
  <c r="CD176" i="2"/>
  <c r="CD31" i="2"/>
  <c r="CD62" i="2"/>
  <c r="CD175" i="2"/>
  <c r="CD147" i="2"/>
  <c r="CD160" i="2"/>
  <c r="CD69" i="2"/>
  <c r="CD82" i="2"/>
  <c r="CD13" i="2"/>
  <c r="CD9" i="2"/>
  <c r="CD24" i="2"/>
  <c r="CD4" i="2"/>
  <c r="CD186" i="2"/>
  <c r="CD42" i="2"/>
  <c r="CD73" i="2"/>
  <c r="CD173" i="2"/>
  <c r="CD100" i="2"/>
  <c r="CD53" i="2"/>
  <c r="CD90" i="2"/>
  <c r="CD29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30" i="2" l="1"/>
  <c r="BI145" i="2"/>
  <c r="BI18" i="2"/>
  <c r="BI53" i="2"/>
  <c r="BI199" i="2"/>
  <c r="BI90" i="2"/>
  <c r="BI166" i="2"/>
  <c r="BI48" i="2"/>
  <c r="BI81" i="2"/>
  <c r="BI4" i="2"/>
  <c r="BI96" i="2"/>
  <c r="BI201" i="2"/>
  <c r="BI161" i="2"/>
  <c r="BI25" i="2"/>
  <c r="BI8" i="2"/>
  <c r="BI164" i="2"/>
  <c r="BI148" i="2"/>
  <c r="BI95" i="2"/>
  <c r="BI110" i="2"/>
  <c r="BI191" i="2"/>
  <c r="BI47" i="2"/>
  <c r="BI188" i="2"/>
  <c r="BI178" i="2"/>
  <c r="BI52" i="2"/>
  <c r="BI100" i="2"/>
  <c r="BI7" i="2"/>
  <c r="BI34" i="2"/>
  <c r="BI46" i="2"/>
  <c r="BI134" i="2"/>
  <c r="BI67" i="2"/>
  <c r="BI6" i="2"/>
  <c r="BI157" i="2"/>
  <c r="BI17" i="2"/>
  <c r="BI170" i="2"/>
  <c r="BI150" i="2"/>
  <c r="BI74" i="2"/>
  <c r="BI184" i="2"/>
  <c r="BI194" i="2"/>
  <c r="BI14" i="2"/>
  <c r="BI181" i="2"/>
  <c r="BI11" i="2"/>
  <c r="BI64" i="2"/>
  <c r="BI130" i="2"/>
  <c r="BI106" i="2"/>
  <c r="BI19" i="2"/>
  <c r="BI49" i="2"/>
  <c r="BI162" i="2"/>
  <c r="BI40" i="2"/>
  <c r="BI50" i="2"/>
  <c r="BI36" i="2"/>
  <c r="BI126" i="2"/>
  <c r="BI79" i="2"/>
  <c r="BI151" i="2"/>
  <c r="BI88" i="2"/>
  <c r="BI16" i="2"/>
  <c r="BI180" i="2"/>
  <c r="BI24" i="2"/>
  <c r="BI203" i="2"/>
  <c r="BI42" i="2"/>
  <c r="BI133" i="2"/>
  <c r="BI128" i="2"/>
  <c r="BI102" i="2"/>
  <c r="BI99" i="2"/>
  <c r="BI65" i="2"/>
  <c r="BI137" i="2"/>
  <c r="BI121" i="2"/>
  <c r="BI73" i="2"/>
  <c r="BI131" i="2"/>
  <c r="BI105" i="2"/>
  <c r="BI197" i="2"/>
  <c r="BI80" i="2"/>
  <c r="BI147" i="2"/>
  <c r="BI70" i="2"/>
  <c r="BI156" i="2"/>
  <c r="BI196" i="2"/>
  <c r="BI37" i="2"/>
  <c r="BI115" i="2"/>
  <c r="BI41" i="2"/>
  <c r="BI138" i="2"/>
  <c r="BI103" i="2"/>
  <c r="BI43" i="2"/>
  <c r="BI172" i="2"/>
  <c r="BI91" i="2"/>
  <c r="BI10" i="2"/>
  <c r="BI192" i="2"/>
  <c r="BI116" i="2"/>
  <c r="BI160" i="2"/>
  <c r="BI112" i="2"/>
  <c r="BI78" i="2"/>
  <c r="BI167" i="2"/>
  <c r="BI113" i="2"/>
  <c r="BI152" i="2"/>
  <c r="BI5" i="2"/>
  <c r="BI200" i="2"/>
  <c r="BI44" i="2"/>
  <c r="BI118" i="2"/>
  <c r="BI185" i="2"/>
  <c r="BI175" i="2"/>
  <c r="BI58" i="2"/>
  <c r="BI136" i="2"/>
  <c r="BI69" i="2"/>
  <c r="BI59" i="2"/>
  <c r="BI68" i="2"/>
  <c r="BI190" i="2"/>
  <c r="BI12" i="2"/>
  <c r="BI177" i="2"/>
  <c r="BI20" i="2"/>
  <c r="BI31" i="2"/>
  <c r="BI77" i="2"/>
  <c r="BI186" i="2"/>
  <c r="BI135" i="2"/>
  <c r="BI86" i="2"/>
  <c r="BI83" i="2"/>
  <c r="BI193" i="2"/>
  <c r="BI98" i="2"/>
  <c r="BI38" i="2"/>
  <c r="BI155" i="2"/>
  <c r="BI27" i="2"/>
  <c r="BI29" i="2"/>
  <c r="BI117" i="2"/>
  <c r="BI82" i="2"/>
  <c r="BI182" i="2"/>
  <c r="BI123" i="2"/>
  <c r="BI119" i="2"/>
  <c r="BI72" i="2"/>
  <c r="BI202" i="2"/>
  <c r="BI33" i="2"/>
  <c r="BI26" i="2"/>
  <c r="BI66" i="2"/>
  <c r="BI149" i="2"/>
  <c r="BI22" i="2"/>
  <c r="BI28" i="2"/>
  <c r="BI23" i="2"/>
  <c r="BI198" i="2"/>
  <c r="BI61" i="2"/>
  <c r="BI109" i="2"/>
  <c r="BI111" i="2"/>
  <c r="BI176" i="2"/>
  <c r="BI87" i="2"/>
  <c r="BI127" i="2"/>
  <c r="BI107" i="2"/>
  <c r="BI120" i="2"/>
  <c r="BI32" i="2"/>
  <c r="BI146" i="2"/>
  <c r="BI140" i="2"/>
  <c r="BI143" i="2"/>
  <c r="BI114" i="2"/>
  <c r="BI124" i="2"/>
  <c r="BI108" i="2"/>
  <c r="BI93" i="2"/>
  <c r="BI75" i="2"/>
  <c r="BI63" i="2"/>
  <c r="BI141" i="2"/>
  <c r="BI132" i="2"/>
  <c r="BI89" i="2"/>
  <c r="BI21" i="2"/>
  <c r="BI174" i="2"/>
  <c r="BI179" i="2"/>
  <c r="BI187" i="2"/>
  <c r="BI159" i="2"/>
  <c r="BI153" i="2"/>
  <c r="BI9" i="2"/>
  <c r="BI139" i="2"/>
  <c r="BI195" i="2"/>
  <c r="BI168" i="2"/>
  <c r="BI183" i="2"/>
  <c r="BI13" i="2"/>
  <c r="BI142" i="2"/>
  <c r="BI122" i="2"/>
  <c r="BI35" i="2"/>
  <c r="BI173" i="2"/>
  <c r="BI56" i="2"/>
  <c r="BI144" i="2"/>
  <c r="BI3" i="2"/>
  <c r="C8" i="4" s="1"/>
  <c r="E8" i="4" s="1"/>
  <c r="F8" i="4" s="1"/>
  <c r="G8" i="4" s="1"/>
  <c r="L8" i="4" s="1"/>
  <c r="BI171" i="2"/>
  <c r="BI84" i="2"/>
  <c r="BI85" i="2"/>
  <c r="BI62" i="2"/>
  <c r="BI45" i="2"/>
  <c r="BI97" i="2"/>
  <c r="BI189" i="2"/>
  <c r="BI51" i="2"/>
  <c r="BI104" i="2"/>
  <c r="BI71" i="2"/>
  <c r="BI54" i="2"/>
  <c r="BI57" i="2"/>
  <c r="BI55" i="2"/>
  <c r="BI158" i="2"/>
  <c r="BI94" i="2"/>
  <c r="BI92" i="2"/>
  <c r="BI76" i="2"/>
  <c r="BI169" i="2"/>
  <c r="BI154" i="2"/>
  <c r="BI101" i="2"/>
  <c r="BI15" i="2"/>
  <c r="BI163" i="2"/>
  <c r="BI39" i="2"/>
  <c r="BI165" i="2"/>
  <c r="BI60" i="2"/>
  <c r="BI125" i="2"/>
  <c r="BI1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<sst xmlns="http://schemas.openxmlformats.org/spreadsheetml/2006/main" count="1175" uniqueCount="327">
  <si>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</si>
  <si>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</si>
  <si>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</si>
  <si>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</si>
  <si>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</si>
  <si>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</si>
  <si>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</si>
  <si>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</si>
  <si>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</si>
  <si>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</si>
  <si>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</si>
  <si>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</si>
  <si>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</si>
  <si>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</si>
  <si>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</si>
  <si>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</si>
  <si>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</si>
  <si>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</si>
  <si>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</si>
  <si>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</si>
  <si>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</si>
  <si>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</si>
  <si>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</si>
  <si>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</si>
  <si>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</si>
  <si>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</si>
  <si>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</si>
  <si>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</si>
  <si>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</si>
  <si>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</si>
  <si>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</si>
  <si>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</si>
  <si>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</si>
  <si>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</si>
  <si>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</si>
  <si>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</si>
  <si>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</si>
  <si>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</si>
  <si>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</si>
  <si>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</si>
  <si>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</si>
  <si>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</si>
  <si>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</si>
  <si>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</si>
  <si>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</si>
  <si>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</si>
  <si>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</si>
  <si>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</si>
  <si>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</si>
  <si>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</si>
  <si>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</si>
  <si>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</si>
  <si>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</si>
  <si>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</si>
  <si>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</si>
  <si>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</si>
  <si>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</si>
  <si>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</si>
  <si>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</si>
  <si>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</si>
  <si>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</si>
  <si>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</si>
  <si>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</si>
  <si>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</si>
  <si>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</si>
  <si>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</si>
  <si>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</si>
  <si>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</si>
  <si>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</si>
  <si>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</si>
  <si>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</si>
  <si>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</si>
  <si>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</si>
  <si>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</si>
  <si>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</si>
  <si>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</si>
  <si>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</si>
  <si>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</si>
  <si>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</si>
  <si>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</si>
  <si>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</si>
  <si>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</si>
  <si>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</si>
  <si>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</si>
  <si>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</si>
  <si>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</si>
  <si>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</si>
  <si>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</si>
  <si>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</si>
  <si>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</si>
  <si>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</si>
  <si>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</si>
  <si>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</si>
  <si>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</si>
  <si>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</si>
  <si>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</si>
  <si>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</si>
  <si>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</si>
  <si>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</si>
  <si>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</si>
  <si>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</si>
  <si>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</si>
  <si>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</si>
  <si>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</si>
  <si>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</si>
  <si>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</si>
  <si>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</si>
  <si>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</si>
  <si>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</si>
  <si>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</si>
  <si>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</si>
  <si>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</si>
  <si>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</si>
  <si>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</si>
  <si>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</si>
  <si>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</si>
  <si>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</si>
  <si>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</si>
  <si>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</si>
  <si>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</si>
  <si>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</si>
  <si>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</si>
  <si>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</si>
  <si>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</si>
  <si>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</si>
  <si>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</si>
  <si>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</si>
  <si>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</si>
  <si>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</si>
  <si>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</si>
  <si>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</si>
  <si>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</si>
  <si>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</si>
  <si>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</si>
  <si>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</si>
  <si>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</si>
  <si>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</si>
  <si>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</si>
  <si>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</si>
  <si>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</si>
  <si>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</si>
  <si>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</si>
  <si>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</si>
  <si>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</si>
  <si>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</si>
  <si>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</si>
  <si>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</si>
  <si>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</si>
  <si>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</si>
  <si>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</si>
  <si>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</si>
  <si>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</si>
  <si>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</si>
  <si>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</si>
  <si>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</si>
  <si>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</si>
  <si>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</si>
  <si>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</si>
  <si>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</si>
  <si>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</si>
  <si>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</si>
  <si>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</si>
  <si>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</si>
  <si>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</si>
  <si>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</si>
  <si>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</si>
  <si>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</si>
  <si>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</si>
  <si>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</si>
  <si>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</si>
  <si>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</si>
  <si>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</si>
  <si>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</si>
  <si>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</si>
  <si>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</si>
  <si>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</si>
  <si>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</si>
  <si>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</si>
  <si>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</si>
  <si>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</si>
  <si>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</si>
  <si>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</si>
  <si>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</si>
  <si>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</si>
  <si>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</si>
  <si>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</si>
  <si>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</si>
  <si>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</si>
  <si>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</si>
  <si>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</si>
  <si>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</si>
  <si>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</si>
  <si>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</si>
  <si>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</si>
  <si>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</si>
  <si>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</si>
  <si>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</si>
  <si>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</si>
  <si>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</si>
  <si>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</si>
  <si>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</si>
  <si>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</si>
  <si>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</si>
  <si>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</si>
  <si>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</si>
  <si>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</si>
  <si>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</si>
  <si>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</si>
  <si>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</si>
  <si>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</si>
  <si>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</si>
  <si>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</si>
  <si>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</si>
  <si>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</si>
  <si>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</si>
  <si>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</si>
  <si>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</si>
  <si>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</si>
  <si>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</si>
  <si>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</si>
  <si>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</si>
  <si>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</si>
  <si>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</si>
  <si>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</si>
  <si>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</si>
  <si>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</si>
  <si>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</si>
  <si>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</si>
  <si>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</si>
  <si>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</si>
  <si>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</si>
  <si>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</si>
  <si>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</si>
  <si>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</si>
  <si>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</si>
  <si>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</si>
  <si>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</si>
  <si>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</si>
  <si>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</si>
  <si>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</si>
  <si>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</si>
  <si>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</si>
  <si>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</si>
  <si>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</si>
  <si>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</si>
  <si>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</si>
  <si>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</si>
  <si>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</si>
  <si>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</si>
  <si>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</si>
  <si>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</si>
  <si>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</si>
  <si>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</si>
  <si>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</si>
  <si>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</si>
  <si>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</si>
  <si>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</si>
  <si>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</si>
  <si>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</si>
  <si>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</si>
  <si>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</si>
  <si>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</si>
  <si>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</si>
  <si>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</si>
  <si>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</si>
  <si>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</si>
  <si>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</si>
  <si>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</si>
  <si>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</si>
  <si>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</si>
  <si>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</si>
  <si>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</si>
  <si>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</si>
  <si>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</si>
  <si>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</si>
  <si>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</si>
  <si>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</si>
  <si>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</si>
  <si>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</si>
  <si>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</si>
  <si>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</si>
  <si>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</si>
  <si>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</si>
  <si>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</si>
  <si>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</si>
  <si>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</si>
  <si>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</si>
  <si>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</si>
  <si>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</si>
  <si>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</si>
  <si>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</si>
  <si>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</si>
  <si>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</si>
  <si>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</si>
  <si>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</si>
  <si>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</si>
  <si>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</si>
  <si>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</si>
  <si>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</si>
  <si>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</si>
  <si>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</si>
  <si>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</si>
  <si>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</si>
  <si>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</si>
  <si>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</si>
  <si>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</si>
  <si>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</si>
  <si>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</si>
  <si>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</si>
  <si>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</si>
  <si>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</si>
  <si>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</si>
  <si>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</si>
  <si>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</si>
  <si>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</si>
  <si>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</si>
  <si>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</si>
  <si>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</si>
  <si>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</si>
  <si>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</si>
  <si>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</si>
  <si>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</si>
  <si>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</si>
  <si>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</si>
  <si>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ONF_F1</t>
  </si>
  <si>
    <t>ONF_CHP_F2</t>
  </si>
  <si>
    <t>ONF_F2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</si>
</sst>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54" applyNumberFormat="0" applyFill="0" applyAlignment="0" applyProtection="0"/>
    <xf numFmtId="0" fontId="34" fillId="0" borderId="55" applyNumberFormat="0" applyFill="0" applyAlignment="0" applyProtection="0"/>
    <xf numFmtId="0" fontId="35" fillId="0" borderId="56" applyNumberFormat="0" applyFill="0" applyAlignment="0" applyProtection="0"/>
    <xf numFmtId="0" fontId="35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22" borderId="0" applyNumberFormat="0" applyBorder="0" applyAlignment="0" applyProtection="0"/>
    <xf numFmtId="0" fontId="38" fillId="24" borderId="57" applyNumberFormat="0" applyAlignment="0" applyProtection="0"/>
    <xf numFmtId="0" fontId="39" fillId="25" borderId="58" applyNumberFormat="0" applyAlignment="0" applyProtection="0"/>
    <xf numFmtId="0" fontId="40" fillId="25" borderId="57" applyNumberFormat="0" applyAlignment="0" applyProtection="0"/>
    <xf numFmtId="0" fontId="41" fillId="0" borderId="59" applyNumberFormat="0" applyFill="0" applyAlignment="0" applyProtection="0"/>
    <xf numFmtId="0" fontId="42" fillId="26" borderId="60" applyNumberFormat="0" applyAlignment="0" applyProtection="0"/>
    <xf numFmtId="0" fontId="43" fillId="0" borderId="0" applyNumberFormat="0" applyFill="0" applyBorder="0" applyAlignment="0" applyProtection="0"/>
    <xf numFmtId="0" fontId="4" fillId="27" borderId="61" applyNumberFormat="0" applyFont="0" applyAlignment="0" applyProtection="0"/>
    <xf numFmtId="0" fontId="44" fillId="0" borderId="0" applyNumberFormat="0" applyFill="0" applyBorder="0" applyAlignment="0" applyProtection="0"/>
    <xf numFmtId="0" fontId="1" fillId="0" borderId="62" applyNumberFormat="0" applyFill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0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0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10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10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10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5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47" borderId="0" applyNumberFormat="0" applyBorder="0" applyAlignment="0" applyProtection="0"/>
    <xf numFmtId="0" fontId="10" fillId="51" borderId="0" applyNumberFormat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6">
    <cellStyle name="20 % - Accent1" xfId="20" builtinId="30" customBuiltin="1"/>
    <cellStyle name="20 % - Accent2" xfId="23" builtinId="34" customBuiltin="1"/>
    <cellStyle name="20 % - Accent3" xfId="26" builtinId="38" customBuiltin="1"/>
    <cellStyle name="20 % - Accent4" xfId="29" builtinId="42" customBuiltin="1"/>
    <cellStyle name="20 % - Accent5" xfId="32" builtinId="46" customBuiltin="1"/>
    <cellStyle name="20 % - Accent6" xfId="35" builtinId="50" customBuiltin="1"/>
    <cellStyle name="40 % - Accent1" xfId="21" builtinId="31" customBuiltin="1"/>
    <cellStyle name="40 % - Accent2" xfId="24" builtinId="35" customBuiltin="1"/>
    <cellStyle name="40 % - Accent3" xfId="27" builtinId="39" customBuiltin="1"/>
    <cellStyle name="40 % - Accent4" xfId="30" builtinId="43" customBuiltin="1"/>
    <cellStyle name="40 % - Accent5" xfId="33" builtinId="47" customBuiltin="1"/>
    <cellStyle name="40 % - Accent6" xfId="36" builtinId="51" customBuiltin="1"/>
    <cellStyle name="60 % - Accent1 2" xfId="38" xr:uid="{DB95338B-827A-4055-872E-466467E4434E}"/>
    <cellStyle name="60 % - Accent2 2" xfId="39" xr:uid="{64586C25-C018-41F1-BC65-4669A2F1F173}"/>
    <cellStyle name="60 % - Accent3 2" xfId="40" xr:uid="{8DDB070E-F739-4087-A9C6-9C0FCEF8F296}"/>
    <cellStyle name="60 % - Accent4 2" xfId="41" xr:uid="{E6FEEB06-A709-4806-8C04-56D468631AAF}"/>
    <cellStyle name="60 % - Accent5 2" xfId="42" xr:uid="{C7446388-2A26-4904-BEC8-A8EF097054C0}"/>
    <cellStyle name="60 % - Accent6 2" xfId="43" xr:uid="{5A469933-4AB8-4254-AF1A-8DA6A9CCF1B8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9" builtinId="27" customBuiltin="1"/>
    <cellStyle name="Lien hypertexte" xfId="2" builtinId="8"/>
    <cellStyle name="Milliers 2" xfId="45" xr:uid="{28A7A05C-F394-42E0-89B2-598C52BE9C49}"/>
    <cellStyle name="Monétaire 2" xfId="44" xr:uid="{946C528E-FC37-4A80-98D3-D26351639015}"/>
    <cellStyle name="Neutre 2" xfId="37" xr:uid="{60C81A70-30B5-4A52-B618-620B1877159F}"/>
    <cellStyle name="Normal" xfId="0" builtinId="0"/>
    <cellStyle name="Note" xfId="16" builtinId="10" customBuiltin="1"/>
    <cellStyle name="Pourcentage" xfId="1" builtinId="5"/>
    <cellStyle name="Satisfaisant" xfId="8" builtinId="26" customBuiltin="1"/>
    <cellStyle name="Sortie" xfId="11" builtinId="21" customBuiltin="1"/>
    <cellStyle name="Texte explicatif" xfId="17" builtinId="53" customBuiltin="1"/>
    <cellStyle name="Titre" xfId="3" builtinId="15" customBuiltin="1"/>
    <cellStyle name="Titre 1" xfId="4" builtinId="16" customBuiltin="1"/>
    <cellStyle name="Titre 2" xfId="5" builtinId="17" customBuiltin="1"/>
    <cellStyle name="Titre 3" xfId="6" builtinId="18" customBuiltin="1"/>
    <cellStyle name="Titre 4" xfId="7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1.9307482970357794</c:v>
                </c:pt>
                <c:pt idx="2">
                  <c:v>2.5650241312893187</c:v>
                </c:pt>
                <c:pt idx="3">
                  <c:v>3.4085353140621399</c:v>
                </c:pt>
                <c:pt idx="4">
                  <c:v>4.5305744036930582</c:v>
                </c:pt>
                <c:pt idx="5">
                  <c:v>6.0234652003999392</c:v>
                </c:pt>
                <c:pt idx="6">
                  <c:v>8.0102435932638425</c:v>
                </c:pt>
                <c:pt idx="7">
                  <c:v>10.654907876495285</c:v>
                </c:pt>
                <c:pt idx="8">
                  <c:v>14.176100528230807</c:v>
                </c:pt>
                <c:pt idx="9">
                  <c:v>18.865373364831939</c:v>
                </c:pt>
                <c:pt idx="10">
                  <c:v>25.111575640076186</c:v>
                </c:pt>
                <c:pt idx="11">
                  <c:v>33.433423069089891</c:v>
                </c:pt>
                <c:pt idx="12">
                  <c:v>44.522999113451135</c:v>
                </c:pt>
                <c:pt idx="13">
                  <c:v>59.303867321778405</c:v>
                </c:pt>
                <c:pt idx="14">
                  <c:v>79.00871427223062</c:v>
                </c:pt>
                <c:pt idx="15">
                  <c:v>105.28310273840164</c:v>
                </c:pt>
                <c:pt idx="16">
                  <c:v>140.32413607030585</c:v>
                </c:pt>
                <c:pt idx="17">
                  <c:v>187.06580756606652</c:v>
                </c:pt>
                <c:pt idx="18">
                  <c:v>249.42678742365061</c:v>
                </c:pt>
                <c:pt idx="19">
                  <c:v>191.71435561191404</c:v>
                </c:pt>
                <c:pt idx="20">
                  <c:v>224.23018993824769</c:v>
                </c:pt>
                <c:pt idx="21">
                  <c:v>256.63780719848455</c:v>
                </c:pt>
                <c:pt idx="22">
                  <c:v>288.95279740649585</c:v>
                </c:pt>
                <c:pt idx="23">
                  <c:v>321.18697175779783</c:v>
                </c:pt>
                <c:pt idx="24">
                  <c:v>353.34957475372011</c:v>
                </c:pt>
                <c:pt idx="25">
                  <c:v>326.38618329230729</c:v>
                </c:pt>
                <c:pt idx="26">
                  <c:v>360.78376547388615</c:v>
                </c:pt>
                <c:pt idx="27">
                  <c:v>395.10963075833143</c:v>
                </c:pt>
                <c:pt idx="28">
                  <c:v>429.37087751195605</c:v>
                </c:pt>
                <c:pt idx="29">
                  <c:v>463.57337938867403</c:v>
                </c:pt>
                <c:pt idx="30">
                  <c:v>497.7220732795152</c:v>
                </c:pt>
                <c:pt idx="31">
                  <c:v>435.665698763894</c:v>
                </c:pt>
                <c:pt idx="32">
                  <c:v>469.68011707511687</c:v>
                </c:pt>
                <c:pt idx="33">
                  <c:v>503.64207868928384</c:v>
                </c:pt>
                <c:pt idx="34">
                  <c:v>537.55561252775135</c:v>
                </c:pt>
                <c:pt idx="35">
                  <c:v>571.42419829743199</c:v>
                </c:pt>
                <c:pt idx="36">
                  <c:v>605.25087012207416</c:v>
                </c:pt>
                <c:pt idx="37">
                  <c:v>537.00390043537186</c:v>
                </c:pt>
                <c:pt idx="38">
                  <c:v>570.20409916416418</c:v>
                </c:pt>
                <c:pt idx="39">
                  <c:v>603.36392721087543</c:v>
                </c:pt>
                <c:pt idx="40">
                  <c:v>636.48591146209958</c:v>
                </c:pt>
                <c:pt idx="41">
                  <c:v>669.57229476120403</c:v>
                </c:pt>
                <c:pt idx="42">
                  <c:v>702.62508057019761</c:v>
                </c:pt>
                <c:pt idx="43">
                  <c:v>627.059883008253</c:v>
                </c:pt>
                <c:pt idx="44">
                  <c:v>658.97898119986326</c:v>
                </c:pt>
                <c:pt idx="45">
                  <c:v>690.86625703156642</c:v>
                </c:pt>
                <c:pt idx="46">
                  <c:v>722.72338330619198</c:v>
                </c:pt>
                <c:pt idx="47">
                  <c:v>754.55187357250304</c:v>
                </c:pt>
                <c:pt idx="48">
                  <c:v>786.35310349540384</c:v>
                </c:pt>
                <c:pt idx="49">
                  <c:v>697.47129632985695</c:v>
                </c:pt>
                <c:pt idx="50">
                  <c:v>727.69721228077367</c:v>
                </c:pt>
                <c:pt idx="51">
                  <c:v>757.89754335066164</c:v>
                </c:pt>
                <c:pt idx="52">
                  <c:v>788.07345070672591</c:v>
                </c:pt>
                <c:pt idx="53">
                  <c:v>818.22599949164021</c:v>
                </c:pt>
                <c:pt idx="54">
                  <c:v>848.35617007931125</c:v>
                </c:pt>
                <c:pt idx="55">
                  <c:v>9.2015960881277352E-12</c:v>
                </c:pt>
                <c:pt idx="56">
                  <c:v>9.2015960881277352E-12</c:v>
                </c:pt>
                <c:pt idx="57">
                  <c:v>9.2015960881277352E-12</c:v>
                </c:pt>
                <c:pt idx="58">
                  <c:v>9.2015960881277352E-12</c:v>
                </c:pt>
                <c:pt idx="59">
                  <c:v>9.2015960881277352E-12</c:v>
                </c:pt>
                <c:pt idx="60">
                  <c:v>9.2015960881277352E-12</c:v>
                </c:pt>
                <c:pt idx="61">
                  <c:v>9.2015960881277352E-12</c:v>
                </c:pt>
                <c:pt idx="62">
                  <c:v>9.2015960881277352E-12</c:v>
                </c:pt>
                <c:pt idx="63">
                  <c:v>9.2015960881277352E-12</c:v>
                </c:pt>
                <c:pt idx="64">
                  <c:v>9.2015960881277352E-12</c:v>
                </c:pt>
                <c:pt idx="65">
                  <c:v>9.2015960881277352E-12</c:v>
                </c:pt>
                <c:pt idx="66">
                  <c:v>9.2015960881277352E-12</c:v>
                </c:pt>
                <c:pt idx="67">
                  <c:v>9.2015960881277352E-12</c:v>
                </c:pt>
                <c:pt idx="68">
                  <c:v>9.2015960881277352E-12</c:v>
                </c:pt>
                <c:pt idx="69">
                  <c:v>9.2015960881277352E-12</c:v>
                </c:pt>
                <c:pt idx="70">
                  <c:v>9.2015960881277352E-12</c:v>
                </c:pt>
                <c:pt idx="71">
                  <c:v>9.2015960881277352E-12</c:v>
                </c:pt>
                <c:pt idx="72">
                  <c:v>9.2015960881277352E-12</c:v>
                </c:pt>
                <c:pt idx="73">
                  <c:v>9.2015960881277352E-12</c:v>
                </c:pt>
                <c:pt idx="74">
                  <c:v>9.2015960881277352E-12</c:v>
                </c:pt>
                <c:pt idx="75">
                  <c:v>9.2015960881277352E-12</c:v>
                </c:pt>
                <c:pt idx="76">
                  <c:v>9.2015960881277352E-12</c:v>
                </c:pt>
                <c:pt idx="77">
                  <c:v>9.2015960881277352E-12</c:v>
                </c:pt>
                <c:pt idx="78">
                  <c:v>9.2015960881277352E-12</c:v>
                </c:pt>
                <c:pt idx="79">
                  <c:v>9.2015960881277352E-12</c:v>
                </c:pt>
                <c:pt idx="80">
                  <c:v>9.2015960881277352E-12</c:v>
                </c:pt>
                <c:pt idx="81">
                  <c:v>9.2015960881277352E-12</c:v>
                </c:pt>
                <c:pt idx="82">
                  <c:v>9.2015960881277352E-12</c:v>
                </c:pt>
                <c:pt idx="83">
                  <c:v>9.2015960881277352E-12</c:v>
                </c:pt>
                <c:pt idx="84">
                  <c:v>9.2015960881277352E-12</c:v>
                </c:pt>
                <c:pt idx="85">
                  <c:v>9.2015960881277352E-12</c:v>
                </c:pt>
                <c:pt idx="86">
                  <c:v>9.2015960881277352E-12</c:v>
                </c:pt>
                <c:pt idx="87">
                  <c:v>9.2015960881277352E-12</c:v>
                </c:pt>
                <c:pt idx="88">
                  <c:v>9.2015960881277352E-12</c:v>
                </c:pt>
                <c:pt idx="89">
                  <c:v>9.2015960881277352E-12</c:v>
                </c:pt>
                <c:pt idx="90">
                  <c:v>9.2015960881277352E-12</c:v>
                </c:pt>
                <c:pt idx="91">
                  <c:v>9.2015960881277352E-12</c:v>
                </c:pt>
                <c:pt idx="92">
                  <c:v>9.2015960881277352E-12</c:v>
                </c:pt>
                <c:pt idx="93">
                  <c:v>9.2015960881277352E-12</c:v>
                </c:pt>
                <c:pt idx="94">
                  <c:v>9.2015960881277352E-12</c:v>
                </c:pt>
                <c:pt idx="95">
                  <c:v>9.2015960881277352E-12</c:v>
                </c:pt>
                <c:pt idx="96">
                  <c:v>9.2015960881277352E-12</c:v>
                </c:pt>
                <c:pt idx="97">
                  <c:v>9.2015960881277352E-12</c:v>
                </c:pt>
                <c:pt idx="98">
                  <c:v>9.2015960881277352E-12</c:v>
                </c:pt>
                <c:pt idx="99">
                  <c:v>9.2015960881277352E-12</c:v>
                </c:pt>
                <c:pt idx="100">
                  <c:v>9.2015960881277352E-12</c:v>
                </c:pt>
                <c:pt idx="101">
                  <c:v>9.2015960881277352E-12</c:v>
                </c:pt>
                <c:pt idx="102">
                  <c:v>9.2015960881277352E-12</c:v>
                </c:pt>
                <c:pt idx="103">
                  <c:v>9.2015960881277352E-12</c:v>
                </c:pt>
                <c:pt idx="104">
                  <c:v>9.2015960881277352E-12</c:v>
                </c:pt>
                <c:pt idx="105">
                  <c:v>9.2015960881277352E-12</c:v>
                </c:pt>
                <c:pt idx="106">
                  <c:v>9.2015960881277352E-12</c:v>
                </c:pt>
                <c:pt idx="107">
                  <c:v>9.2015960881277352E-12</c:v>
                </c:pt>
                <c:pt idx="108">
                  <c:v>9.2015960881277352E-12</c:v>
                </c:pt>
                <c:pt idx="109">
                  <c:v>9.2015960881277352E-12</c:v>
                </c:pt>
                <c:pt idx="110">
                  <c:v>9.2015960881277352E-12</c:v>
                </c:pt>
                <c:pt idx="111">
                  <c:v>9.2015960881277352E-12</c:v>
                </c:pt>
                <c:pt idx="112">
                  <c:v>9.2015960881277352E-12</c:v>
                </c:pt>
                <c:pt idx="113">
                  <c:v>9.2015960881277352E-12</c:v>
                </c:pt>
                <c:pt idx="114">
                  <c:v>9.2015960881277352E-12</c:v>
                </c:pt>
                <c:pt idx="115">
                  <c:v>9.2015960881277352E-12</c:v>
                </c:pt>
                <c:pt idx="116">
                  <c:v>9.2015960881277352E-12</c:v>
                </c:pt>
                <c:pt idx="117">
                  <c:v>9.2015960881277352E-12</c:v>
                </c:pt>
                <c:pt idx="118">
                  <c:v>9.2015960881277352E-12</c:v>
                </c:pt>
                <c:pt idx="119">
                  <c:v>9.2015960881277352E-12</c:v>
                </c:pt>
                <c:pt idx="120">
                  <c:v>9.2015960881277352E-12</c:v>
                </c:pt>
                <c:pt idx="121">
                  <c:v>9.2015960881277352E-12</c:v>
                </c:pt>
                <c:pt idx="122">
                  <c:v>9.2015960881277352E-12</c:v>
                </c:pt>
                <c:pt idx="123">
                  <c:v>9.2015960881277352E-12</c:v>
                </c:pt>
                <c:pt idx="124">
                  <c:v>9.2015960881277352E-12</c:v>
                </c:pt>
                <c:pt idx="125">
                  <c:v>9.2015960881277352E-12</c:v>
                </c:pt>
                <c:pt idx="126">
                  <c:v>9.2015960881277352E-12</c:v>
                </c:pt>
                <c:pt idx="127">
                  <c:v>9.2015960881277352E-12</c:v>
                </c:pt>
                <c:pt idx="128">
                  <c:v>9.2015960881277352E-12</c:v>
                </c:pt>
                <c:pt idx="129">
                  <c:v>9.2015960881277352E-12</c:v>
                </c:pt>
                <c:pt idx="130">
                  <c:v>9.2015960881277352E-12</c:v>
                </c:pt>
                <c:pt idx="131">
                  <c:v>9.2015960881277352E-12</c:v>
                </c:pt>
                <c:pt idx="132">
                  <c:v>9.2015960881277352E-12</c:v>
                </c:pt>
                <c:pt idx="133">
                  <c:v>9.2015960881277352E-12</c:v>
                </c:pt>
                <c:pt idx="134">
                  <c:v>9.2015960881277352E-12</c:v>
                </c:pt>
                <c:pt idx="135">
                  <c:v>9.2015960881277352E-12</c:v>
                </c:pt>
                <c:pt idx="136">
                  <c:v>9.2015960881277352E-12</c:v>
                </c:pt>
                <c:pt idx="137">
                  <c:v>9.2015960881277352E-12</c:v>
                </c:pt>
                <c:pt idx="138">
                  <c:v>9.2015960881277352E-12</c:v>
                </c:pt>
                <c:pt idx="139">
                  <c:v>9.2015960881277352E-12</c:v>
                </c:pt>
                <c:pt idx="140">
                  <c:v>9.2015960881277352E-12</c:v>
                </c:pt>
                <c:pt idx="141">
                  <c:v>9.2015960881277352E-12</c:v>
                </c:pt>
                <c:pt idx="142">
                  <c:v>9.2015960881277352E-12</c:v>
                </c:pt>
                <c:pt idx="143">
                  <c:v>9.2015960881277352E-12</c:v>
                </c:pt>
                <c:pt idx="144">
                  <c:v>9.2015960881277352E-12</c:v>
                </c:pt>
                <c:pt idx="145">
                  <c:v>9.2015960881277352E-12</c:v>
                </c:pt>
                <c:pt idx="146">
                  <c:v>9.2015960881277352E-12</c:v>
                </c:pt>
                <c:pt idx="147">
                  <c:v>9.2015960881277352E-12</c:v>
                </c:pt>
                <c:pt idx="148">
                  <c:v>9.2015960881277352E-12</c:v>
                </c:pt>
                <c:pt idx="149">
                  <c:v>9.2015960881277352E-12</c:v>
                </c:pt>
                <c:pt idx="150">
                  <c:v>9.2015960881277352E-12</c:v>
                </c:pt>
                <c:pt idx="151">
                  <c:v>9.2015960881277352E-12</c:v>
                </c:pt>
                <c:pt idx="152">
                  <c:v>9.2015960881277352E-12</c:v>
                </c:pt>
                <c:pt idx="153">
                  <c:v>9.2015960881277352E-12</c:v>
                </c:pt>
                <c:pt idx="154">
                  <c:v>9.2015960881277352E-12</c:v>
                </c:pt>
                <c:pt idx="155">
                  <c:v>9.2015960881277352E-12</c:v>
                </c:pt>
                <c:pt idx="156">
                  <c:v>9.2015960881277352E-12</c:v>
                </c:pt>
                <c:pt idx="157">
                  <c:v>9.2015960881277352E-12</c:v>
                </c:pt>
                <c:pt idx="158">
                  <c:v>9.2015960881277352E-12</c:v>
                </c:pt>
                <c:pt idx="159">
                  <c:v>9.2015960881277352E-12</c:v>
                </c:pt>
                <c:pt idx="160">
                  <c:v>9.2015960881277352E-12</c:v>
                </c:pt>
                <c:pt idx="161">
                  <c:v>9.2015960881277352E-12</c:v>
                </c:pt>
                <c:pt idx="162">
                  <c:v>9.2015960881277352E-12</c:v>
                </c:pt>
                <c:pt idx="163">
                  <c:v>9.2015960881277352E-12</c:v>
                </c:pt>
                <c:pt idx="164">
                  <c:v>9.2015960881277352E-12</c:v>
                </c:pt>
                <c:pt idx="165">
                  <c:v>9.2015960881277352E-12</c:v>
                </c:pt>
                <c:pt idx="166">
                  <c:v>9.2015960881277352E-12</c:v>
                </c:pt>
                <c:pt idx="167">
                  <c:v>9.2015960881277352E-12</c:v>
                </c:pt>
                <c:pt idx="168">
                  <c:v>9.2015960881277352E-12</c:v>
                </c:pt>
                <c:pt idx="169">
                  <c:v>9.2015960881277352E-12</c:v>
                </c:pt>
                <c:pt idx="170">
                  <c:v>9.2015960881277352E-12</c:v>
                </c:pt>
                <c:pt idx="171">
                  <c:v>9.2015960881277352E-12</c:v>
                </c:pt>
                <c:pt idx="172">
                  <c:v>9.2015960881277352E-12</c:v>
                </c:pt>
                <c:pt idx="173">
                  <c:v>9.2015960881277352E-12</c:v>
                </c:pt>
                <c:pt idx="174">
                  <c:v>9.2015960881277352E-12</c:v>
                </c:pt>
                <c:pt idx="175">
                  <c:v>9.2015960881277352E-12</c:v>
                </c:pt>
                <c:pt idx="176">
                  <c:v>9.2015960881277352E-12</c:v>
                </c:pt>
                <c:pt idx="177">
                  <c:v>9.2015960881277352E-12</c:v>
                </c:pt>
                <c:pt idx="178">
                  <c:v>9.2015960881277352E-12</c:v>
                </c:pt>
                <c:pt idx="179">
                  <c:v>9.2015960881277352E-12</c:v>
                </c:pt>
                <c:pt idx="180">
                  <c:v>9.2015960881277352E-12</c:v>
                </c:pt>
                <c:pt idx="181">
                  <c:v>9.2015960881277352E-12</c:v>
                </c:pt>
                <c:pt idx="182">
                  <c:v>9.2015960881277352E-12</c:v>
                </c:pt>
                <c:pt idx="183">
                  <c:v>9.2015960881277352E-12</c:v>
                </c:pt>
                <c:pt idx="184">
                  <c:v>9.2015960881277352E-12</c:v>
                </c:pt>
                <c:pt idx="185">
                  <c:v>9.2015960881277352E-12</c:v>
                </c:pt>
                <c:pt idx="186">
                  <c:v>9.2015960881277352E-12</c:v>
                </c:pt>
                <c:pt idx="187">
                  <c:v>9.2015960881277352E-12</c:v>
                </c:pt>
                <c:pt idx="188">
                  <c:v>9.2015960881277352E-12</c:v>
                </c:pt>
                <c:pt idx="189">
                  <c:v>9.2015960881277352E-12</c:v>
                </c:pt>
                <c:pt idx="190">
                  <c:v>9.2015960881277352E-12</c:v>
                </c:pt>
                <c:pt idx="191">
                  <c:v>9.2015960881277352E-12</c:v>
                </c:pt>
                <c:pt idx="192">
                  <c:v>9.2015960881277352E-12</c:v>
                </c:pt>
                <c:pt idx="193">
                  <c:v>9.2015960881277352E-12</c:v>
                </c:pt>
                <c:pt idx="194">
                  <c:v>9.2015960881277352E-12</c:v>
                </c:pt>
                <c:pt idx="195">
                  <c:v>9.2015960881277352E-12</c:v>
                </c:pt>
                <c:pt idx="196">
                  <c:v>9.2015960881277352E-12</c:v>
                </c:pt>
                <c:pt idx="197">
                  <c:v>9.2015960881277352E-12</c:v>
                </c:pt>
                <c:pt idx="198">
                  <c:v>9.2015960881277352E-12</c:v>
                </c:pt>
                <c:pt idx="199">
                  <c:v>9.2015960881277352E-12</c:v>
                </c:pt>
                <c:pt idx="200">
                  <c:v>9.2015960881277352E-12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11.35989614757888</c:v>
                </c:pt>
                <c:pt idx="2">
                  <c:v>22.23045125293552</c:v>
                </c:pt>
                <c:pt idx="3">
                  <c:v>32.942973765038111</c:v>
                </c:pt>
                <c:pt idx="4">
                  <c:v>43.55808130964607</c:v>
                </c:pt>
                <c:pt idx="5">
                  <c:v>54.103247781930754</c:v>
                </c:pt>
                <c:pt idx="6">
                  <c:v>64.594145438765054</c:v>
                </c:pt>
                <c:pt idx="7">
                  <c:v>75.040877578178282</c:v>
                </c:pt>
                <c:pt idx="8">
                  <c:v>85.4504815461258</c:v>
                </c:pt>
                <c:pt idx="9">
                  <c:v>95.828129881407051</c:v>
                </c:pt>
                <c:pt idx="10">
                  <c:v>106.17777823694098</c:v>
                </c:pt>
                <c:pt idx="11">
                  <c:v>116.50254535445022</c:v>
                </c:pt>
                <c:pt idx="12">
                  <c:v>126.80495040793225</c:v>
                </c:pt>
                <c:pt idx="13">
                  <c:v>137.08706876672997</c:v>
                </c:pt>
                <c:pt idx="14">
                  <c:v>147.35063837500527</c:v>
                </c:pt>
                <c:pt idx="15">
                  <c:v>157.59713483059525</c:v>
                </c:pt>
                <c:pt idx="16">
                  <c:v>167.82782585410766</c:v>
                </c:pt>
                <c:pt idx="17">
                  <c:v>178.04381174459937</c:v>
                </c:pt>
                <c:pt idx="18">
                  <c:v>188.24605604162687</c:v>
                </c:pt>
                <c:pt idx="19">
                  <c:v>198.43540917816301</c:v>
                </c:pt>
                <c:pt idx="20">
                  <c:v>208.6126270118956</c:v>
                </c:pt>
                <c:pt idx="21">
                  <c:v>218.77838554494224</c:v>
                </c:pt>
                <c:pt idx="22">
                  <c:v>228.93329276036846</c:v>
                </c:pt>
                <c:pt idx="23">
                  <c:v>239.07789824577785</c:v>
                </c:pt>
                <c:pt idx="24">
                  <c:v>249.21270109600837</c:v>
                </c:pt>
                <c:pt idx="25">
                  <c:v>259.3381564615982</c:v>
                </c:pt>
                <c:pt idx="26">
                  <c:v>269.45468102000478</c:v>
                </c:pt>
                <c:pt idx="27">
                  <c:v>279.5626575814216</c:v>
                </c:pt>
                <c:pt idx="28">
                  <c:v>289.66243899307091</c:v>
                </c:pt>
                <c:pt idx="29">
                  <c:v>299.75435147006522</c:v>
                </c:pt>
                <c:pt idx="30">
                  <c:v>309.83869745393423</c:v>
                </c:pt>
                <c:pt idx="31">
                  <c:v>319.91575807930639</c:v>
                </c:pt>
                <c:pt idx="32">
                  <c:v>329.98579531336867</c:v>
                </c:pt>
                <c:pt idx="33">
                  <c:v>340.0490538203818</c:v>
                </c:pt>
                <c:pt idx="34">
                  <c:v>350.10576259384294</c:v>
                </c:pt>
                <c:pt idx="35">
                  <c:v>360.15613639123393</c:v>
                </c:pt>
                <c:pt idx="36">
                  <c:v>370.20037700018889</c:v>
                </c:pt>
                <c:pt idx="37">
                  <c:v>380.23867436002274</c:v>
                </c:pt>
                <c:pt idx="38">
                  <c:v>390.27120755860159</c:v>
                </c:pt>
                <c:pt idx="39">
                  <c:v>400.29814572133051</c:v>
                </c:pt>
                <c:pt idx="40">
                  <c:v>410.31964880639424</c:v>
                </c:pt>
                <c:pt idx="41">
                  <c:v>420.33586831823754</c:v>
                </c:pt>
                <c:pt idx="42">
                  <c:v>430.34694794947745</c:v>
                </c:pt>
                <c:pt idx="43">
                  <c:v>263.5394784202951</c:v>
                </c:pt>
                <c:pt idx="44">
                  <c:v>281.90732760744601</c:v>
                </c:pt>
                <c:pt idx="45">
                  <c:v>300.24836480864741</c:v>
                </c:pt>
                <c:pt idx="46">
                  <c:v>318.56445791377519</c:v>
                </c:pt>
                <c:pt idx="47">
                  <c:v>336.85724248681674</c:v>
                </c:pt>
                <c:pt idx="48">
                  <c:v>355.12816197345882</c:v>
                </c:pt>
                <c:pt idx="49">
                  <c:v>373.37849919705474</c:v>
                </c:pt>
                <c:pt idx="50">
                  <c:v>289.28984220533027</c:v>
                </c:pt>
                <c:pt idx="51">
                  <c:v>306.46137391081254</c:v>
                </c:pt>
                <c:pt idx="52">
                  <c:v>323.61152804265106</c:v>
                </c:pt>
                <c:pt idx="53">
                  <c:v>340.741596746227</c:v>
                </c:pt>
                <c:pt idx="54">
                  <c:v>357.85273165179723</c:v>
                </c:pt>
                <c:pt idx="55">
                  <c:v>374.94596528328856</c:v>
                </c:pt>
                <c:pt idx="56">
                  <c:v>392.02222835802257</c:v>
                </c:pt>
                <c:pt idx="57">
                  <c:v>328.699728911286</c:v>
                </c:pt>
                <c:pt idx="58">
                  <c:v>345.46720066124152</c:v>
                </c:pt>
                <c:pt idx="59">
                  <c:v>362.21680424381128</c:v>
                </c:pt>
                <c:pt idx="60">
                  <c:v>378.94948201976348</c:v>
                </c:pt>
                <c:pt idx="61">
                  <c:v>395.66608635360149</c:v>
                </c:pt>
                <c:pt idx="62">
                  <c:v>412.36739172641319</c:v>
                </c:pt>
                <c:pt idx="63">
                  <c:v>429.05410478388143</c:v>
                </c:pt>
                <c:pt idx="64">
                  <c:v>365.63345487966359</c:v>
                </c:pt>
                <c:pt idx="65">
                  <c:v>381.83044642297142</c:v>
                </c:pt>
                <c:pt idx="66">
                  <c:v>398.01250200380923</c:v>
                </c:pt>
                <c:pt idx="67">
                  <c:v>414.18031421081827</c:v>
                </c:pt>
                <c:pt idx="68">
                  <c:v>430.3345171631002</c:v>
                </c:pt>
                <c:pt idx="69">
                  <c:v>446.4756935014309</c:v>
                </c:pt>
                <c:pt idx="70">
                  <c:v>462.60438031586597</c:v>
                </c:pt>
                <c:pt idx="71">
                  <c:v>478.72107420373089</c:v>
                </c:pt>
                <c:pt idx="72">
                  <c:v>402.7684577255975</c:v>
                </c:pt>
                <c:pt idx="73">
                  <c:v>417.98689521266306</c:v>
                </c:pt>
                <c:pt idx="74">
                  <c:v>433.19339529942613</c:v>
                </c:pt>
                <c:pt idx="75">
                  <c:v>448.3884359387182</c:v>
                </c:pt>
                <c:pt idx="76">
                  <c:v>463.57246005520909</c:v>
                </c:pt>
                <c:pt idx="77">
                  <c:v>478.74587919964659</c:v>
                </c:pt>
                <c:pt idx="78">
                  <c:v>493.90907671577861</c:v>
                </c:pt>
                <c:pt idx="79">
                  <c:v>509.06241049820682</c:v>
                </c:pt>
                <c:pt idx="80">
                  <c:v>435.02037889077127</c:v>
                </c:pt>
                <c:pt idx="81">
                  <c:v>449.33232234112376</c:v>
                </c:pt>
                <c:pt idx="82">
                  <c:v>463.63451497677562</c:v>
                </c:pt>
                <c:pt idx="83">
                  <c:v>477.9272998945778</c:v>
                </c:pt>
                <c:pt idx="84">
                  <c:v>492.21099800137625</c:v>
                </c:pt>
                <c:pt idx="85">
                  <c:v>506.48591006489278</c:v>
                </c:pt>
                <c:pt idx="86">
                  <c:v>520.75231852141258</c:v>
                </c:pt>
                <c:pt idx="87">
                  <c:v>535.01048907512302</c:v>
                </c:pt>
                <c:pt idx="88">
                  <c:v>459.30265445845407</c:v>
                </c:pt>
                <c:pt idx="89">
                  <c:v>472.54377533588359</c:v>
                </c:pt>
                <c:pt idx="90">
                  <c:v>485.77699948315609</c:v>
                </c:pt>
                <c:pt idx="91">
                  <c:v>499.00257229084878</c:v>
                </c:pt>
                <c:pt idx="92">
                  <c:v>512.22072508346139</c:v>
                </c:pt>
                <c:pt idx="93">
                  <c:v>525.43167627548826</c:v>
                </c:pt>
                <c:pt idx="94">
                  <c:v>538.63563240519795</c:v>
                </c:pt>
                <c:pt idx="95">
                  <c:v>551.83278906179669</c:v>
                </c:pt>
                <c:pt idx="96">
                  <c:v>289.62231370026609</c:v>
                </c:pt>
                <c:pt idx="97">
                  <c:v>298.50706598822677</c:v>
                </c:pt>
                <c:pt idx="98">
                  <c:v>307.38592651159581</c:v>
                </c:pt>
                <c:pt idx="99">
                  <c:v>316.25908958791655</c:v>
                </c:pt>
                <c:pt idx="100">
                  <c:v>325.12673773238419</c:v>
                </c:pt>
                <c:pt idx="101">
                  <c:v>333.98904268407648</c:v>
                </c:pt>
                <c:pt idx="102">
                  <c:v>342.84616631750646</c:v>
                </c:pt>
                <c:pt idx="103">
                  <c:v>351.69826145500332</c:v>
                </c:pt>
                <c:pt idx="104">
                  <c:v>360.54547259299039</c:v>
                </c:pt>
                <c:pt idx="105">
                  <c:v>369.38793655321797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9.2796949888734925</c:v>
                </c:pt>
                <c:pt idx="2">
                  <c:v>18.152592995133819</c:v>
                </c:pt>
                <c:pt idx="3">
                  <c:v>26.894115995941231</c:v>
                </c:pt>
                <c:pt idx="4">
                  <c:v>35.554656386628288</c:v>
                </c:pt>
                <c:pt idx="5">
                  <c:v>44.157053652731655</c:v>
                </c:pt>
                <c:pt idx="6">
                  <c:v>52.714336390376609</c:v>
                </c:pt>
                <c:pt idx="7">
                  <c:v>61.234903631727072</c:v>
                </c:pt>
                <c:pt idx="8">
                  <c:v>69.724605634278845</c:v>
                </c:pt>
                <c:pt idx="9">
                  <c:v>78.187742411712591</c:v>
                </c:pt>
                <c:pt idx="10">
                  <c:v>86.627602361143673</c:v>
                </c:pt>
                <c:pt idx="11">
                  <c:v>95.046778142113908</c:v>
                </c:pt>
                <c:pt idx="12">
                  <c:v>103.44736398398986</c:v>
                </c:pt>
                <c:pt idx="13">
                  <c:v>111.83108517427776</c:v>
                </c:pt>
                <c:pt idx="14">
                  <c:v>120.19938649357049</c:v>
                </c:pt>
                <c:pt idx="15">
                  <c:v>128.55349462979279</c:v>
                </c:pt>
                <c:pt idx="16">
                  <c:v>136.89446345922644</c:v>
                </c:pt>
                <c:pt idx="17">
                  <c:v>145.22320767795802</c:v>
                </c:pt>
                <c:pt idx="18">
                  <c:v>153.54052829172861</c:v>
                </c:pt>
                <c:pt idx="19">
                  <c:v>161.84713227897933</c:v>
                </c:pt>
                <c:pt idx="20">
                  <c:v>170.14364799621472</c:v>
                </c:pt>
                <c:pt idx="21">
                  <c:v>178.43063741473475</c:v>
                </c:pt>
                <c:pt idx="22">
                  <c:v>186.70860596052083</c:v>
                </c:pt>
                <c:pt idx="23">
                  <c:v>194.97801051447934</c:v>
                </c:pt>
                <c:pt idx="24">
                  <c:v>203.23926598207791</c:v>
                </c:pt>
                <c:pt idx="25">
                  <c:v>211.49275073719028</c:v>
                </c:pt>
                <c:pt idx="26">
                  <c:v>219.73881117040659</c:v>
                </c:pt>
                <c:pt idx="27">
                  <c:v>227.97776551792242</c:v>
                </c:pt>
                <c:pt idx="28">
                  <c:v>236.20990710723905</c:v>
                </c:pt>
                <c:pt idx="29">
                  <c:v>244.43550712616263</c:v>
                </c:pt>
                <c:pt idx="30">
                  <c:v>252.65481699914142</c:v>
                </c:pt>
                <c:pt idx="31">
                  <c:v>260.86807043785836</c:v>
                </c:pt>
                <c:pt idx="32">
                  <c:v>269.07548521979805</c:v>
                </c:pt>
                <c:pt idx="33">
                  <c:v>277.27726473824754</c:v>
                </c:pt>
                <c:pt idx="34">
                  <c:v>285.47359935913892</c:v>
                </c:pt>
                <c:pt idx="35">
                  <c:v>293.66466761377859</c:v>
                </c:pt>
                <c:pt idx="36">
                  <c:v>301.85063725143294</c:v>
                </c:pt>
                <c:pt idx="37">
                  <c:v>310.03166617167159</c:v>
                </c:pt>
                <c:pt idx="38">
                  <c:v>318.20790325308349</c:v>
                </c:pt>
                <c:pt idx="39">
                  <c:v>191.8189390833858</c:v>
                </c:pt>
                <c:pt idx="40">
                  <c:v>212.03180087762371</c:v>
                </c:pt>
                <c:pt idx="41">
                  <c:v>232.20024957289976</c:v>
                </c:pt>
                <c:pt idx="42">
                  <c:v>252.32868533174496</c:v>
                </c:pt>
                <c:pt idx="43">
                  <c:v>272.42074846002316</c:v>
                </c:pt>
                <c:pt idx="44">
                  <c:v>292.47949820902659</c:v>
                </c:pt>
                <c:pt idx="45">
                  <c:v>312.50753986462513</c:v>
                </c:pt>
                <c:pt idx="46">
                  <c:v>247.79722964576629</c:v>
                </c:pt>
                <c:pt idx="47">
                  <c:v>268.24747293469778</c:v>
                </c:pt>
                <c:pt idx="48">
                  <c:v>288.66261336933076</c:v>
                </c:pt>
                <c:pt idx="49">
                  <c:v>309.0454818657372</c:v>
                </c:pt>
                <c:pt idx="50">
                  <c:v>329.39850540837142</c:v>
                </c:pt>
                <c:pt idx="51">
                  <c:v>349.72378660751502</c:v>
                </c:pt>
                <c:pt idx="52">
                  <c:v>370.0231637787702</c:v>
                </c:pt>
                <c:pt idx="53">
                  <c:v>299.84790514587326</c:v>
                </c:pt>
                <c:pt idx="54">
                  <c:v>319.98153242379072</c:v>
                </c:pt>
                <c:pt idx="55">
                  <c:v>340.08713258759309</c:v>
                </c:pt>
                <c:pt idx="56">
                  <c:v>360.16659487104789</c:v>
                </c:pt>
                <c:pt idx="57">
                  <c:v>380.22158071994119</c:v>
                </c:pt>
                <c:pt idx="58">
                  <c:v>400.25356207160263</c:v>
                </c:pt>
                <c:pt idx="59">
                  <c:v>420.26385156885175</c:v>
                </c:pt>
                <c:pt idx="60">
                  <c:v>355.30862534127249</c:v>
                </c:pt>
                <c:pt idx="61">
                  <c:v>375.09415467865216</c:v>
                </c:pt>
                <c:pt idx="62">
                  <c:v>394.85695675313792</c:v>
                </c:pt>
                <c:pt idx="63">
                  <c:v>414.59832848731236</c:v>
                </c:pt>
                <c:pt idx="64">
                  <c:v>434.31943327649213</c:v>
                </c:pt>
                <c:pt idx="65">
                  <c:v>454.02132029945096</c:v>
                </c:pt>
                <c:pt idx="66">
                  <c:v>473.70494030279406</c:v>
                </c:pt>
                <c:pt idx="67">
                  <c:v>493.37115862558875</c:v>
                </c:pt>
                <c:pt idx="68">
                  <c:v>426.86312436219913</c:v>
                </c:pt>
                <c:pt idx="69">
                  <c:v>446.39537104635014</c:v>
                </c:pt>
                <c:pt idx="70">
                  <c:v>465.90932630899107</c:v>
                </c:pt>
                <c:pt idx="71">
                  <c:v>485.40586356982561</c:v>
                </c:pt>
                <c:pt idx="72">
                  <c:v>504.88578040792589</c:v>
                </c:pt>
                <c:pt idx="73">
                  <c:v>524.3498078788117</c:v>
                </c:pt>
                <c:pt idx="74">
                  <c:v>543.7986183766435</c:v>
                </c:pt>
                <c:pt idx="75">
                  <c:v>563.23283231364201</c:v>
                </c:pt>
                <c:pt idx="76">
                  <c:v>494.73204257517233</c:v>
                </c:pt>
                <c:pt idx="77">
                  <c:v>513.82655981247979</c:v>
                </c:pt>
                <c:pt idx="78">
                  <c:v>532.90610205450537</c:v>
                </c:pt>
                <c:pt idx="79">
                  <c:v>551.97128052407265</c:v>
                </c:pt>
                <c:pt idx="80">
                  <c:v>571.02266080874949</c:v>
                </c:pt>
                <c:pt idx="81">
                  <c:v>590.06076770791594</c:v>
                </c:pt>
                <c:pt idx="82">
                  <c:v>609.08608942211106</c:v>
                </c:pt>
                <c:pt idx="83">
                  <c:v>628.09908119206762</c:v>
                </c:pt>
                <c:pt idx="84">
                  <c:v>546.2984674568844</c:v>
                </c:pt>
                <c:pt idx="85">
                  <c:v>564.96186509424831</c:v>
                </c:pt>
                <c:pt idx="86">
                  <c:v>583.61237398950641</c:v>
                </c:pt>
                <c:pt idx="87">
                  <c:v>602.25046369385495</c:v>
                </c:pt>
                <c:pt idx="88">
                  <c:v>620.87657234938831</c:v>
                </c:pt>
                <c:pt idx="89">
                  <c:v>639.49110968849266</c:v>
                </c:pt>
                <c:pt idx="90">
                  <c:v>658.09445966610394</c:v>
                </c:pt>
                <c:pt idx="91">
                  <c:v>676.6869827790764</c:v>
                </c:pt>
                <c:pt idx="92">
                  <c:v>695.2690181176016</c:v>
                </c:pt>
                <c:pt idx="93">
                  <c:v>713.84088518610486</c:v>
                </c:pt>
                <c:pt idx="94">
                  <c:v>596.58802062611369</c:v>
                </c:pt>
                <c:pt idx="95">
                  <c:v>614.65579543478555</c:v>
                </c:pt>
                <c:pt idx="96">
                  <c:v>632.71256086160963</c:v>
                </c:pt>
                <c:pt idx="97">
                  <c:v>650.758675084218</c:v>
                </c:pt>
                <c:pt idx="98">
                  <c:v>668.79447481225361</c:v>
                </c:pt>
                <c:pt idx="99">
                  <c:v>686.82027713010518</c:v>
                </c:pt>
                <c:pt idx="100">
                  <c:v>704.83638113629274</c:v>
                </c:pt>
                <c:pt idx="101">
                  <c:v>722.84306940666431</c:v>
                </c:pt>
                <c:pt idx="102">
                  <c:v>740.84060930435089</c:v>
                </c:pt>
                <c:pt idx="103">
                  <c:v>758.82925415592501</c:v>
                </c:pt>
                <c:pt idx="104">
                  <c:v>640.65414296292715</c:v>
                </c:pt>
                <c:pt idx="105">
                  <c:v>658.21470434273022</c:v>
                </c:pt>
                <c:pt idx="106">
                  <c:v>675.76562040438864</c:v>
                </c:pt>
                <c:pt idx="107">
                  <c:v>693.30717672069022</c:v>
                </c:pt>
                <c:pt idx="108">
                  <c:v>710.83964324831015</c:v>
                </c:pt>
                <c:pt idx="109">
                  <c:v>728.36327555369519</c:v>
                </c:pt>
                <c:pt idx="110">
                  <c:v>745.87831591494262</c:v>
                </c:pt>
                <c:pt idx="111">
                  <c:v>763.38499431490118</c:v>
                </c:pt>
                <c:pt idx="112">
                  <c:v>780.88352933851945</c:v>
                </c:pt>
                <c:pt idx="113">
                  <c:v>798.3741289856647</c:v>
                </c:pt>
                <c:pt idx="114">
                  <c:v>678.40946074507644</c:v>
                </c:pt>
                <c:pt idx="115">
                  <c:v>695.82952338996472</c:v>
                </c:pt>
                <c:pt idx="116">
                  <c:v>713.24065745825567</c:v>
                </c:pt>
                <c:pt idx="117">
                  <c:v>730.64311140880557</c:v>
                </c:pt>
                <c:pt idx="118">
                  <c:v>748.03712091100203</c:v>
                </c:pt>
                <c:pt idx="119">
                  <c:v>765.4229097912372</c:v>
                </c:pt>
                <c:pt idx="120">
                  <c:v>782.80069088899938</c:v>
                </c:pt>
                <c:pt idx="121">
                  <c:v>800.17066683307155</c:v>
                </c:pt>
                <c:pt idx="122">
                  <c:v>817.53303074689381</c:v>
                </c:pt>
                <c:pt idx="123">
                  <c:v>834.88796689095864</c:v>
                </c:pt>
                <c:pt idx="124">
                  <c:v>435.73455622010982</c:v>
                </c:pt>
                <c:pt idx="125">
                  <c:v>445.53664668300149</c:v>
                </c:pt>
                <c:pt idx="126">
                  <c:v>309.14731934721857</c:v>
                </c:pt>
                <c:pt idx="127">
                  <c:v>315.96874700843017</c:v>
                </c:pt>
                <c:pt idx="128">
                  <c:v>226.9667155146698</c:v>
                </c:pt>
                <c:pt idx="129">
                  <c:v>231.95620861752386</c:v>
                </c:pt>
                <c:pt idx="130">
                  <c:v>236.94324978706854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70" zoomScaleNormal="70" workbookViewId="0">
      <selection activeCell="G26" sqref="G2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8.0399999999999991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0.4116915422885572</v>
      </c>
      <c r="D9" s="33">
        <f t="shared" ref="D9:D18" si="0">C9*$C$5</f>
        <v>3.3099999999999996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0.47064676616915424</v>
      </c>
      <c r="D10" s="33">
        <f t="shared" si="0"/>
        <v>3.7839999999999998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6</v>
      </c>
      <c r="C11" s="32">
        <v>0.11766169154228856</v>
      </c>
      <c r="D11" s="33">
        <f t="shared" si="0"/>
        <v>0.94599999999999995</v>
      </c>
      <c r="E11" s="34">
        <v>130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8.0399999999999991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18</v>
      </c>
      <c r="B36" s="60">
        <v>202.4</v>
      </c>
      <c r="C36" s="60">
        <v>1</v>
      </c>
      <c r="D36" s="60">
        <v>74.8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11.244444444444445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24</v>
      </c>
      <c r="B37" s="60">
        <v>289.2</v>
      </c>
      <c r="C37" s="60">
        <v>2</v>
      </c>
      <c r="D37" s="60">
        <v>51.4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26.933333333333326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30</v>
      </c>
      <c r="B38" s="60">
        <v>410.7</v>
      </c>
      <c r="C38" s="60">
        <v>3</v>
      </c>
      <c r="D38" s="60">
        <v>81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28.816666666666666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36</v>
      </c>
      <c r="B39" s="60">
        <v>501.7</v>
      </c>
      <c r="C39" s="60">
        <v>4</v>
      </c>
      <c r="D39" s="60">
        <v>85.9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28.666666666666668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42</v>
      </c>
      <c r="B40" s="60">
        <v>584.4</v>
      </c>
      <c r="C40" s="60">
        <v>5</v>
      </c>
      <c r="D40" s="60">
        <v>91.3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28.100000000000005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48</v>
      </c>
      <c r="B41" s="60">
        <v>655.7</v>
      </c>
      <c r="C41" s="60">
        <v>6</v>
      </c>
      <c r="D41" s="60">
        <v>101.4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27.100000000000012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54</v>
      </c>
      <c r="B42" s="60">
        <v>708.6</v>
      </c>
      <c r="C42" s="60">
        <v>7</v>
      </c>
      <c r="D42" s="60">
        <v>708.6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25.716666666666658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42</v>
      </c>
      <c r="B62" s="60">
        <v>422.7</v>
      </c>
      <c r="C62" s="60">
        <v>1</v>
      </c>
      <c r="D62" s="60">
        <v>185.2</v>
      </c>
      <c r="E62" s="51">
        <v>0.6</v>
      </c>
      <c r="F62" s="51">
        <v>0.2</v>
      </c>
      <c r="G62" s="51">
        <v>0.2</v>
      </c>
      <c r="H62" s="51">
        <v>0</v>
      </c>
      <c r="I62" s="53">
        <f>IFERROR(B62/A62,"")</f>
        <v>10.064285714285713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49</v>
      </c>
      <c r="B63" s="60">
        <v>365.5</v>
      </c>
      <c r="C63" s="60">
        <v>2</v>
      </c>
      <c r="D63" s="60">
        <v>101.2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18.285714285714285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56</v>
      </c>
      <c r="B64" s="60">
        <v>384.2</v>
      </c>
      <c r="C64" s="60">
        <v>3</v>
      </c>
      <c r="D64" s="60">
        <v>80.2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17.128571428571426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63</v>
      </c>
      <c r="B65" s="60">
        <v>421.4</v>
      </c>
      <c r="C65" s="60">
        <v>4</v>
      </c>
      <c r="D65" s="60">
        <v>79.900000000000006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16.771428571428569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71</v>
      </c>
      <c r="B66" s="60">
        <v>471.4</v>
      </c>
      <c r="C66" s="60">
        <v>5</v>
      </c>
      <c r="D66" s="60">
        <v>91.7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16.237499999999997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79</v>
      </c>
      <c r="B67" s="60">
        <v>502</v>
      </c>
      <c r="C67" s="60">
        <v>6</v>
      </c>
      <c r="D67" s="60">
        <v>89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15.287500000000001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87</v>
      </c>
      <c r="B68" s="60">
        <v>528.20000000000005</v>
      </c>
      <c r="C68" s="60">
        <v>7</v>
      </c>
      <c r="D68" s="60">
        <v>89.7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14.400000000000006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95</v>
      </c>
      <c r="B69" s="50">
        <v>545.20000000000005</v>
      </c>
      <c r="C69" s="50">
        <v>8</v>
      </c>
      <c r="D69" s="50">
        <v>272.3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13.337499999999999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105</v>
      </c>
      <c r="B70" s="50">
        <v>361.5</v>
      </c>
      <c r="C70" s="50">
        <v>9</v>
      </c>
      <c r="D70" s="50">
        <v>361.5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8.8599999999999959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38</v>
      </c>
      <c r="B88" s="60">
        <v>152.6</v>
      </c>
      <c r="C88" s="60">
        <v>1</v>
      </c>
      <c r="D88" s="60">
        <v>71.599999999999994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4.0157894736842108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45</v>
      </c>
      <c r="B89" s="60">
        <v>149.80000000000001</v>
      </c>
      <c r="C89" s="60">
        <v>2</v>
      </c>
      <c r="D89" s="60">
        <v>41.7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9.828571428571431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52</v>
      </c>
      <c r="B90" s="60">
        <v>178.1</v>
      </c>
      <c r="C90" s="60">
        <v>3</v>
      </c>
      <c r="D90" s="60">
        <v>44.4</v>
      </c>
      <c r="E90" s="87">
        <v>0.25</v>
      </c>
      <c r="F90" s="87">
        <v>0.25</v>
      </c>
      <c r="G90" s="87">
        <v>0.25</v>
      </c>
      <c r="H90" s="87">
        <v>0.25</v>
      </c>
      <c r="I90" s="53">
        <f t="shared" si="3"/>
        <v>9.9999999999999982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59</v>
      </c>
      <c r="B91" s="60">
        <v>202.9</v>
      </c>
      <c r="C91" s="60">
        <v>4</v>
      </c>
      <c r="D91" s="60">
        <v>41.8</v>
      </c>
      <c r="E91" s="87">
        <v>0.25</v>
      </c>
      <c r="F91" s="87">
        <v>0.25</v>
      </c>
      <c r="G91" s="87">
        <v>0.25</v>
      </c>
      <c r="H91" s="87">
        <v>0.25</v>
      </c>
      <c r="I91" s="53">
        <f t="shared" si="3"/>
        <v>9.8857142857142879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67</v>
      </c>
      <c r="B92" s="60">
        <v>239.1</v>
      </c>
      <c r="C92" s="60">
        <v>5</v>
      </c>
      <c r="D92" s="60">
        <v>42.6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9.7499999999999964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75</v>
      </c>
      <c r="B93" s="60">
        <v>273.8</v>
      </c>
      <c r="C93" s="60">
        <v>6</v>
      </c>
      <c r="D93" s="60">
        <v>43.5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9.6625000000000014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83</v>
      </c>
      <c r="B94" s="60">
        <v>306.10000000000002</v>
      </c>
      <c r="C94" s="60">
        <v>7</v>
      </c>
      <c r="D94" s="60">
        <v>50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9.4750000000000014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93</v>
      </c>
      <c r="B95" s="60">
        <v>348.9</v>
      </c>
      <c r="C95" s="60">
        <v>8</v>
      </c>
      <c r="D95" s="60">
        <v>67.5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9.2799999999999958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103</v>
      </c>
      <c r="B96" s="60">
        <v>371.4</v>
      </c>
      <c r="C96" s="60">
        <v>9</v>
      </c>
      <c r="D96" s="60">
        <v>67.8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113</v>
      </c>
      <c r="B97" s="60">
        <v>391.2</v>
      </c>
      <c r="C97" s="60">
        <v>10</v>
      </c>
      <c r="D97" s="60">
        <v>68.7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8.7600000000000016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123</v>
      </c>
      <c r="B98" s="60">
        <v>409.5</v>
      </c>
      <c r="C98" s="60">
        <v>11</v>
      </c>
      <c r="D98" s="60">
        <v>203.8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8.6999999999999993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125</v>
      </c>
      <c r="B99" s="60">
        <v>215.4</v>
      </c>
      <c r="C99" s="60">
        <v>12</v>
      </c>
      <c r="D99" s="60">
        <v>70.599999999999994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4.8500000000000085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127</v>
      </c>
      <c r="B100" s="60">
        <v>151.5</v>
      </c>
      <c r="C100" s="60">
        <v>13</v>
      </c>
      <c r="D100" s="60">
        <v>46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3.3499999999999943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130</v>
      </c>
      <c r="B101" s="60">
        <v>112.8</v>
      </c>
      <c r="C101" s="60">
        <v>14</v>
      </c>
      <c r="D101" s="60">
        <v>112.8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2.4333333333333322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18" sqref="B18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Cèdre de l'Atlas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Charme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418.8940806978344</v>
      </c>
      <c r="T3" s="59">
        <f>IF('Données projet'!E9&gt;30,$R$33-$H$33,LOOKUP('Données projet'!$E$9,$A$3:$A$203,R3:R203)-LOOKUP('Données projet'!$E$9,$A$3:$A$203,$H$3:$H$203))</f>
        <v>553.49616487922378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391.61151255507264</v>
      </c>
      <c r="AO3" s="59">
        <f>IF('Données projet'!E10&gt;30,$AM$33-$H$33,LOOKUP('Données projet'!$E$10,$A$3:$A$203,AM3:AM203)-LOOKUP('Données projet'!$E$10,$A$3:$A$203,$H$3:$H$203))</f>
        <v>365.61278905364281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486.36809102684492</v>
      </c>
      <c r="BJ3" s="59">
        <f>IF('Données projet'!E11&gt;30,$BH$33-$H$33,LOOKUP('Données projet'!$E$11,$A$3:$A$203,BH3:BH203)-LOOKUP('Données projet'!$E$11,$A$3:$A$203,$H$3:$H$203))</f>
        <v>308.42890859885006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11.244444444444445</v>
      </c>
      <c r="N4" s="13">
        <f>IF('Données projet'!$A$36&gt;35,N3+M4-V3,IF(A4&lt;'Données projet'!$A$36,$K$205^A4,IF(A4='Données projet'!$A$36,'Données projet'!$B$36,N3+M4-V3)))</f>
        <v>1.3431447102017802</v>
      </c>
      <c r="O4" s="13">
        <f>N4*VLOOKUP('Données projet'!$B$9,Paramètres!$A$1:$I$89,3,0)*VLOOKUP('Données projet'!$B$9,Paramètres!$A$1:$I$89,5,0)</f>
        <v>0.75081789300279511</v>
      </c>
      <c r="P4" s="13">
        <f>EXP(-1.0587+0.8836*LN(O4)+0.284)</f>
        <v>0.35774572252014047</v>
      </c>
      <c r="Q4" s="20">
        <f t="shared" ref="Q4:Q34" si="2">(O4+P4)*0.475*44/12</f>
        <v>1.9307482970357794</v>
      </c>
      <c r="R4" s="59">
        <f t="shared" si="0"/>
        <v>169.74318224995963</v>
      </c>
      <c r="S4" s="59">
        <f ca="1">AVERAGE(OFFSET($R$3,0,0,'Données projet'!$E$9+1,1))-AVERAGE(OFFSET($H$3,0,0,'Données projet'!$E$9+1,1))</f>
        <v>418.8940806978344</v>
      </c>
      <c r="T4" s="59">
        <f>$T$3</f>
        <v>553.49616487922378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10.064285714285713</v>
      </c>
      <c r="AI4" s="13">
        <f>IF('Données projet'!$A$62&gt;35,AI3+AH4-AQ3,IF(A4&lt;'Données projet'!$A$62,$AF$205^A4,IF(A4='Données projet'!$A$62,'Données projet'!$B$62,AI3+AH4-AQ3)))</f>
        <v>10.064285714285713</v>
      </c>
      <c r="AJ4" s="13">
        <f>AI4*VLOOKUP('Données projet'!$B$10,Paramètres!$A$1:$I$89,3,0)*VLOOKUP('Données projet'!$B$10,Paramètres!$A$1:$I$89,5,0)</f>
        <v>4.7100857142857135</v>
      </c>
      <c r="AK4" s="13">
        <f>EXP(-1.0587+0.8836*LN(AJ4)+0.284)</f>
        <v>1.8123426958074231</v>
      </c>
      <c r="AL4" s="20">
        <f t="shared" ref="AL4:AL67" si="4">(AJ4+AK4)*0.475*44/12</f>
        <v>11.35989614757888</v>
      </c>
      <c r="AM4" s="59">
        <f t="shared" ref="AM4:AM67" si="5">AL4+(AD4+AE4)*44/12</f>
        <v>179.17233010050273</v>
      </c>
      <c r="AN4" s="59">
        <f ca="1">AVERAGE(OFFSET($AM$3,0,0,'Données projet'!$E$10+1,1))-AVERAGE(OFFSET($H$3,0,0,'Données projet'!$E$10+1,1))</f>
        <v>391.61151255507264</v>
      </c>
      <c r="AO4" s="59">
        <f>$AO$3</f>
        <v>365.61278905364281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4.0157894736842108</v>
      </c>
      <c r="BD4" s="12">
        <f>IF('Données projet'!$A$88&gt;35,BD3+BC4-BL3,IF(A4&lt;'Données projet'!$A$88,$BA$205^A4,IF(A4='Données projet'!$A$88,'Données projet'!$B$88,BD3+BC4-BL3)))</f>
        <v>4.0157894736842108</v>
      </c>
      <c r="BE4" s="13">
        <f>BD4*VLOOKUP('Données projet'!$B$11,Paramètres!$A$1:$I$89,3,0)*VLOOKUP('Données projet'!$B$11,Paramètres!$A$1:$I$89,5,0)</f>
        <v>3.8214252631578947</v>
      </c>
      <c r="BF4" s="13">
        <f>EXP(-1.0587+0.8836*LN(BE4)+0.284)</f>
        <v>1.5066292759082249</v>
      </c>
      <c r="BG4" s="20">
        <f t="shared" ref="BG4:BG67" si="7">(BE4+BF4)*0.475*44/12</f>
        <v>9.2796949888734925</v>
      </c>
      <c r="BH4" s="59">
        <f t="shared" ref="BH4:BH67" si="8">BG4+(AY4+AZ4)*44/12</f>
        <v>177.09212894179734</v>
      </c>
      <c r="BI4" s="59">
        <f ca="1">AVERAGE(OFFSET($BH$3,0,0,'Données projet'!$E$11+1,1))-AVERAGE(OFFSET($H$3,0,0,'Données projet'!$E$11+1,1))</f>
        <v>486.36809102684492</v>
      </c>
      <c r="BJ4" s="59">
        <f>$BJ$3</f>
        <v>308.42890859885006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11.244444444444445</v>
      </c>
      <c r="N5" s="13">
        <f>IF('Données projet'!$A$36&gt;35,N4+M5-V4,IF(A5&lt;'Données projet'!$A$36,$K$205^A5,IF(A5='Données projet'!$A$36,'Données projet'!$B$36,N4+M5-V4)))</f>
        <v>1.804037712543024</v>
      </c>
      <c r="O5" s="13">
        <f>N5*VLOOKUP('Données projet'!$B$9,Paramètres!$A$1:$I$89,3,0)*VLOOKUP('Données projet'!$B$9,Paramètres!$A$1:$I$89,5,0)</f>
        <v>1.0084570813115505</v>
      </c>
      <c r="P5" s="13">
        <f t="shared" ref="P5:P68" si="33">EXP(-1.0587+0.8836*LN(O5)+0.284)</f>
        <v>0.46428404670145551</v>
      </c>
      <c r="Q5" s="20">
        <f t="shared" si="2"/>
        <v>2.5650241312893187</v>
      </c>
      <c r="R5" s="59">
        <f t="shared" si="0"/>
        <v>173.16230541879014</v>
      </c>
      <c r="S5" s="59">
        <f ca="1">AVERAGE(OFFSET($R$3,0,0,'Données projet'!$E$9+1,1))-AVERAGE(OFFSET($H$3,0,0,'Données projet'!$E$9+1,1))</f>
        <v>418.8940806978344</v>
      </c>
      <c r="T5" s="59">
        <f t="shared" ref="T5:T68" si="34">$T$3</f>
        <v>553.49616487922378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10.064285714285713</v>
      </c>
      <c r="AI5" s="13">
        <f>IF('Données projet'!$A$62&gt;35,AI4+AH5-AQ4,IF(A5&lt;'Données projet'!$A$62,$AF$205^A5,IF(A5='Données projet'!$A$62,'Données projet'!$B$62,AI4+AH5-AQ4)))</f>
        <v>20.128571428571426</v>
      </c>
      <c r="AJ5" s="13">
        <f>AI5*VLOOKUP('Données projet'!$B$10,Paramètres!$A$1:$I$89,3,0)*VLOOKUP('Données projet'!$B$10,Paramètres!$A$1:$I$89,5,0)</f>
        <v>9.4201714285714271</v>
      </c>
      <c r="AK5" s="13">
        <f t="shared" ref="AK5:AK68" si="35">EXP(-1.0587+0.8836*LN(AJ5)+0.284)</f>
        <v>3.3437240276594942</v>
      </c>
      <c r="AL5" s="20">
        <f t="shared" si="4"/>
        <v>22.23045125293552</v>
      </c>
      <c r="AM5" s="59">
        <f t="shared" si="5"/>
        <v>192.82773254043636</v>
      </c>
      <c r="AN5" s="59">
        <f ca="1">AVERAGE(OFFSET($AM$3,0,0,'Données projet'!$E$10+1,1))-AVERAGE(OFFSET($H$3,0,0,'Données projet'!$E$10+1,1))</f>
        <v>391.61151255507264</v>
      </c>
      <c r="AO5" s="59">
        <f t="shared" ref="AO5:AO68" si="36">$AO$3</f>
        <v>365.61278905364281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4.0157894736842108</v>
      </c>
      <c r="BD5" s="12">
        <f>IF('Données projet'!$A$88&gt;35,BD4+BC5-BL4,IF(A5&lt;'Données projet'!$A$88,$BA$205^A5,IF(A5='Données projet'!$A$88,'Données projet'!$B$88,BD4+BC5-BL4)))</f>
        <v>8.0315789473684216</v>
      </c>
      <c r="BE5" s="13">
        <f>BD5*VLOOKUP('Données projet'!$B$11,Paramètres!$A$1:$I$89,3,0)*VLOOKUP('Données projet'!$B$11,Paramètres!$A$1:$I$89,5,0)</f>
        <v>7.6428505263157893</v>
      </c>
      <c r="BF5" s="13">
        <f t="shared" ref="BF5:BF68" si="37">EXP(-1.0587+0.8836*LN(BE5)+0.284)</f>
        <v>2.7796909062969299</v>
      </c>
      <c r="BG5" s="20">
        <f t="shared" si="7"/>
        <v>18.152592995133819</v>
      </c>
      <c r="BH5" s="59">
        <f t="shared" si="8"/>
        <v>188.74987428263466</v>
      </c>
      <c r="BI5" s="59">
        <f ca="1">AVERAGE(OFFSET($BH$3,0,0,'Données projet'!$E$11+1,1))-AVERAGE(OFFSET($H$3,0,0,'Données projet'!$E$11+1,1))</f>
        <v>486.36809102684492</v>
      </c>
      <c r="BJ5" s="59">
        <f t="shared" ref="BJ5:BJ68" si="38">$BJ$3</f>
        <v>308.42890859885006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11.244444444444445</v>
      </c>
      <c r="N6" s="13">
        <f>IF('Données projet'!$A$36&gt;35,N5+M6-V5,IF(A6&lt;'Données projet'!$A$36,$K$205^A6,IF(A6='Données projet'!$A$36,'Données projet'!$B$36,N5+M6-V5)))</f>
        <v>2.4230837106066825</v>
      </c>
      <c r="O6" s="13">
        <f>N6*VLOOKUP('Données projet'!$B$9,Paramètres!$A$1:$I$89,3,0)*VLOOKUP('Données projet'!$B$9,Paramètres!$A$1:$I$89,5,0)</f>
        <v>1.3545037942291356</v>
      </c>
      <c r="P6" s="13">
        <f t="shared" si="33"/>
        <v>0.60254997461037074</v>
      </c>
      <c r="Q6" s="20">
        <f t="shared" si="2"/>
        <v>3.4085353140621399</v>
      </c>
      <c r="R6" s="59">
        <f t="shared" si="0"/>
        <v>176.76355588394702</v>
      </c>
      <c r="S6" s="59">
        <f ca="1">AVERAGE(OFFSET($R$3,0,0,'Données projet'!$E$9+1,1))-AVERAGE(OFFSET($H$3,0,0,'Données projet'!$E$9+1,1))</f>
        <v>418.8940806978344</v>
      </c>
      <c r="T6" s="59">
        <f t="shared" si="34"/>
        <v>553.49616487922378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10.064285714285713</v>
      </c>
      <c r="AI6" s="13">
        <f>IF('Données projet'!$A$62&gt;35,AI5+AH6-AQ5,IF(A6&lt;'Données projet'!$A$62,$AF$205^A6,IF(A6='Données projet'!$A$62,'Données projet'!$B$62,AI5+AH6-AQ5)))</f>
        <v>30.19285714285714</v>
      </c>
      <c r="AJ6" s="13">
        <f>AI6*VLOOKUP('Données projet'!$B$10,Paramètres!$A$1:$I$89,3,0)*VLOOKUP('Données projet'!$B$10,Paramètres!$A$1:$I$89,5,0)</f>
        <v>14.130257142857142</v>
      </c>
      <c r="AK6" s="13">
        <f t="shared" si="35"/>
        <v>4.7843689423322058</v>
      </c>
      <c r="AL6" s="20">
        <f t="shared" si="4"/>
        <v>32.942973765038111</v>
      </c>
      <c r="AM6" s="59">
        <f t="shared" si="5"/>
        <v>206.297994334923</v>
      </c>
      <c r="AN6" s="59">
        <f ca="1">AVERAGE(OFFSET($AM$3,0,0,'Données projet'!$E$10+1,1))-AVERAGE(OFFSET($H$3,0,0,'Données projet'!$E$10+1,1))</f>
        <v>391.61151255507264</v>
      </c>
      <c r="AO6" s="59">
        <f t="shared" si="36"/>
        <v>365.61278905364281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4.0157894736842108</v>
      </c>
      <c r="BD6" s="12">
        <f>IF('Données projet'!$A$88&gt;35,BD5+BC6-BL5,IF(A6&lt;'Données projet'!$A$88,$BA$205^A6,IF(A6='Données projet'!$A$88,'Données projet'!$B$88,BD5+BC6-BL5)))</f>
        <v>12.047368421052632</v>
      </c>
      <c r="BE6" s="13">
        <f>BD6*VLOOKUP('Données projet'!$B$11,Paramètres!$A$1:$I$89,3,0)*VLOOKUP('Données projet'!$B$11,Paramètres!$A$1:$I$89,5,0)</f>
        <v>11.464275789473685</v>
      </c>
      <c r="BF6" s="13">
        <f t="shared" si="37"/>
        <v>3.9773219115452036</v>
      </c>
      <c r="BG6" s="20">
        <f t="shared" si="7"/>
        <v>26.894115995941231</v>
      </c>
      <c r="BH6" s="59">
        <f t="shared" si="8"/>
        <v>200.24913656582612</v>
      </c>
      <c r="BI6" s="59">
        <f ca="1">AVERAGE(OFFSET($BH$3,0,0,'Données projet'!$E$11+1,1))-AVERAGE(OFFSET($H$3,0,0,'Données projet'!$E$11+1,1))</f>
        <v>486.36809102684492</v>
      </c>
      <c r="BJ6" s="59">
        <f t="shared" si="38"/>
        <v>308.42890859885006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11.244444444444445</v>
      </c>
      <c r="N7" s="13">
        <f>IF('Données projet'!$A$36&gt;35,N6+M7-V6,IF(A7&lt;'Données projet'!$A$36,$K$205^A7,IF(A7='Données projet'!$A$36,'Données projet'!$B$36,N6+M7-V6)))</f>
        <v>3.2545520682774667</v>
      </c>
      <c r="O7" s="13">
        <f>N7*VLOOKUP('Données projet'!$B$9,Paramètres!$A$1:$I$89,3,0)*VLOOKUP('Données projet'!$B$9,Paramètres!$A$1:$I$89,5,0)</f>
        <v>1.819294606167104</v>
      </c>
      <c r="P7" s="13">
        <f t="shared" si="33"/>
        <v>0.78199213279541746</v>
      </c>
      <c r="Q7" s="20">
        <f t="shared" si="2"/>
        <v>4.5305744036930582</v>
      </c>
      <c r="R7" s="59">
        <f t="shared" si="0"/>
        <v>180.61669646787001</v>
      </c>
      <c r="S7" s="59">
        <f ca="1">AVERAGE(OFFSET($R$3,0,0,'Données projet'!$E$9+1,1))-AVERAGE(OFFSET($H$3,0,0,'Données projet'!$E$9+1,1))</f>
        <v>418.8940806978344</v>
      </c>
      <c r="T7" s="59">
        <f t="shared" si="34"/>
        <v>553.49616487922378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10.064285714285713</v>
      </c>
      <c r="AI7" s="13">
        <f>IF('Données projet'!$A$62&gt;35,AI6+AH7-AQ6,IF(A7&lt;'Données projet'!$A$62,$AF$205^A7,IF(A7='Données projet'!$A$62,'Données projet'!$B$62,AI6+AH7-AQ6)))</f>
        <v>40.257142857142853</v>
      </c>
      <c r="AJ7" s="13">
        <f>AI7*VLOOKUP('Données projet'!$B$10,Paramètres!$A$1:$I$89,3,0)*VLOOKUP('Données projet'!$B$10,Paramètres!$A$1:$I$89,5,0)</f>
        <v>18.840342857142854</v>
      </c>
      <c r="AK7" s="13">
        <f t="shared" si="35"/>
        <v>6.1690818182520228</v>
      </c>
      <c r="AL7" s="20">
        <f t="shared" si="4"/>
        <v>43.55808130964607</v>
      </c>
      <c r="AM7" s="59">
        <f t="shared" si="5"/>
        <v>219.64420337382302</v>
      </c>
      <c r="AN7" s="59">
        <f ca="1">AVERAGE(OFFSET($AM$3,0,0,'Données projet'!$E$10+1,1))-AVERAGE(OFFSET($H$3,0,0,'Données projet'!$E$10+1,1))</f>
        <v>391.61151255507264</v>
      </c>
      <c r="AO7" s="59">
        <f t="shared" si="36"/>
        <v>365.61278905364281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4.0157894736842108</v>
      </c>
      <c r="BD7" s="12">
        <f>IF('Données projet'!$A$88&gt;35,BD6+BC7-BL6,IF(A7&lt;'Données projet'!$A$88,$BA$205^A7,IF(A7='Données projet'!$A$88,'Données projet'!$B$88,BD6+BC7-BL6)))</f>
        <v>16.063157894736843</v>
      </c>
      <c r="BE7" s="13">
        <f>BD7*VLOOKUP('Données projet'!$B$11,Paramètres!$A$1:$I$89,3,0)*VLOOKUP('Données projet'!$B$11,Paramètres!$A$1:$I$89,5,0)</f>
        <v>15.285701052631579</v>
      </c>
      <c r="BF7" s="13">
        <f t="shared" si="37"/>
        <v>5.1284557243798767</v>
      </c>
      <c r="BG7" s="20">
        <f t="shared" si="7"/>
        <v>35.554656386628288</v>
      </c>
      <c r="BH7" s="59">
        <f t="shared" si="8"/>
        <v>211.64077845080524</v>
      </c>
      <c r="BI7" s="59">
        <f ca="1">AVERAGE(OFFSET($BH$3,0,0,'Données projet'!$E$11+1,1))-AVERAGE(OFFSET($H$3,0,0,'Données projet'!$E$11+1,1))</f>
        <v>486.36809102684492</v>
      </c>
      <c r="BJ7" s="59">
        <f t="shared" si="38"/>
        <v>308.42890859885006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11.244444444444445</v>
      </c>
      <c r="N8" s="13">
        <f>IF('Données projet'!$A$36&gt;35,N7+M8-V7,IF(A8&lt;'Données projet'!$A$36,$K$205^A8,IF(A8='Données projet'!$A$36,'Données projet'!$B$36,N7+M8-V7)))</f>
        <v>4.3713343945831422</v>
      </c>
      <c r="O8" s="13">
        <f>N8*VLOOKUP('Données projet'!$B$9,Paramètres!$A$1:$I$89,3,0)*VLOOKUP('Données projet'!$B$9,Paramètres!$A$1:$I$89,5,0)</f>
        <v>2.4435759265719765</v>
      </c>
      <c r="P8" s="13">
        <f t="shared" si="33"/>
        <v>1.01487299231794</v>
      </c>
      <c r="Q8" s="20">
        <f t="shared" si="2"/>
        <v>6.0234652003999392</v>
      </c>
      <c r="R8" s="59">
        <f t="shared" si="0"/>
        <v>184.81451307684728</v>
      </c>
      <c r="S8" s="59">
        <f ca="1">AVERAGE(OFFSET($R$3,0,0,'Données projet'!$E$9+1,1))-AVERAGE(OFFSET($H$3,0,0,'Données projet'!$E$9+1,1))</f>
        <v>418.8940806978344</v>
      </c>
      <c r="T8" s="59">
        <f t="shared" si="34"/>
        <v>553.49616487922378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10.064285714285713</v>
      </c>
      <c r="AI8" s="13">
        <f>IF('Données projet'!$A$62&gt;35,AI7+AH8-AQ7,IF(A8&lt;'Données projet'!$A$62,$AF$205^A8,IF(A8='Données projet'!$A$62,'Données projet'!$B$62,AI7+AH8-AQ7)))</f>
        <v>50.321428571428569</v>
      </c>
      <c r="AJ8" s="13">
        <f>AI8*VLOOKUP('Données projet'!$B$10,Paramètres!$A$1:$I$89,3,0)*VLOOKUP('Données projet'!$B$10,Paramètres!$A$1:$I$89,5,0)</f>
        <v>23.550428571428569</v>
      </c>
      <c r="AK8" s="13">
        <f t="shared" si="35"/>
        <v>7.5136371406847839</v>
      </c>
      <c r="AL8" s="20">
        <f t="shared" si="4"/>
        <v>54.103247781930754</v>
      </c>
      <c r="AM8" s="59">
        <f t="shared" si="5"/>
        <v>232.8942956583781</v>
      </c>
      <c r="AN8" s="59">
        <f ca="1">AVERAGE(OFFSET($AM$3,0,0,'Données projet'!$E$10+1,1))-AVERAGE(OFFSET($H$3,0,0,'Données projet'!$E$10+1,1))</f>
        <v>391.61151255507264</v>
      </c>
      <c r="AO8" s="59">
        <f t="shared" si="36"/>
        <v>365.61278905364281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4.0157894736842108</v>
      </c>
      <c r="BD8" s="12">
        <f>IF('Données projet'!$A$88&gt;35,BD7+BC8-BL7,IF(A8&lt;'Données projet'!$A$88,$BA$205^A8,IF(A8='Données projet'!$A$88,'Données projet'!$B$88,BD7+BC8-BL7)))</f>
        <v>20.078947368421055</v>
      </c>
      <c r="BE8" s="13">
        <f>BD8*VLOOKUP('Données projet'!$B$11,Paramètres!$A$1:$I$89,3,0)*VLOOKUP('Données projet'!$B$11,Paramètres!$A$1:$I$89,5,0)</f>
        <v>19.107126315789476</v>
      </c>
      <c r="BF8" s="13">
        <f t="shared" si="37"/>
        <v>6.2462059250133892</v>
      </c>
      <c r="BG8" s="20">
        <f t="shared" si="7"/>
        <v>44.157053652731655</v>
      </c>
      <c r="BH8" s="59">
        <f t="shared" si="8"/>
        <v>222.94810152917901</v>
      </c>
      <c r="BI8" s="59">
        <f ca="1">AVERAGE(OFFSET($BH$3,0,0,'Données projet'!$E$11+1,1))-AVERAGE(OFFSET($H$3,0,0,'Données projet'!$E$11+1,1))</f>
        <v>486.36809102684492</v>
      </c>
      <c r="BJ8" s="59">
        <f t="shared" si="38"/>
        <v>308.42890859885006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11.244444444444445</v>
      </c>
      <c r="N9" s="13">
        <f>IF('Données projet'!$A$36&gt;35,N8+M9-V8,IF(A9&lt;'Données projet'!$A$36,$K$205^A9,IF(A9='Données projet'!$A$36,'Données projet'!$B$36,N8+M9-V8)))</f>
        <v>5.8713346686074486</v>
      </c>
      <c r="O9" s="13">
        <f>N9*VLOOKUP('Données projet'!$B$9,Paramètres!$A$1:$I$89,3,0)*VLOOKUP('Données projet'!$B$9,Paramètres!$A$1:$I$89,5,0)</f>
        <v>3.282076079751564</v>
      </c>
      <c r="P9" s="13">
        <f t="shared" si="33"/>
        <v>1.3171068446104517</v>
      </c>
      <c r="Q9" s="20">
        <f t="shared" si="2"/>
        <v>8.0102435932638425</v>
      </c>
      <c r="R9" s="59">
        <f t="shared" si="0"/>
        <v>189.48049568952283</v>
      </c>
      <c r="S9" s="59">
        <f ca="1">AVERAGE(OFFSET($R$3,0,0,'Données projet'!$E$9+1,1))-AVERAGE(OFFSET($H$3,0,0,'Données projet'!$E$9+1,1))</f>
        <v>418.8940806978344</v>
      </c>
      <c r="T9" s="59">
        <f t="shared" si="34"/>
        <v>553.49616487922378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10.064285714285713</v>
      </c>
      <c r="AI9" s="13">
        <f>IF('Données projet'!$A$62&gt;35,AI8+AH9-AQ8,IF(A9&lt;'Données projet'!$A$62,$AF$205^A9,IF(A9='Données projet'!$A$62,'Données projet'!$B$62,AI8+AH9-AQ8)))</f>
        <v>60.385714285714286</v>
      </c>
      <c r="AJ9" s="13">
        <f>AI9*VLOOKUP('Données projet'!$B$10,Paramètres!$A$1:$I$89,3,0)*VLOOKUP('Données projet'!$B$10,Paramètres!$A$1:$I$89,5,0)</f>
        <v>28.260514285714287</v>
      </c>
      <c r="AK9" s="13">
        <f t="shared" si="35"/>
        <v>8.827033334629288</v>
      </c>
      <c r="AL9" s="20">
        <f t="shared" si="4"/>
        <v>64.594145438765054</v>
      </c>
      <c r="AM9" s="59">
        <f t="shared" si="5"/>
        <v>246.06439753502403</v>
      </c>
      <c r="AN9" s="59">
        <f ca="1">AVERAGE(OFFSET($AM$3,0,0,'Données projet'!$E$10+1,1))-AVERAGE(OFFSET($H$3,0,0,'Données projet'!$E$10+1,1))</f>
        <v>391.61151255507264</v>
      </c>
      <c r="AO9" s="59">
        <f t="shared" si="36"/>
        <v>365.61278905364281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4.0157894736842108</v>
      </c>
      <c r="BD9" s="12">
        <f>IF('Données projet'!$A$88&gt;35,BD8+BC9-BL8,IF(A9&lt;'Données projet'!$A$88,$BA$205^A9,IF(A9='Données projet'!$A$88,'Données projet'!$B$88,BD8+BC9-BL8)))</f>
        <v>24.094736842105267</v>
      </c>
      <c r="BE9" s="13">
        <f>BD9*VLOOKUP('Données projet'!$B$11,Paramètres!$A$1:$I$89,3,0)*VLOOKUP('Données projet'!$B$11,Paramètres!$A$1:$I$89,5,0)</f>
        <v>22.928551578947371</v>
      </c>
      <c r="BF9" s="13">
        <f t="shared" si="37"/>
        <v>7.3380530471061816</v>
      </c>
      <c r="BG9" s="20">
        <f t="shared" si="7"/>
        <v>52.714336390376609</v>
      </c>
      <c r="BH9" s="59">
        <f t="shared" si="8"/>
        <v>234.18458848663559</v>
      </c>
      <c r="BI9" s="59">
        <f ca="1">AVERAGE(OFFSET($BH$3,0,0,'Données projet'!$E$11+1,1))-AVERAGE(OFFSET($H$3,0,0,'Données projet'!$E$11+1,1))</f>
        <v>486.36809102684492</v>
      </c>
      <c r="BJ9" s="59">
        <f t="shared" si="38"/>
        <v>308.42890859885006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11.244444444444445</v>
      </c>
      <c r="N10" s="13">
        <f>IF('Données projet'!$A$36&gt;35,N9+M10-V9,IF(A10&lt;'Données projet'!$A$36,$K$205^A10,IF(A10='Données projet'!$A$36,'Données projet'!$B$36,N9+M10-V9)))</f>
        <v>7.8860521019644167</v>
      </c>
      <c r="O10" s="13">
        <f>N10*VLOOKUP('Données projet'!$B$9,Paramètres!$A$1:$I$89,3,0)*VLOOKUP('Données projet'!$B$9,Paramètres!$A$1:$I$89,5,0)</f>
        <v>4.4083031249981088</v>
      </c>
      <c r="P10" s="13">
        <f t="shared" si="33"/>
        <v>1.709347330405883</v>
      </c>
      <c r="Q10" s="20">
        <f t="shared" si="2"/>
        <v>10.654907876495285</v>
      </c>
      <c r="R10" s="59">
        <f t="shared" si="0"/>
        <v>194.77908881223152</v>
      </c>
      <c r="S10" s="59">
        <f ca="1">AVERAGE(OFFSET($R$3,0,0,'Données projet'!$E$9+1,1))-AVERAGE(OFFSET($H$3,0,0,'Données projet'!$E$9+1,1))</f>
        <v>418.8940806978344</v>
      </c>
      <c r="T10" s="59">
        <f t="shared" si="34"/>
        <v>553.49616487922378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10.064285714285713</v>
      </c>
      <c r="AI10" s="13">
        <f>IF('Données projet'!$A$62&gt;35,AI9+AH10-AQ9,IF(A10&lt;'Données projet'!$A$62,$AF$205^A10,IF(A10='Données projet'!$A$62,'Données projet'!$B$62,AI9+AH10-AQ9)))</f>
        <v>70.45</v>
      </c>
      <c r="AJ10" s="13">
        <f>AI10*VLOOKUP('Données projet'!$B$10,Paramètres!$A$1:$I$89,3,0)*VLOOKUP('Données projet'!$B$10,Paramètres!$A$1:$I$89,5,0)</f>
        <v>32.970599999999997</v>
      </c>
      <c r="AK10" s="13">
        <f t="shared" si="35"/>
        <v>10.115071336753079</v>
      </c>
      <c r="AL10" s="20">
        <f t="shared" si="4"/>
        <v>75.040877578178282</v>
      </c>
      <c r="AM10" s="59">
        <f t="shared" si="5"/>
        <v>259.16505851391452</v>
      </c>
      <c r="AN10" s="59">
        <f ca="1">AVERAGE(OFFSET($AM$3,0,0,'Données projet'!$E$10+1,1))-AVERAGE(OFFSET($H$3,0,0,'Données projet'!$E$10+1,1))</f>
        <v>391.61151255507264</v>
      </c>
      <c r="AO10" s="59">
        <f t="shared" si="36"/>
        <v>365.61278905364281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4.0157894736842108</v>
      </c>
      <c r="BD10" s="12">
        <f>IF('Données projet'!$A$88&gt;35,BD9+BC10-BL9,IF(A10&lt;'Données projet'!$A$88,$BA$205^A10,IF(A10='Données projet'!$A$88,'Données projet'!$B$88,BD9+BC10-BL9)))</f>
        <v>28.110526315789478</v>
      </c>
      <c r="BE10" s="13">
        <f>BD10*VLOOKUP('Données projet'!$B$11,Paramètres!$A$1:$I$89,3,0)*VLOOKUP('Données projet'!$B$11,Paramètres!$A$1:$I$89,5,0)</f>
        <v>26.749976842105269</v>
      </c>
      <c r="BF10" s="13">
        <f t="shared" si="37"/>
        <v>8.4088195014700897</v>
      </c>
      <c r="BG10" s="20">
        <f t="shared" si="7"/>
        <v>61.234903631727072</v>
      </c>
      <c r="BH10" s="59">
        <f t="shared" si="8"/>
        <v>245.3590845674633</v>
      </c>
      <c r="BI10" s="59">
        <f ca="1">AVERAGE(OFFSET($BH$3,0,0,'Données projet'!$E$11+1,1))-AVERAGE(OFFSET($H$3,0,0,'Données projet'!$E$11+1,1))</f>
        <v>486.36809102684492</v>
      </c>
      <c r="BJ10" s="59">
        <f t="shared" si="38"/>
        <v>308.42890859885006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11.244444444444445</v>
      </c>
      <c r="N11" s="13">
        <f>IF('Données projet'!$A$36&gt;35,N10+M11-V10,IF(A11&lt;'Données projet'!$A$36,$K$205^A11,IF(A11='Données projet'!$A$36,'Données projet'!$B$36,N10+M11-V10)))</f>
        <v>10.592109165129136</v>
      </c>
      <c r="O11" s="13">
        <f>N11*VLOOKUP('Données projet'!$B$9,Paramètres!$A$1:$I$89,3,0)*VLOOKUP('Données projet'!$B$9,Paramètres!$A$1:$I$89,5,0)</f>
        <v>5.9209890233071869</v>
      </c>
      <c r="P11" s="13">
        <f t="shared" si="33"/>
        <v>2.218398839791841</v>
      </c>
      <c r="Q11" s="20">
        <f t="shared" si="2"/>
        <v>14.176100528230807</v>
      </c>
      <c r="R11" s="59">
        <f t="shared" si="0"/>
        <v>200.92937339445137</v>
      </c>
      <c r="S11" s="59">
        <f ca="1">AVERAGE(OFFSET($R$3,0,0,'Données projet'!$E$9+1,1))-AVERAGE(OFFSET($H$3,0,0,'Données projet'!$E$9+1,1))</f>
        <v>418.8940806978344</v>
      </c>
      <c r="T11" s="59">
        <f t="shared" si="34"/>
        <v>553.49616487922378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10.064285714285713</v>
      </c>
      <c r="AI11" s="13">
        <f>IF('Données projet'!$A$62&gt;35,AI10+AH11-AQ10,IF(A11&lt;'Données projet'!$A$62,$AF$205^A11,IF(A11='Données projet'!$A$62,'Données projet'!$B$62,AI10+AH11-AQ10)))</f>
        <v>80.51428571428572</v>
      </c>
      <c r="AJ11" s="13">
        <f>AI11*VLOOKUP('Données projet'!$B$10,Paramètres!$A$1:$I$89,3,0)*VLOOKUP('Données projet'!$B$10,Paramètres!$A$1:$I$89,5,0)</f>
        <v>37.680685714285715</v>
      </c>
      <c r="AK11" s="13">
        <f t="shared" si="35"/>
        <v>11.381791728465947</v>
      </c>
      <c r="AL11" s="20">
        <f t="shared" si="4"/>
        <v>85.4504815461258</v>
      </c>
      <c r="AM11" s="59">
        <f t="shared" si="5"/>
        <v>272.20375441234637</v>
      </c>
      <c r="AN11" s="59">
        <f ca="1">AVERAGE(OFFSET($AM$3,0,0,'Données projet'!$E$10+1,1))-AVERAGE(OFFSET($H$3,0,0,'Données projet'!$E$10+1,1))</f>
        <v>391.61151255507264</v>
      </c>
      <c r="AO11" s="59">
        <f t="shared" si="36"/>
        <v>365.61278905364281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4.0157894736842108</v>
      </c>
      <c r="BD11" s="12">
        <f>IF('Données projet'!$A$88&gt;35,BD10+BC11-BL10,IF(A11&lt;'Données projet'!$A$88,$BA$205^A11,IF(A11='Données projet'!$A$88,'Données projet'!$B$88,BD10+BC11-BL10)))</f>
        <v>32.126315789473686</v>
      </c>
      <c r="BE11" s="13">
        <f>BD11*VLOOKUP('Données projet'!$B$11,Paramètres!$A$1:$I$89,3,0)*VLOOKUP('Données projet'!$B$11,Paramètres!$A$1:$I$89,5,0)</f>
        <v>30.571402105263157</v>
      </c>
      <c r="BF11" s="13">
        <f t="shared" si="37"/>
        <v>9.4618642876242216</v>
      </c>
      <c r="BG11" s="20">
        <f t="shared" si="7"/>
        <v>69.724605634278845</v>
      </c>
      <c r="BH11" s="59">
        <f t="shared" si="8"/>
        <v>256.4778785004994</v>
      </c>
      <c r="BI11" s="59">
        <f ca="1">AVERAGE(OFFSET($BH$3,0,0,'Données projet'!$E$11+1,1))-AVERAGE(OFFSET($H$3,0,0,'Données projet'!$E$11+1,1))</f>
        <v>486.36809102684492</v>
      </c>
      <c r="BJ11" s="59">
        <f t="shared" si="38"/>
        <v>308.42890859885006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11.244444444444445</v>
      </c>
      <c r="N12" s="13">
        <f>IF('Données projet'!$A$36&gt;35,N11+M12-V11,IF(A12&lt;'Données projet'!$A$36,$K$205^A12,IF(A12='Données projet'!$A$36,'Données projet'!$B$36,N11+M12-V11)))</f>
        <v>14.226735395022994</v>
      </c>
      <c r="O12" s="13">
        <f>N12*VLOOKUP('Données projet'!$B$9,Paramètres!$A$1:$I$89,3,0)*VLOOKUP('Données projet'!$B$9,Paramètres!$A$1:$I$89,5,0)</f>
        <v>7.9527450858178534</v>
      </c>
      <c r="P12" s="13">
        <f t="shared" si="33"/>
        <v>2.8790482337028771</v>
      </c>
      <c r="Q12" s="20">
        <f t="shared" si="2"/>
        <v>18.865373364831939</v>
      </c>
      <c r="R12" s="59">
        <f t="shared" si="0"/>
        <v>208.223332117388</v>
      </c>
      <c r="S12" s="59">
        <f ca="1">AVERAGE(OFFSET($R$3,0,0,'Données projet'!$E$9+1,1))-AVERAGE(OFFSET($H$3,0,0,'Données projet'!$E$9+1,1))</f>
        <v>418.8940806978344</v>
      </c>
      <c r="T12" s="59">
        <f t="shared" si="34"/>
        <v>553.49616487922378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10.064285714285713</v>
      </c>
      <c r="AI12" s="13">
        <f>IF('Données projet'!$A$62&gt;35,AI11+AH12-AQ11,IF(A12&lt;'Données projet'!$A$62,$AF$205^A12,IF(A12='Données projet'!$A$62,'Données projet'!$B$62,AI11+AH12-AQ11)))</f>
        <v>90.578571428571436</v>
      </c>
      <c r="AJ12" s="13">
        <f>AI12*VLOOKUP('Données projet'!$B$10,Paramètres!$A$1:$I$89,3,0)*VLOOKUP('Données projet'!$B$10,Paramètres!$A$1:$I$89,5,0)</f>
        <v>42.390771428571426</v>
      </c>
      <c r="AK12" s="13">
        <f t="shared" si="35"/>
        <v>12.630164388504399</v>
      </c>
      <c r="AL12" s="20">
        <f t="shared" si="4"/>
        <v>95.828129881407051</v>
      </c>
      <c r="AM12" s="59">
        <f t="shared" si="5"/>
        <v>285.1860886339631</v>
      </c>
      <c r="AN12" s="59">
        <f ca="1">AVERAGE(OFFSET($AM$3,0,0,'Données projet'!$E$10+1,1))-AVERAGE(OFFSET($H$3,0,0,'Données projet'!$E$10+1,1))</f>
        <v>391.61151255507264</v>
      </c>
      <c r="AO12" s="59">
        <f t="shared" si="36"/>
        <v>365.61278905364281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4.0157894736842108</v>
      </c>
      <c r="BD12" s="12">
        <f>IF('Données projet'!$A$88&gt;35,BD11+BC12-BL11,IF(A12&lt;'Données projet'!$A$88,$BA$205^A12,IF(A12='Données projet'!$A$88,'Données projet'!$B$88,BD11+BC12-BL11)))</f>
        <v>36.142105263157895</v>
      </c>
      <c r="BE12" s="13">
        <f>BD12*VLOOKUP('Données projet'!$B$11,Paramètres!$A$1:$I$89,3,0)*VLOOKUP('Données projet'!$B$11,Paramètres!$A$1:$I$89,5,0)</f>
        <v>34.392827368421052</v>
      </c>
      <c r="BF12" s="13">
        <f t="shared" si="37"/>
        <v>10.49965631294503</v>
      </c>
      <c r="BG12" s="20">
        <f t="shared" si="7"/>
        <v>78.187742411712591</v>
      </c>
      <c r="BH12" s="59">
        <f t="shared" si="8"/>
        <v>267.54570116426868</v>
      </c>
      <c r="BI12" s="59">
        <f ca="1">AVERAGE(OFFSET($BH$3,0,0,'Données projet'!$E$11+1,1))-AVERAGE(OFFSET($H$3,0,0,'Données projet'!$E$11+1,1))</f>
        <v>486.36809102684492</v>
      </c>
      <c r="BJ12" s="59">
        <f t="shared" si="38"/>
        <v>308.42890859885006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11.244444444444445</v>
      </c>
      <c r="N13" s="13">
        <f>IF('Données projet'!$A$36&gt;35,N12+M13-V12,IF(A13&lt;'Données projet'!$A$36,$K$205^A13,IF(A13='Données projet'!$A$36,'Données projet'!$B$36,N12+M13-V12)))</f>
        <v>19.108564389265567</v>
      </c>
      <c r="O13" s="13">
        <f>N13*VLOOKUP('Données projet'!$B$9,Paramètres!$A$1:$I$89,3,0)*VLOOKUP('Données projet'!$B$9,Paramètres!$A$1:$I$89,5,0)</f>
        <v>10.681687493599451</v>
      </c>
      <c r="P13" s="13">
        <f t="shared" si="33"/>
        <v>3.7364420605112785</v>
      </c>
      <c r="Q13" s="20">
        <f t="shared" si="2"/>
        <v>25.111575640076186</v>
      </c>
      <c r="R13" s="59">
        <f t="shared" si="0"/>
        <v>217.05023762512107</v>
      </c>
      <c r="S13" s="59">
        <f ca="1">AVERAGE(OFFSET($R$3,0,0,'Données projet'!$E$9+1,1))-AVERAGE(OFFSET($H$3,0,0,'Données projet'!$E$9+1,1))</f>
        <v>418.8940806978344</v>
      </c>
      <c r="T13" s="59">
        <f t="shared" si="34"/>
        <v>553.49616487922378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10.064285714285713</v>
      </c>
      <c r="AI13" s="13">
        <f>IF('Données projet'!$A$62&gt;35,AI12+AH13-AQ12,IF(A13&lt;'Données projet'!$A$62,$AF$205^A13,IF(A13='Données projet'!$A$62,'Données projet'!$B$62,AI12+AH13-AQ12)))</f>
        <v>100.64285714285715</v>
      </c>
      <c r="AJ13" s="13">
        <f>AI13*VLOOKUP('Données projet'!$B$10,Paramètres!$A$1:$I$89,3,0)*VLOOKUP('Données projet'!$B$10,Paramètres!$A$1:$I$89,5,0)</f>
        <v>47.100857142857144</v>
      </c>
      <c r="AK13" s="13">
        <f t="shared" si="35"/>
        <v>13.862460505147244</v>
      </c>
      <c r="AL13" s="20">
        <f t="shared" si="4"/>
        <v>106.17777823694098</v>
      </c>
      <c r="AM13" s="59">
        <f t="shared" si="5"/>
        <v>298.11644022198584</v>
      </c>
      <c r="AN13" s="59">
        <f ca="1">AVERAGE(OFFSET($AM$3,0,0,'Données projet'!$E$10+1,1))-AVERAGE(OFFSET($H$3,0,0,'Données projet'!$E$10+1,1))</f>
        <v>391.61151255507264</v>
      </c>
      <c r="AO13" s="59">
        <f t="shared" si="36"/>
        <v>365.61278905364281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4.0157894736842108</v>
      </c>
      <c r="BD13" s="12">
        <f>IF('Données projet'!$A$88&gt;35,BD12+BC13-BL12,IF(A13&lt;'Données projet'!$A$88,$BA$205^A13,IF(A13='Données projet'!$A$88,'Données projet'!$B$88,BD12+BC13-BL12)))</f>
        <v>40.157894736842103</v>
      </c>
      <c r="BE13" s="13">
        <f>BD13*VLOOKUP('Données projet'!$B$11,Paramètres!$A$1:$I$89,3,0)*VLOOKUP('Données projet'!$B$11,Paramètres!$A$1:$I$89,5,0)</f>
        <v>38.214252631578951</v>
      </c>
      <c r="BF13" s="13">
        <f t="shared" si="37"/>
        <v>11.524083652331298</v>
      </c>
      <c r="BG13" s="20">
        <f t="shared" si="7"/>
        <v>86.627602361143673</v>
      </c>
      <c r="BH13" s="59">
        <f t="shared" si="8"/>
        <v>278.56626434618858</v>
      </c>
      <c r="BI13" s="59">
        <f ca="1">AVERAGE(OFFSET($BH$3,0,0,'Données projet'!$E$11+1,1))-AVERAGE(OFFSET($H$3,0,0,'Données projet'!$E$11+1,1))</f>
        <v>486.36809102684492</v>
      </c>
      <c r="BJ13" s="59">
        <f t="shared" si="38"/>
        <v>308.42890859885006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11.244444444444445</v>
      </c>
      <c r="N14" s="13">
        <f>IF('Données projet'!$A$36&gt;35,N13+M14-V13,IF(A14&lt;'Données projet'!$A$36,$K$205^A14,IF(A14='Données projet'!$A$36,'Données projet'!$B$36,N13+M14-V13)))</f>
        <v>25.665567178992156</v>
      </c>
      <c r="O14" s="13">
        <f>N14*VLOOKUP('Données projet'!$B$9,Paramètres!$A$1:$I$89,3,0)*VLOOKUP('Données projet'!$B$9,Paramètres!$A$1:$I$89,5,0)</f>
        <v>14.347052053056617</v>
      </c>
      <c r="P14" s="13">
        <f t="shared" si="33"/>
        <v>4.8491717186696395</v>
      </c>
      <c r="Q14" s="20">
        <f t="shared" si="2"/>
        <v>33.433423069089891</v>
      </c>
      <c r="R14" s="59">
        <f t="shared" si="0"/>
        <v>227.92922167820402</v>
      </c>
      <c r="S14" s="59">
        <f ca="1">AVERAGE(OFFSET($R$3,0,0,'Données projet'!$E$9+1,1))-AVERAGE(OFFSET($H$3,0,0,'Données projet'!$E$9+1,1))</f>
        <v>418.8940806978344</v>
      </c>
      <c r="T14" s="59">
        <f t="shared" si="34"/>
        <v>553.49616487922378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10.064285714285713</v>
      </c>
      <c r="AI14" s="13">
        <f>IF('Données projet'!$A$62&gt;35,AI13+AH14-AQ13,IF(A14&lt;'Données projet'!$A$62,$AF$205^A14,IF(A14='Données projet'!$A$62,'Données projet'!$B$62,AI13+AH14-AQ13)))</f>
        <v>110.70714285714287</v>
      </c>
      <c r="AJ14" s="13">
        <f>AI14*VLOOKUP('Données projet'!$B$10,Paramètres!$A$1:$I$89,3,0)*VLOOKUP('Données projet'!$B$10,Paramètres!$A$1:$I$89,5,0)</f>
        <v>51.810942857142862</v>
      </c>
      <c r="AK14" s="13">
        <f t="shared" si="35"/>
        <v>15.080470743498402</v>
      </c>
      <c r="AL14" s="20">
        <f t="shared" si="4"/>
        <v>116.50254535445022</v>
      </c>
      <c r="AM14" s="59">
        <f t="shared" si="5"/>
        <v>310.99834396356437</v>
      </c>
      <c r="AN14" s="59">
        <f ca="1">AVERAGE(OFFSET($AM$3,0,0,'Données projet'!$E$10+1,1))-AVERAGE(OFFSET($H$3,0,0,'Données projet'!$E$10+1,1))</f>
        <v>391.61151255507264</v>
      </c>
      <c r="AO14" s="59">
        <f t="shared" si="36"/>
        <v>365.61278905364281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4.0157894736842108</v>
      </c>
      <c r="BD14" s="12">
        <f>IF('Données projet'!$A$88&gt;35,BD13+BC14-BL13,IF(A14&lt;'Données projet'!$A$88,$BA$205^A14,IF(A14='Données projet'!$A$88,'Données projet'!$B$88,BD13+BC14-BL13)))</f>
        <v>44.173684210526311</v>
      </c>
      <c r="BE14" s="13">
        <f>BD14*VLOOKUP('Données projet'!$B$11,Paramètres!$A$1:$I$89,3,0)*VLOOKUP('Données projet'!$B$11,Paramètres!$A$1:$I$89,5,0)</f>
        <v>42.035677894736835</v>
      </c>
      <c r="BF14" s="13">
        <f t="shared" si="37"/>
        <v>12.536634914132396</v>
      </c>
      <c r="BG14" s="20">
        <f t="shared" si="7"/>
        <v>95.046778142113908</v>
      </c>
      <c r="BH14" s="59">
        <f t="shared" si="8"/>
        <v>289.54257675122801</v>
      </c>
      <c r="BI14" s="59">
        <f ca="1">AVERAGE(OFFSET($BH$3,0,0,'Données projet'!$E$11+1,1))-AVERAGE(OFFSET($H$3,0,0,'Données projet'!$E$11+1,1))</f>
        <v>486.36809102684492</v>
      </c>
      <c r="BJ14" s="59">
        <f t="shared" si="38"/>
        <v>308.42890859885006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11.244444444444445</v>
      </c>
      <c r="N15" s="13">
        <f>IF('Données projet'!$A$36&gt;35,N14+M15-V14,IF(A15&lt;'Données projet'!$A$36,$K$205^A15,IF(A15='Données projet'!$A$36,'Données projet'!$B$36,N14+M15-V14)))</f>
        <v>34.472570790791742</v>
      </c>
      <c r="O15" s="13">
        <f>N15*VLOOKUP('Données projet'!$B$9,Paramètres!$A$1:$I$89,3,0)*VLOOKUP('Données projet'!$B$9,Paramètres!$A$1:$I$89,5,0)</f>
        <v>19.270167072052583</v>
      </c>
      <c r="P15" s="13">
        <f t="shared" si="33"/>
        <v>6.2932773950007004</v>
      </c>
      <c r="Q15" s="20">
        <f t="shared" si="2"/>
        <v>44.522999113451135</v>
      </c>
      <c r="R15" s="59">
        <f t="shared" si="0"/>
        <v>241.55277656618401</v>
      </c>
      <c r="S15" s="59">
        <f ca="1">AVERAGE(OFFSET($R$3,0,0,'Données projet'!$E$9+1,1))-AVERAGE(OFFSET($H$3,0,0,'Données projet'!$E$9+1,1))</f>
        <v>418.8940806978344</v>
      </c>
      <c r="T15" s="59">
        <f t="shared" si="34"/>
        <v>553.49616487922378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10.064285714285713</v>
      </c>
      <c r="AI15" s="13">
        <f>IF('Données projet'!$A$62&gt;35,AI14+AH15-AQ14,IF(A15&lt;'Données projet'!$A$62,$AF$205^A15,IF(A15='Données projet'!$A$62,'Données projet'!$B$62,AI14+AH15-AQ14)))</f>
        <v>120.77142857142859</v>
      </c>
      <c r="AJ15" s="13">
        <f>AI15*VLOOKUP('Données projet'!$B$10,Paramètres!$A$1:$I$89,3,0)*VLOOKUP('Données projet'!$B$10,Paramètres!$A$1:$I$89,5,0)</f>
        <v>56.52102857142858</v>
      </c>
      <c r="AK15" s="13">
        <f t="shared" si="35"/>
        <v>16.28564151925023</v>
      </c>
      <c r="AL15" s="20">
        <f t="shared" si="4"/>
        <v>126.80495040793225</v>
      </c>
      <c r="AM15" s="59">
        <f t="shared" si="5"/>
        <v>323.83472786066511</v>
      </c>
      <c r="AN15" s="59">
        <f ca="1">AVERAGE(OFFSET($AM$3,0,0,'Données projet'!$E$10+1,1))-AVERAGE(OFFSET($H$3,0,0,'Données projet'!$E$10+1,1))</f>
        <v>391.61151255507264</v>
      </c>
      <c r="AO15" s="59">
        <f t="shared" si="36"/>
        <v>365.61278905364281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4.0157894736842108</v>
      </c>
      <c r="BD15" s="12">
        <f>IF('Données projet'!$A$88&gt;35,BD14+BC15-BL14,IF(A15&lt;'Données projet'!$A$88,$BA$205^A15,IF(A15='Données projet'!$A$88,'Données projet'!$B$88,BD14+BC15-BL14)))</f>
        <v>48.189473684210519</v>
      </c>
      <c r="BE15" s="13">
        <f>BD15*VLOOKUP('Données projet'!$B$11,Paramètres!$A$1:$I$89,3,0)*VLOOKUP('Données projet'!$B$11,Paramètres!$A$1:$I$89,5,0)</f>
        <v>45.857103157894734</v>
      </c>
      <c r="BF15" s="13">
        <f t="shared" si="37"/>
        <v>13.538512526692745</v>
      </c>
      <c r="BG15" s="20">
        <f t="shared" si="7"/>
        <v>103.44736398398986</v>
      </c>
      <c r="BH15" s="59">
        <f t="shared" si="8"/>
        <v>300.47714143672272</v>
      </c>
      <c r="BI15" s="59">
        <f ca="1">AVERAGE(OFFSET($BH$3,0,0,'Données projet'!$E$11+1,1))-AVERAGE(OFFSET($H$3,0,0,'Données projet'!$E$11+1,1))</f>
        <v>486.36809102684492</v>
      </c>
      <c r="BJ15" s="59">
        <f t="shared" si="38"/>
        <v>308.42890859885006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11.244444444444445</v>
      </c>
      <c r="N16" s="13">
        <f>IF('Données projet'!$A$36&gt;35,N15+M16-V15,IF(A16&lt;'Données projet'!$A$36,$K$205^A16,IF(A16='Données projet'!$A$36,'Données projet'!$B$36,N15+M16-V15)))</f>
        <v>46.30165110470832</v>
      </c>
      <c r="O16" s="13">
        <f>N16*VLOOKUP('Données projet'!$B$9,Paramètres!$A$1:$I$89,3,0)*VLOOKUP('Données projet'!$B$9,Paramètres!$A$1:$I$89,5,0)</f>
        <v>25.882622967531951</v>
      </c>
      <c r="P16" s="13">
        <f t="shared" si="33"/>
        <v>8.1674443942546979</v>
      </c>
      <c r="Q16" s="20">
        <f t="shared" si="2"/>
        <v>59.303867321778405</v>
      </c>
      <c r="R16" s="59">
        <f t="shared" si="0"/>
        <v>258.84486757339721</v>
      </c>
      <c r="S16" s="59">
        <f ca="1">AVERAGE(OFFSET($R$3,0,0,'Données projet'!$E$9+1,1))-AVERAGE(OFFSET($H$3,0,0,'Données projet'!$E$9+1,1))</f>
        <v>418.8940806978344</v>
      </c>
      <c r="T16" s="59">
        <f t="shared" si="34"/>
        <v>553.49616487922378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10.064285714285713</v>
      </c>
      <c r="AI16" s="13">
        <f>IF('Données projet'!$A$62&gt;35,AI15+AH16-AQ15,IF(A16&lt;'Données projet'!$A$62,$AF$205^A16,IF(A16='Données projet'!$A$62,'Données projet'!$B$62,AI15+AH16-AQ15)))</f>
        <v>130.83571428571429</v>
      </c>
      <c r="AJ16" s="13">
        <f>AI16*VLOOKUP('Données projet'!$B$10,Paramètres!$A$1:$I$89,3,0)*VLOOKUP('Données projet'!$B$10,Paramètres!$A$1:$I$89,5,0)</f>
        <v>61.231114285714291</v>
      </c>
      <c r="AK16" s="13">
        <f t="shared" si="35"/>
        <v>17.479164432025406</v>
      </c>
      <c r="AL16" s="20">
        <f t="shared" si="4"/>
        <v>137.08706876672997</v>
      </c>
      <c r="AM16" s="59">
        <f t="shared" si="5"/>
        <v>336.62806901834881</v>
      </c>
      <c r="AN16" s="59">
        <f ca="1">AVERAGE(OFFSET($AM$3,0,0,'Données projet'!$E$10+1,1))-AVERAGE(OFFSET($H$3,0,0,'Données projet'!$E$10+1,1))</f>
        <v>391.61151255507264</v>
      </c>
      <c r="AO16" s="59">
        <f t="shared" si="36"/>
        <v>365.61278905364281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4.0157894736842108</v>
      </c>
      <c r="BD16" s="12">
        <f>IF('Données projet'!$A$88&gt;35,BD15+BC16-BL15,IF(A16&lt;'Données projet'!$A$88,$BA$205^A16,IF(A16='Données projet'!$A$88,'Données projet'!$B$88,BD15+BC16-BL15)))</f>
        <v>52.205263157894727</v>
      </c>
      <c r="BE16" s="13">
        <f>BD16*VLOOKUP('Données projet'!$B$11,Paramètres!$A$1:$I$89,3,0)*VLOOKUP('Données projet'!$B$11,Paramètres!$A$1:$I$89,5,0)</f>
        <v>49.678528421052619</v>
      </c>
      <c r="BF16" s="13">
        <f t="shared" si="37"/>
        <v>14.530707085709739</v>
      </c>
      <c r="BG16" s="20">
        <f t="shared" si="7"/>
        <v>111.83108517427776</v>
      </c>
      <c r="BH16" s="59">
        <f t="shared" si="8"/>
        <v>311.37208542589656</v>
      </c>
      <c r="BI16" s="59">
        <f ca="1">AVERAGE(OFFSET($BH$3,0,0,'Données projet'!$E$11+1,1))-AVERAGE(OFFSET($H$3,0,0,'Données projet'!$E$11+1,1))</f>
        <v>486.36809102684492</v>
      </c>
      <c r="BJ16" s="59">
        <f t="shared" si="38"/>
        <v>308.42890859885006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11.244444444444445</v>
      </c>
      <c r="N17" s="13">
        <f>IF('Données projet'!$A$36&gt;35,N16+M17-V16,IF(A17&lt;'Données projet'!$A$36,$K$205^A17,IF(A17='Données projet'!$A$36,'Données projet'!$B$36,N16+M17-V16)))</f>
        <v>62.189817754897391</v>
      </c>
      <c r="O17" s="13">
        <f>N17*VLOOKUP('Données projet'!$B$9,Paramètres!$A$1:$I$89,3,0)*VLOOKUP('Données projet'!$B$9,Paramètres!$A$1:$I$89,5,0)</f>
        <v>34.764108124987644</v>
      </c>
      <c r="P17" s="13">
        <f t="shared" si="33"/>
        <v>10.599746959546684</v>
      </c>
      <c r="Q17" s="20">
        <f t="shared" si="2"/>
        <v>79.00871427223062</v>
      </c>
      <c r="R17" s="59">
        <f t="shared" si="0"/>
        <v>281.03857604450383</v>
      </c>
      <c r="S17" s="59">
        <f ca="1">AVERAGE(OFFSET($R$3,0,0,'Données projet'!$E$9+1,1))-AVERAGE(OFFSET($H$3,0,0,'Données projet'!$E$9+1,1))</f>
        <v>418.8940806978344</v>
      </c>
      <c r="T17" s="59">
        <f t="shared" si="34"/>
        <v>553.49616487922378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10.064285714285713</v>
      </c>
      <c r="AI17" s="13">
        <f>IF('Données projet'!$A$62&gt;35,AI16+AH17-AQ16,IF(A17&lt;'Données projet'!$A$62,$AF$205^A17,IF(A17='Données projet'!$A$62,'Données projet'!$B$62,AI16+AH17-AQ16)))</f>
        <v>140.9</v>
      </c>
      <c r="AJ17" s="13">
        <f>AI17*VLOOKUP('Données projet'!$B$10,Paramètres!$A$1:$I$89,3,0)*VLOOKUP('Données projet'!$B$10,Paramètres!$A$1:$I$89,5,0)</f>
        <v>65.941199999999995</v>
      </c>
      <c r="AK17" s="13">
        <f t="shared" si="35"/>
        <v>18.662037344500646</v>
      </c>
      <c r="AL17" s="20">
        <f t="shared" si="4"/>
        <v>147.35063837500527</v>
      </c>
      <c r="AM17" s="59">
        <f t="shared" si="5"/>
        <v>349.38050014727844</v>
      </c>
      <c r="AN17" s="59">
        <f ca="1">AVERAGE(OFFSET($AM$3,0,0,'Données projet'!$E$10+1,1))-AVERAGE(OFFSET($H$3,0,0,'Données projet'!$E$10+1,1))</f>
        <v>391.61151255507264</v>
      </c>
      <c r="AO17" s="59">
        <f t="shared" si="36"/>
        <v>365.61278905364281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4.0157894736842108</v>
      </c>
      <c r="BD17" s="12">
        <f>IF('Données projet'!$A$88&gt;35,BD16+BC17-BL16,IF(A17&lt;'Données projet'!$A$88,$BA$205^A17,IF(A17='Données projet'!$A$88,'Données projet'!$B$88,BD16+BC17-BL16)))</f>
        <v>56.221052631578935</v>
      </c>
      <c r="BE17" s="13">
        <f>BD17*VLOOKUP('Données projet'!$B$11,Paramètres!$A$1:$I$89,3,0)*VLOOKUP('Données projet'!$B$11,Paramètres!$A$1:$I$89,5,0)</f>
        <v>53.499953684210517</v>
      </c>
      <c r="BF17" s="13">
        <f t="shared" si="37"/>
        <v>15.514048130279715</v>
      </c>
      <c r="BG17" s="20">
        <f t="shared" si="7"/>
        <v>120.19938649357049</v>
      </c>
      <c r="BH17" s="59">
        <f t="shared" si="8"/>
        <v>322.22924826584369</v>
      </c>
      <c r="BI17" s="59">
        <f ca="1">AVERAGE(OFFSET($BH$3,0,0,'Données projet'!$E$11+1,1))-AVERAGE(OFFSET($H$3,0,0,'Données projet'!$E$11+1,1))</f>
        <v>486.36809102684492</v>
      </c>
      <c r="BJ17" s="59">
        <f t="shared" si="38"/>
        <v>308.42890859885006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11.244444444444445</v>
      </c>
      <c r="N18" s="13">
        <f>IF('Données projet'!$A$36&gt;35,N17+M18-V17,IF(A18&lt;'Données projet'!$A$36,$K$205^A18,IF(A18='Données projet'!$A$36,'Données projet'!$B$36,N17+M18-V17)))</f>
        <v>83.529924745903187</v>
      </c>
      <c r="O18" s="13">
        <f>N18*VLOOKUP('Données projet'!$B$9,Paramètres!$A$1:$I$89,3,0)*VLOOKUP('Données projet'!$B$9,Paramètres!$A$1:$I$89,5,0)</f>
        <v>46.693227932959886</v>
      </c>
      <c r="P18" s="13">
        <f t="shared" si="33"/>
        <v>13.756400433586524</v>
      </c>
      <c r="Q18" s="20">
        <f t="shared" si="2"/>
        <v>105.28310273840164</v>
      </c>
      <c r="R18" s="59">
        <f t="shared" si="0"/>
        <v>309.7798526712827</v>
      </c>
      <c r="S18" s="59">
        <f ca="1">AVERAGE(OFFSET($R$3,0,0,'Données projet'!$E$9+1,1))-AVERAGE(OFFSET($H$3,0,0,'Données projet'!$E$9+1,1))</f>
        <v>418.8940806978344</v>
      </c>
      <c r="T18" s="59">
        <f t="shared" si="34"/>
        <v>553.49616487922378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10.064285714285713</v>
      </c>
      <c r="AI18" s="13">
        <f>IF('Données projet'!$A$62&gt;35,AI17+AH18-AQ17,IF(A18&lt;'Données projet'!$A$62,$AF$205^A18,IF(A18='Données projet'!$A$62,'Données projet'!$B$62,AI17+AH18-AQ17)))</f>
        <v>150.96428571428572</v>
      </c>
      <c r="AJ18" s="13">
        <f>AI18*VLOOKUP('Données projet'!$B$10,Paramètres!$A$1:$I$89,3,0)*VLOOKUP('Données projet'!$B$10,Paramètres!$A$1:$I$89,5,0)</f>
        <v>70.65128571428572</v>
      </c>
      <c r="AK18" s="13">
        <f t="shared" si="35"/>
        <v>19.835107489883814</v>
      </c>
      <c r="AL18" s="20">
        <f t="shared" si="4"/>
        <v>157.59713483059525</v>
      </c>
      <c r="AM18" s="59">
        <f t="shared" si="5"/>
        <v>362.0938847634763</v>
      </c>
      <c r="AN18" s="59">
        <f ca="1">AVERAGE(OFFSET($AM$3,0,0,'Données projet'!$E$10+1,1))-AVERAGE(OFFSET($H$3,0,0,'Données projet'!$E$10+1,1))</f>
        <v>391.61151255507264</v>
      </c>
      <c r="AO18" s="59">
        <f t="shared" si="36"/>
        <v>365.61278905364281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4.0157894736842108</v>
      </c>
      <c r="BD18" s="12">
        <f>IF('Données projet'!$A$88&gt;35,BD17+BC18-BL17,IF(A18&lt;'Données projet'!$A$88,$BA$205^A18,IF(A18='Données projet'!$A$88,'Données projet'!$B$88,BD17+BC18-BL17)))</f>
        <v>60.236842105263143</v>
      </c>
      <c r="BE18" s="13">
        <f>BD18*VLOOKUP('Données projet'!$B$11,Paramètres!$A$1:$I$89,3,0)*VLOOKUP('Données projet'!$B$11,Paramètres!$A$1:$I$89,5,0)</f>
        <v>57.321378947368409</v>
      </c>
      <c r="BF18" s="13">
        <f t="shared" si="37"/>
        <v>16.489239978828419</v>
      </c>
      <c r="BG18" s="20">
        <f t="shared" si="7"/>
        <v>128.55349462979279</v>
      </c>
      <c r="BH18" s="59">
        <f t="shared" si="8"/>
        <v>333.05024456267381</v>
      </c>
      <c r="BI18" s="59">
        <f ca="1">AVERAGE(OFFSET($BH$3,0,0,'Données projet'!$E$11+1,1))-AVERAGE(OFFSET($H$3,0,0,'Données projet'!$E$11+1,1))</f>
        <v>486.36809102684492</v>
      </c>
      <c r="BJ18" s="59">
        <f t="shared" si="38"/>
        <v>308.42890859885006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11.244444444444445</v>
      </c>
      <c r="N19" s="13">
        <f>IF('Données projet'!$A$36&gt;35,N18+M19-V18,IF(A19&lt;'Données projet'!$A$36,$K$205^A19,IF(A19='Données projet'!$A$36,'Données projet'!$B$36,N18+M19-V18)))</f>
        <v>112.19277656601264</v>
      </c>
      <c r="O19" s="13">
        <f>N19*VLOOKUP('Données projet'!$B$9,Paramètres!$A$1:$I$89,3,0)*VLOOKUP('Données projet'!$B$9,Paramètres!$A$1:$I$89,5,0)</f>
        <v>62.715762100401065</v>
      </c>
      <c r="P19" s="13">
        <f t="shared" si="33"/>
        <v>17.853119853841552</v>
      </c>
      <c r="Q19" s="20">
        <f t="shared" si="2"/>
        <v>140.32413607030585</v>
      </c>
      <c r="R19" s="59">
        <f t="shared" si="0"/>
        <v>347.26618199241989</v>
      </c>
      <c r="S19" s="59">
        <f ca="1">AVERAGE(OFFSET($R$3,0,0,'Données projet'!$E$9+1,1))-AVERAGE(OFFSET($H$3,0,0,'Données projet'!$E$9+1,1))</f>
        <v>418.8940806978344</v>
      </c>
      <c r="T19" s="59">
        <f t="shared" si="34"/>
        <v>553.49616487922378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10.064285714285713</v>
      </c>
      <c r="AI19" s="13">
        <f>IF('Données projet'!$A$62&gt;35,AI18+AH19-AQ18,IF(A19&lt;'Données projet'!$A$62,$AF$205^A19,IF(A19='Données projet'!$A$62,'Données projet'!$B$62,AI18+AH19-AQ18)))</f>
        <v>161.02857142857144</v>
      </c>
      <c r="AJ19" s="13">
        <f>AI19*VLOOKUP('Données projet'!$B$10,Paramètres!$A$1:$I$89,3,0)*VLOOKUP('Données projet'!$B$10,Paramètres!$A$1:$I$89,5,0)</f>
        <v>75.361371428571431</v>
      </c>
      <c r="AK19" s="13">
        <f t="shared" si="35"/>
        <v>20.999102746035849</v>
      </c>
      <c r="AL19" s="20">
        <f t="shared" si="4"/>
        <v>167.82782585410766</v>
      </c>
      <c r="AM19" s="59">
        <f t="shared" si="5"/>
        <v>374.76987177622175</v>
      </c>
      <c r="AN19" s="59">
        <f ca="1">AVERAGE(OFFSET($AM$3,0,0,'Données projet'!$E$10+1,1))-AVERAGE(OFFSET($H$3,0,0,'Données projet'!$E$10+1,1))</f>
        <v>391.61151255507264</v>
      </c>
      <c r="AO19" s="59">
        <f t="shared" si="36"/>
        <v>365.61278905364281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4.0157894736842108</v>
      </c>
      <c r="BD19" s="12">
        <f>IF('Données projet'!$A$88&gt;35,BD18+BC19-BL18,IF(A19&lt;'Données projet'!$A$88,$BA$205^A19,IF(A19='Données projet'!$A$88,'Données projet'!$B$88,BD18+BC19-BL18)))</f>
        <v>64.252631578947359</v>
      </c>
      <c r="BE19" s="13">
        <f>BD19*VLOOKUP('Données projet'!$B$11,Paramètres!$A$1:$I$89,3,0)*VLOOKUP('Données projet'!$B$11,Paramètres!$A$1:$I$89,5,0)</f>
        <v>61.142804210526307</v>
      </c>
      <c r="BF19" s="13">
        <f t="shared" si="37"/>
        <v>17.456887727785546</v>
      </c>
      <c r="BG19" s="20">
        <f t="shared" si="7"/>
        <v>136.89446345922644</v>
      </c>
      <c r="BH19" s="59">
        <f t="shared" si="8"/>
        <v>343.83650938134053</v>
      </c>
      <c r="BI19" s="59">
        <f ca="1">AVERAGE(OFFSET($BH$3,0,0,'Données projet'!$E$11+1,1))-AVERAGE(OFFSET($H$3,0,0,'Données projet'!$E$11+1,1))</f>
        <v>486.36809102684492</v>
      </c>
      <c r="BJ19" s="59">
        <f t="shared" si="38"/>
        <v>308.42890859885006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11.244444444444445</v>
      </c>
      <c r="N20" s="13">
        <f>IF('Données projet'!$A$36&gt;35,N19+M20-V19,IF(A20&lt;'Données projet'!$A$36,$K$205^A20,IF(A20='Données projet'!$A$36,'Données projet'!$B$36,N19+M20-V19)))</f>
        <v>150.69113436749012</v>
      </c>
      <c r="O20" s="13">
        <f>N20*VLOOKUP('Données projet'!$B$9,Paramètres!$A$1:$I$89,3,0)*VLOOKUP('Données projet'!$B$9,Paramètres!$A$1:$I$89,5,0)</f>
        <v>84.236344111426988</v>
      </c>
      <c r="P20" s="13">
        <f t="shared" si="33"/>
        <v>23.169861189663852</v>
      </c>
      <c r="Q20" s="20">
        <f t="shared" si="2"/>
        <v>187.06580756606652</v>
      </c>
      <c r="R20" s="59">
        <f t="shared" si="0"/>
        <v>396.43193188193925</v>
      </c>
      <c r="S20" s="59">
        <f ca="1">AVERAGE(OFFSET($R$3,0,0,'Données projet'!$E$9+1,1))-AVERAGE(OFFSET($H$3,0,0,'Données projet'!$E$9+1,1))</f>
        <v>418.8940806978344</v>
      </c>
      <c r="T20" s="59">
        <f t="shared" si="34"/>
        <v>553.49616487922378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10.064285714285713</v>
      </c>
      <c r="AI20" s="13">
        <f>IF('Données projet'!$A$62&gt;35,AI19+AH20-AQ19,IF(A20&lt;'Données projet'!$A$62,$AF$205^A20,IF(A20='Données projet'!$A$62,'Données projet'!$B$62,AI19+AH20-AQ19)))</f>
        <v>171.09285714285716</v>
      </c>
      <c r="AJ20" s="13">
        <f>AI20*VLOOKUP('Données projet'!$B$10,Paramètres!$A$1:$I$89,3,0)*VLOOKUP('Données projet'!$B$10,Paramètres!$A$1:$I$89,5,0)</f>
        <v>80.071457142857156</v>
      </c>
      <c r="AK20" s="13">
        <f t="shared" si="35"/>
        <v>22.154654863611391</v>
      </c>
      <c r="AL20" s="20">
        <f t="shared" si="4"/>
        <v>178.04381174459937</v>
      </c>
      <c r="AM20" s="59">
        <f t="shared" si="5"/>
        <v>387.40993606047209</v>
      </c>
      <c r="AN20" s="59">
        <f ca="1">AVERAGE(OFFSET($AM$3,0,0,'Données projet'!$E$10+1,1))-AVERAGE(OFFSET($H$3,0,0,'Données projet'!$E$10+1,1))</f>
        <v>391.61151255507264</v>
      </c>
      <c r="AO20" s="59">
        <f t="shared" si="36"/>
        <v>365.61278905364281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4.0157894736842108</v>
      </c>
      <c r="BD20" s="12">
        <f>IF('Données projet'!$A$88&gt;35,BD19+BC20-BL19,IF(A20&lt;'Données projet'!$A$88,$BA$205^A20,IF(A20='Données projet'!$A$88,'Données projet'!$B$88,BD19+BC20-BL19)))</f>
        <v>68.268421052631567</v>
      </c>
      <c r="BE20" s="13">
        <f>BD20*VLOOKUP('Données projet'!$B$11,Paramètres!$A$1:$I$89,3,0)*VLOOKUP('Données projet'!$B$11,Paramètres!$A$1:$I$89,5,0)</f>
        <v>64.964229473684199</v>
      </c>
      <c r="BF20" s="13">
        <f t="shared" si="37"/>
        <v>18.417516561507004</v>
      </c>
      <c r="BG20" s="20">
        <f t="shared" si="7"/>
        <v>145.22320767795802</v>
      </c>
      <c r="BH20" s="59">
        <f t="shared" si="8"/>
        <v>354.58933199383074</v>
      </c>
      <c r="BI20" s="59">
        <f ca="1">AVERAGE(OFFSET($BH$3,0,0,'Données projet'!$E$11+1,1))-AVERAGE(OFFSET($H$3,0,0,'Données projet'!$E$11+1,1))</f>
        <v>486.36809102684492</v>
      </c>
      <c r="BJ20" s="59">
        <f t="shared" si="38"/>
        <v>308.42890859885006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202.4</v>
      </c>
      <c r="L21" s="12">
        <f>VLOOKUP(A21,'Données projet'!$A$35:$I$55,9,0)</f>
        <v>11.244444444444445</v>
      </c>
      <c r="M21" s="12">
        <f t="array" ref="M21">INDEX(L:L,MIN(IF(ISNUMBER(L21:L217),ROW(L21:L217),"")))</f>
        <v>11.244444444444445</v>
      </c>
      <c r="N21" s="13">
        <f>IF('Données projet'!$A$36&gt;35,N20+M21-V20,IF(A21&lt;'Données projet'!$A$36,$K$205^A21,IF(A21='Données projet'!$A$36,'Données projet'!$B$36,N20+M21-V20)))</f>
        <v>202.4</v>
      </c>
      <c r="O21" s="13">
        <f>N21*VLOOKUP('Données projet'!$B$9,Paramètres!$A$1:$I$89,3,0)*VLOOKUP('Données projet'!$B$9,Paramètres!$A$1:$I$89,5,0)</f>
        <v>113.1416</v>
      </c>
      <c r="P21" s="13">
        <f t="shared" si="33"/>
        <v>30.069952587742019</v>
      </c>
      <c r="Q21" s="20">
        <f t="shared" si="2"/>
        <v>249.42678742365061</v>
      </c>
      <c r="R21" s="59">
        <f t="shared" si="0"/>
        <v>461.19614061565369</v>
      </c>
      <c r="S21" s="59">
        <f ca="1">AVERAGE(OFFSET($R$3,0,0,'Données projet'!$E$9+1,1))-AVERAGE(OFFSET($H$3,0,0,'Données projet'!$E$9+1,1))</f>
        <v>418.8940806978344</v>
      </c>
      <c r="T21" s="59">
        <f t="shared" si="34"/>
        <v>553.49616487922378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</v>
      </c>
      <c r="W21" s="16">
        <f>IF(ISNA(VLOOKUP(A21,'Données projet'!$A$35:$I$55,5,0)),0%,VLOOKUP(A21,'Données projet'!$A$35:$I$55,5,0)*VLOOKUP('Données projet'!$B$9,Paramètres!$A$1:$I$89,7,0))</f>
        <v>0.13750000000000001</v>
      </c>
      <c r="X21" s="16">
        <f>IF(ISNA(VLOOKUP(A21,'Données projet'!$A$35:$I$55,6,0)),0%,VLOOKUP(A21,'Données projet'!$A$35:$I$55,6,0)*VLOOKUP('Données projet'!$B$9,Paramètres!$A$1:$I$89,7,0))</f>
        <v>0.20350000000000001</v>
      </c>
      <c r="Y21" s="16">
        <f>IF(ISNA(VLOOKUP(A21,'Données projet'!$A$35:$I$55,7,0)),0%,VLOOKUP(A21,'Données projet'!$A$35:$I$55,7,0))</f>
        <v>0.38</v>
      </c>
      <c r="Z21" s="21">
        <f>EXP(-LN(2)/35)*Z20+(1-EXP(-LN(2)/35))/(LN(2)/35)*V21*W21*VLOOKUP('Données projet'!$B$9,Paramètres!$A$1:$I$89,3,0)*0.475*44/12</f>
        <v>7.6268369221253813</v>
      </c>
      <c r="AA21" s="21">
        <f>EXP(-LN(2)/25)*AA20+(1-EXP(-LN(2)/25))/(LN(2)/25)*Calculateur!V21*Calculateur!X21*VLOOKUP('Données projet'!$B$9,Paramètres!$A$1:$I$89,3,0)*0.475*44/12</f>
        <v>11.243274595483205</v>
      </c>
      <c r="AB21" s="21">
        <f>EXP(-LN(2)/2)*AB20+(1-EXP(-LN(2)/2))/(LN(2)/2)*V21*Y21*VLOOKUP('Données projet'!$B$9,Paramètres!$A$1:$I$89,3,0)*0.475*44/12</f>
        <v>17.990057091114775</v>
      </c>
      <c r="AC21" s="22">
        <f t="shared" si="3"/>
        <v>36.860168608723356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10.064285714285713</v>
      </c>
      <c r="AI21" s="13">
        <f>IF('Données projet'!$A$62&gt;35,AI20+AH21-AQ20,IF(A21&lt;'Données projet'!$A$62,$AF$205^A21,IF(A21='Données projet'!$A$62,'Données projet'!$B$62,AI20+AH21-AQ20)))</f>
        <v>181.15714285714287</v>
      </c>
      <c r="AJ21" s="13">
        <f>AI21*VLOOKUP('Données projet'!$B$10,Paramètres!$A$1:$I$89,3,0)*VLOOKUP('Données projet'!$B$10,Paramètres!$A$1:$I$89,5,0)</f>
        <v>84.781542857142853</v>
      </c>
      <c r="AK21" s="13">
        <f t="shared" si="35"/>
        <v>23.302317071063975</v>
      </c>
      <c r="AL21" s="20">
        <f t="shared" si="4"/>
        <v>188.24605604162687</v>
      </c>
      <c r="AM21" s="59">
        <f t="shared" si="5"/>
        <v>400.01540923362995</v>
      </c>
      <c r="AN21" s="59">
        <f ca="1">AVERAGE(OFFSET($AM$3,0,0,'Données projet'!$E$10+1,1))-AVERAGE(OFFSET($H$3,0,0,'Données projet'!$E$10+1,1))</f>
        <v>391.61151255507264</v>
      </c>
      <c r="AO21" s="59">
        <f t="shared" si="36"/>
        <v>365.61278905364281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4.0157894736842108</v>
      </c>
      <c r="BD21" s="12">
        <f>IF('Données projet'!$A$88&gt;35,BD20+BC21-BL20,IF(A21&lt;'Données projet'!$A$88,$BA$205^A21,IF(A21='Données projet'!$A$88,'Données projet'!$B$88,BD20+BC21-BL20)))</f>
        <v>72.284210526315775</v>
      </c>
      <c r="BE21" s="13">
        <f>BD21*VLOOKUP('Données projet'!$B$11,Paramètres!$A$1:$I$89,3,0)*VLOOKUP('Données projet'!$B$11,Paramètres!$A$1:$I$89,5,0)</f>
        <v>68.785654736842091</v>
      </c>
      <c r="BF21" s="13">
        <f t="shared" si="37"/>
        <v>19.371586387595386</v>
      </c>
      <c r="BG21" s="20">
        <f t="shared" si="7"/>
        <v>153.54052829172861</v>
      </c>
      <c r="BH21" s="59">
        <f t="shared" si="8"/>
        <v>365.30988148373171</v>
      </c>
      <c r="BI21" s="59">
        <f ca="1">AVERAGE(OFFSET($BH$3,0,0,'Données projet'!$E$11+1,1))-AVERAGE(OFFSET($H$3,0,0,'Données projet'!$E$11+1,1))</f>
        <v>486.36809102684492</v>
      </c>
      <c r="BJ21" s="59">
        <f t="shared" si="38"/>
        <v>308.42890859885006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26.933333333333326</v>
      </c>
      <c r="N22" s="13">
        <f>IF('Données projet'!$A$36&gt;35,N21+M22-V21,IF(A22&lt;'Données projet'!$A$36,$K$205^A22,IF(A22='Données projet'!$A$36,'Données projet'!$B$36,N21+M22-V21)))</f>
        <v>154.53333333333336</v>
      </c>
      <c r="O22" s="13">
        <f>N22*VLOOKUP('Données projet'!$B$9,Paramètres!$A$1:$I$89,3,0)*VLOOKUP('Données projet'!$B$9,Paramètres!$A$1:$I$89,5,0)</f>
        <v>86.384133333333352</v>
      </c>
      <c r="P22" s="13">
        <f t="shared" si="33"/>
        <v>23.69109476920104</v>
      </c>
      <c r="Q22" s="20">
        <f t="shared" si="2"/>
        <v>191.71435561191404</v>
      </c>
      <c r="R22" s="59">
        <f t="shared" si="0"/>
        <v>405.86644985493757</v>
      </c>
      <c r="S22" s="59">
        <f ca="1">AVERAGE(OFFSET($R$3,0,0,'Données projet'!$E$9+1,1))-AVERAGE(OFFSET($H$3,0,0,'Données projet'!$E$9+1,1))</f>
        <v>418.8940806978344</v>
      </c>
      <c r="T22" s="59">
        <f t="shared" si="34"/>
        <v>553.49616487922378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7.4772793019936872</v>
      </c>
      <c r="AA22" s="21">
        <f>EXP(-LN(2)/25)*AA21+(1-EXP(-LN(2)/25))/(LN(2)/25)*Calculateur!V22*Calculateur!X22*VLOOKUP('Données projet'!$B$9,Paramètres!$A$1:$I$89,3,0)*0.475*44/12</f>
        <v>10.935826660411603</v>
      </c>
      <c r="AB22" s="21">
        <f>EXP(-LN(2)/2)*AB21+(1-EXP(-LN(2)/2))/(LN(2)/2)*V22*Y22*VLOOKUP('Données projet'!$B$9,Paramètres!$A$1:$I$89,3,0)*0.475*44/12</f>
        <v>12.720891363060394</v>
      </c>
      <c r="AC22" s="22">
        <f t="shared" si="3"/>
        <v>31.133997325465685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10.064285714285713</v>
      </c>
      <c r="AI22" s="13">
        <f>IF('Données projet'!$A$62&gt;35,AI21+AH22-AQ21,IF(A22&lt;'Données projet'!$A$62,$AF$205^A22,IF(A22='Données projet'!$A$62,'Données projet'!$B$62,AI21+AH22-AQ21)))</f>
        <v>191.22142857142859</v>
      </c>
      <c r="AJ22" s="13">
        <f>AI22*VLOOKUP('Données projet'!$B$10,Paramètres!$A$1:$I$89,3,0)*VLOOKUP('Données projet'!$B$10,Paramètres!$A$1:$I$89,5,0)</f>
        <v>89.491628571428592</v>
      </c>
      <c r="AK22" s="13">
        <f t="shared" si="35"/>
        <v>24.442577655267876</v>
      </c>
      <c r="AL22" s="20">
        <f t="shared" si="4"/>
        <v>198.43540917816301</v>
      </c>
      <c r="AM22" s="59">
        <f t="shared" si="5"/>
        <v>412.58750342118651</v>
      </c>
      <c r="AN22" s="59">
        <f ca="1">AVERAGE(OFFSET($AM$3,0,0,'Données projet'!$E$10+1,1))-AVERAGE(OFFSET($H$3,0,0,'Données projet'!$E$10+1,1))</f>
        <v>391.61151255507264</v>
      </c>
      <c r="AO22" s="59">
        <f t="shared" si="36"/>
        <v>365.61278905364281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4.0157894736842108</v>
      </c>
      <c r="BD22" s="12">
        <f>IF('Données projet'!$A$88&gt;35,BD21+BC22-BL21,IF(A22&lt;'Données projet'!$A$88,$BA$205^A22,IF(A22='Données projet'!$A$88,'Données projet'!$B$88,BD21+BC22-BL21)))</f>
        <v>76.299999999999983</v>
      </c>
      <c r="BE22" s="13">
        <f>BD22*VLOOKUP('Données projet'!$B$11,Paramètres!$A$1:$I$89,3,0)*VLOOKUP('Données projet'!$B$11,Paramètres!$A$1:$I$89,5,0)</f>
        <v>72.607079999999982</v>
      </c>
      <c r="BF22" s="13">
        <f t="shared" si="37"/>
        <v>20.319503126686723</v>
      </c>
      <c r="BG22" s="20">
        <f t="shared" si="7"/>
        <v>161.84713227897933</v>
      </c>
      <c r="BH22" s="59">
        <f t="shared" si="8"/>
        <v>375.99922652200286</v>
      </c>
      <c r="BI22" s="59">
        <f ca="1">AVERAGE(OFFSET($BH$3,0,0,'Données projet'!$E$11+1,1))-AVERAGE(OFFSET($H$3,0,0,'Données projet'!$E$11+1,1))</f>
        <v>486.36809102684492</v>
      </c>
      <c r="BJ22" s="59">
        <f t="shared" si="38"/>
        <v>308.42890859885006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26.933333333333326</v>
      </c>
      <c r="N23" s="13">
        <f>IF('Données projet'!$A$36&gt;35,N22+M23-V22,IF(A23&lt;'Données projet'!$A$36,$K$205^A23,IF(A23='Données projet'!$A$36,'Données projet'!$B$36,N22+M23-V22)))</f>
        <v>181.4666666666667</v>
      </c>
      <c r="O23" s="13">
        <f>N23*VLOOKUP('Données projet'!$B$9,Paramètres!$A$1:$I$89,3,0)*VLOOKUP('Données projet'!$B$9,Paramètres!$A$1:$I$89,5,0)</f>
        <v>101.43986666666669</v>
      </c>
      <c r="P23" s="13">
        <f t="shared" si="33"/>
        <v>27.304739996442038</v>
      </c>
      <c r="Q23" s="20">
        <f t="shared" si="2"/>
        <v>224.23018993824769</v>
      </c>
      <c r="R23" s="59">
        <f t="shared" si="0"/>
        <v>440.74489282514344</v>
      </c>
      <c r="S23" s="59">
        <f ca="1">AVERAGE(OFFSET($R$3,0,0,'Données projet'!$E$9+1,1))-AVERAGE(OFFSET($H$3,0,0,'Données projet'!$E$9+1,1))</f>
        <v>418.8940806978344</v>
      </c>
      <c r="T23" s="59">
        <f t="shared" si="34"/>
        <v>553.49616487922378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7.3306544155716349</v>
      </c>
      <c r="AA23" s="21">
        <f>EXP(-LN(2)/25)*AA22+(1-EXP(-LN(2)/25))/(LN(2)/25)*Calculateur!V23*Calculateur!X23*VLOOKUP('Données projet'!$B$9,Paramètres!$A$1:$I$89,3,0)*0.475*44/12</f>
        <v>10.636785905292518</v>
      </c>
      <c r="AB23" s="21">
        <f>EXP(-LN(2)/2)*AB22+(1-EXP(-LN(2)/2))/(LN(2)/2)*V23*Y23*VLOOKUP('Données projet'!$B$9,Paramètres!$A$1:$I$89,3,0)*0.475*44/12</f>
        <v>8.9950285455573891</v>
      </c>
      <c r="AC23" s="22">
        <f t="shared" si="3"/>
        <v>26.962468866421542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10.064285714285713</v>
      </c>
      <c r="AI23" s="13">
        <f>IF('Données projet'!$A$62&gt;35,AI22+AH23-AQ22,IF(A23&lt;'Données projet'!$A$62,$AF$205^A23,IF(A23='Données projet'!$A$62,'Données projet'!$B$62,AI22+AH23-AQ22)))</f>
        <v>201.28571428571431</v>
      </c>
      <c r="AJ23" s="13">
        <f>AI23*VLOOKUP('Données projet'!$B$10,Paramètres!$A$1:$I$89,3,0)*VLOOKUP('Données projet'!$B$10,Paramètres!$A$1:$I$89,5,0)</f>
        <v>94.201714285714289</v>
      </c>
      <c r="AK23" s="13">
        <f t="shared" si="35"/>
        <v>25.575870601498497</v>
      </c>
      <c r="AL23" s="20">
        <f t="shared" si="4"/>
        <v>208.6126270118956</v>
      </c>
      <c r="AM23" s="59">
        <f t="shared" si="5"/>
        <v>425.12732989879134</v>
      </c>
      <c r="AN23" s="59">
        <f ca="1">AVERAGE(OFFSET($AM$3,0,0,'Données projet'!$E$10+1,1))-AVERAGE(OFFSET($H$3,0,0,'Données projet'!$E$10+1,1))</f>
        <v>391.61151255507264</v>
      </c>
      <c r="AO23" s="59">
        <f t="shared" si="36"/>
        <v>365.61278905364281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4.0157894736842108</v>
      </c>
      <c r="BD23" s="12">
        <f>IF('Données projet'!$A$88&gt;35,BD22+BC23-BL22,IF(A23&lt;'Données projet'!$A$88,$BA$205^A23,IF(A23='Données projet'!$A$88,'Données projet'!$B$88,BD22+BC23-BL22)))</f>
        <v>80.315789473684191</v>
      </c>
      <c r="BE23" s="13">
        <f>BD23*VLOOKUP('Données projet'!$B$11,Paramètres!$A$1:$I$89,3,0)*VLOOKUP('Données projet'!$B$11,Paramètres!$A$1:$I$89,5,0)</f>
        <v>76.428505263157874</v>
      </c>
      <c r="BF23" s="13">
        <f t="shared" si="37"/>
        <v>21.261627557635279</v>
      </c>
      <c r="BG23" s="20">
        <f t="shared" si="7"/>
        <v>170.14364799621472</v>
      </c>
      <c r="BH23" s="59">
        <f t="shared" si="8"/>
        <v>386.65835088311042</v>
      </c>
      <c r="BI23" s="59">
        <f ca="1">AVERAGE(OFFSET($BH$3,0,0,'Données projet'!$E$11+1,1))-AVERAGE(OFFSET($H$3,0,0,'Données projet'!$E$11+1,1))</f>
        <v>486.36809102684492</v>
      </c>
      <c r="BJ23" s="59">
        <f t="shared" si="38"/>
        <v>308.42890859885006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26.933333333333326</v>
      </c>
      <c r="N24" s="13">
        <f>IF('Données projet'!$A$36&gt;35,N23+M24-V23,IF(A24&lt;'Données projet'!$A$36,$K$205^A24,IF(A24='Données projet'!$A$36,'Données projet'!$B$36,N23+M24-V23)))</f>
        <v>208.40000000000003</v>
      </c>
      <c r="O24" s="13">
        <f>N24*VLOOKUP('Données projet'!$B$9,Paramètres!$A$1:$I$89,3,0)*VLOOKUP('Données projet'!$B$9,Paramètres!$A$1:$I$89,5,0)</f>
        <v>116.49560000000001</v>
      </c>
      <c r="P24" s="13">
        <f t="shared" si="33"/>
        <v>30.856251023053328</v>
      </c>
      <c r="Q24" s="20">
        <f t="shared" si="2"/>
        <v>256.63780719848455</v>
      </c>
      <c r="R24" s="59">
        <f t="shared" si="0"/>
        <v>475.49533557435893</v>
      </c>
      <c r="S24" s="59">
        <f ca="1">AVERAGE(OFFSET($R$3,0,0,'Données projet'!$E$9+1,1))-AVERAGE(OFFSET($H$3,0,0,'Données projet'!$E$9+1,1))</f>
        <v>418.8940806978344</v>
      </c>
      <c r="T24" s="59">
        <f t="shared" si="34"/>
        <v>553.49616487922378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7.1869047537399684</v>
      </c>
      <c r="AA24" s="21">
        <f>EXP(-LN(2)/25)*AA23+(1-EXP(-LN(2)/25))/(LN(2)/25)*Calculateur!V24*Calculateur!X24*VLOOKUP('Données projet'!$B$9,Paramètres!$A$1:$I$89,3,0)*0.475*44/12</f>
        <v>10.345922435348035</v>
      </c>
      <c r="AB24" s="21">
        <f>EXP(-LN(2)/2)*AB23+(1-EXP(-LN(2)/2))/(LN(2)/2)*V24*Y24*VLOOKUP('Données projet'!$B$9,Paramètres!$A$1:$I$89,3,0)*0.475*44/12</f>
        <v>6.360445681530198</v>
      </c>
      <c r="AC24" s="22">
        <f t="shared" si="3"/>
        <v>23.893272870618201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10.064285714285713</v>
      </c>
      <c r="AI24" s="13">
        <f>IF('Données projet'!$A$62&gt;35,AI23+AH24-AQ23,IF(A24&lt;'Données projet'!$A$62,$AF$205^A24,IF(A24='Données projet'!$A$62,'Données projet'!$B$62,AI23+AH24-AQ23)))</f>
        <v>211.35000000000002</v>
      </c>
      <c r="AJ24" s="13">
        <f>AI24*VLOOKUP('Données projet'!$B$10,Paramètres!$A$1:$I$89,3,0)*VLOOKUP('Données projet'!$B$10,Paramètres!$A$1:$I$89,5,0)</f>
        <v>98.911799999999999</v>
      </c>
      <c r="AK24" s="13">
        <f t="shared" si="35"/>
        <v>26.702584044942924</v>
      </c>
      <c r="AL24" s="20">
        <f t="shared" si="4"/>
        <v>218.77838554494224</v>
      </c>
      <c r="AM24" s="59">
        <f t="shared" si="5"/>
        <v>437.63591392081662</v>
      </c>
      <c r="AN24" s="59">
        <f ca="1">AVERAGE(OFFSET($AM$3,0,0,'Données projet'!$E$10+1,1))-AVERAGE(OFFSET($H$3,0,0,'Données projet'!$E$10+1,1))</f>
        <v>391.61151255507264</v>
      </c>
      <c r="AO24" s="59">
        <f t="shared" si="36"/>
        <v>365.61278905364281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4.0157894736842108</v>
      </c>
      <c r="BD24" s="12">
        <f>IF('Données projet'!$A$88&gt;35,BD23+BC24-BL23,IF(A24&lt;'Données projet'!$A$88,$BA$205^A24,IF(A24='Données projet'!$A$88,'Données projet'!$B$88,BD23+BC24-BL23)))</f>
        <v>84.331578947368399</v>
      </c>
      <c r="BE24" s="13">
        <f>BD24*VLOOKUP('Données projet'!$B$11,Paramètres!$A$1:$I$89,3,0)*VLOOKUP('Données projet'!$B$11,Paramètres!$A$1:$I$89,5,0)</f>
        <v>80.249930526315765</v>
      </c>
      <c r="BF24" s="13">
        <f t="shared" si="37"/>
        <v>22.198282343388396</v>
      </c>
      <c r="BG24" s="20">
        <f t="shared" si="7"/>
        <v>178.43063741473475</v>
      </c>
      <c r="BH24" s="59">
        <f t="shared" si="8"/>
        <v>397.28816579060913</v>
      </c>
      <c r="BI24" s="59">
        <f ca="1">AVERAGE(OFFSET($BH$3,0,0,'Données projet'!$E$11+1,1))-AVERAGE(OFFSET($H$3,0,0,'Données projet'!$E$11+1,1))</f>
        <v>486.36809102684492</v>
      </c>
      <c r="BJ24" s="59">
        <f t="shared" si="38"/>
        <v>308.42890859885006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26.933333333333326</v>
      </c>
      <c r="N25" s="13">
        <f>IF('Données projet'!$A$36&gt;35,N24+M25-V24,IF(A25&lt;'Données projet'!$A$36,$K$205^A25,IF(A25='Données projet'!$A$36,'Données projet'!$B$36,N24+M25-V24)))</f>
        <v>235.33333333333337</v>
      </c>
      <c r="O25" s="13">
        <f>N25*VLOOKUP('Données projet'!$B$9,Paramètres!$A$1:$I$89,3,0)*VLOOKUP('Données projet'!$B$9,Paramètres!$A$1:$I$89,5,0)</f>
        <v>131.55133333333336</v>
      </c>
      <c r="P25" s="13">
        <f t="shared" si="33"/>
        <v>34.354579053171449</v>
      </c>
      <c r="Q25" s="20">
        <f t="shared" si="2"/>
        <v>288.95279740649585</v>
      </c>
      <c r="R25" s="59">
        <f t="shared" si="0"/>
        <v>510.13371130996427</v>
      </c>
      <c r="S25" s="59">
        <f ca="1">AVERAGE(OFFSET($R$3,0,0,'Données projet'!$E$9+1,1))-AVERAGE(OFFSET($H$3,0,0,'Données projet'!$E$9+1,1))</f>
        <v>418.8940806978344</v>
      </c>
      <c r="T25" s="59">
        <f t="shared" si="34"/>
        <v>553.49616487922378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7.0459739350981847</v>
      </c>
      <c r="AA25" s="21">
        <f>EXP(-LN(2)/25)*AA24+(1-EXP(-LN(2)/25))/(LN(2)/25)*Calculateur!V25*Calculateur!X25*VLOOKUP('Données projet'!$B$9,Paramètres!$A$1:$I$89,3,0)*0.475*44/12</f>
        <v>10.063012642285027</v>
      </c>
      <c r="AB25" s="21">
        <f>EXP(-LN(2)/2)*AB24+(1-EXP(-LN(2)/2))/(LN(2)/2)*V25*Y25*VLOOKUP('Données projet'!$B$9,Paramètres!$A$1:$I$89,3,0)*0.475*44/12</f>
        <v>4.4975142727786954</v>
      </c>
      <c r="AC25" s="22">
        <f t="shared" si="3"/>
        <v>21.606500850161908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10.064285714285713</v>
      </c>
      <c r="AI25" s="13">
        <f>IF('Données projet'!$A$62&gt;35,AI24+AH25-AQ24,IF(A25&lt;'Données projet'!$A$62,$AF$205^A25,IF(A25='Données projet'!$A$62,'Données projet'!$B$62,AI24+AH25-AQ24)))</f>
        <v>221.41428571428574</v>
      </c>
      <c r="AJ25" s="13">
        <f>AI25*VLOOKUP('Données projet'!$B$10,Paramètres!$A$1:$I$89,3,0)*VLOOKUP('Données projet'!$B$10,Paramètres!$A$1:$I$89,5,0)</f>
        <v>103.62188571428572</v>
      </c>
      <c r="AK25" s="13">
        <f t="shared" si="35"/>
        <v>27.823067066787086</v>
      </c>
      <c r="AL25" s="20">
        <f t="shared" si="4"/>
        <v>228.93329276036846</v>
      </c>
      <c r="AM25" s="59">
        <f t="shared" si="5"/>
        <v>450.11420666383685</v>
      </c>
      <c r="AN25" s="59">
        <f ca="1">AVERAGE(OFFSET($AM$3,0,0,'Données projet'!$E$10+1,1))-AVERAGE(OFFSET($H$3,0,0,'Données projet'!$E$10+1,1))</f>
        <v>391.61151255507264</v>
      </c>
      <c r="AO25" s="59">
        <f t="shared" si="36"/>
        <v>365.61278905364281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4.0157894736842108</v>
      </c>
      <c r="BD25" s="12">
        <f>IF('Données projet'!$A$88&gt;35,BD24+BC25-BL24,IF(A25&lt;'Données projet'!$A$88,$BA$205^A25,IF(A25='Données projet'!$A$88,'Données projet'!$B$88,BD24+BC25-BL24)))</f>
        <v>88.347368421052607</v>
      </c>
      <c r="BE25" s="13">
        <f>BD25*VLOOKUP('Données projet'!$B$11,Paramètres!$A$1:$I$89,3,0)*VLOOKUP('Données projet'!$B$11,Paramètres!$A$1:$I$89,5,0)</f>
        <v>84.071355789473657</v>
      </c>
      <c r="BF25" s="13">
        <f t="shared" si="37"/>
        <v>23.129757680681848</v>
      </c>
      <c r="BG25" s="20">
        <f t="shared" si="7"/>
        <v>186.70860596052083</v>
      </c>
      <c r="BH25" s="59">
        <f t="shared" si="8"/>
        <v>407.88951986398922</v>
      </c>
      <c r="BI25" s="59">
        <f ca="1">AVERAGE(OFFSET($BH$3,0,0,'Données projet'!$E$11+1,1))-AVERAGE(OFFSET($H$3,0,0,'Données projet'!$E$11+1,1))</f>
        <v>486.36809102684492</v>
      </c>
      <c r="BJ25" s="59">
        <f t="shared" si="38"/>
        <v>308.42890859885006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26.933333333333326</v>
      </c>
      <c r="N26" s="13">
        <f>IF('Données projet'!$A$36&gt;35,N25+M26-V25,IF(A26&lt;'Données projet'!$A$36,$K$205^A26,IF(A26='Données projet'!$A$36,'Données projet'!$B$36,N25+M26-V25)))</f>
        <v>262.26666666666671</v>
      </c>
      <c r="O26" s="13">
        <f>N26*VLOOKUP('Données projet'!$B$9,Paramètres!$A$1:$I$89,3,0)*VLOOKUP('Données projet'!$B$9,Paramètres!$A$1:$I$89,5,0)</f>
        <v>146.6070666666667</v>
      </c>
      <c r="P26" s="13">
        <f t="shared" si="33"/>
        <v>37.806505634461281</v>
      </c>
      <c r="Q26" s="20">
        <f t="shared" si="2"/>
        <v>321.18697175779783</v>
      </c>
      <c r="R26" s="59">
        <f t="shared" si="0"/>
        <v>544.67216846734436</v>
      </c>
      <c r="S26" s="59">
        <f ca="1">AVERAGE(OFFSET($R$3,0,0,'Données projet'!$E$9+1,1))-AVERAGE(OFFSET($H$3,0,0,'Données projet'!$E$9+1,1))</f>
        <v>418.8940806978344</v>
      </c>
      <c r="T26" s="59">
        <f t="shared" si="34"/>
        <v>553.49616487922378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6.9078066838506551</v>
      </c>
      <c r="AA26" s="21">
        <f>EXP(-LN(2)/25)*AA25+(1-EXP(-LN(2)/25))/(LN(2)/25)*Calculateur!V26*Calculateur!X26*VLOOKUP('Données projet'!$B$9,Paramètres!$A$1:$I$89,3,0)*0.475*44/12</f>
        <v>9.7878390323909077</v>
      </c>
      <c r="AB26" s="21">
        <f>EXP(-LN(2)/2)*AB25+(1-EXP(-LN(2)/2))/(LN(2)/2)*V26*Y26*VLOOKUP('Données projet'!$B$9,Paramètres!$A$1:$I$89,3,0)*0.475*44/12</f>
        <v>3.1802228407650994</v>
      </c>
      <c r="AC26" s="22">
        <f t="shared" si="3"/>
        <v>19.875868557006665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10.064285714285713</v>
      </c>
      <c r="AI26" s="13">
        <f>IF('Données projet'!$A$62&gt;35,AI25+AH26-AQ25,IF(A26&lt;'Données projet'!$A$62,$AF$205^A26,IF(A26='Données projet'!$A$62,'Données projet'!$B$62,AI25+AH26-AQ25)))</f>
        <v>231.47857142857146</v>
      </c>
      <c r="AJ26" s="13">
        <f>AI26*VLOOKUP('Données projet'!$B$10,Paramètres!$A$1:$I$89,3,0)*VLOOKUP('Données projet'!$B$10,Paramètres!$A$1:$I$89,5,0)</f>
        <v>108.33197142857144</v>
      </c>
      <c r="AK26" s="13">
        <f t="shared" si="35"/>
        <v>28.937635219722093</v>
      </c>
      <c r="AL26" s="20">
        <f t="shared" si="4"/>
        <v>239.07789824577785</v>
      </c>
      <c r="AM26" s="59">
        <f t="shared" si="5"/>
        <v>462.56309495532435</v>
      </c>
      <c r="AN26" s="59">
        <f ca="1">AVERAGE(OFFSET($AM$3,0,0,'Données projet'!$E$10+1,1))-AVERAGE(OFFSET($H$3,0,0,'Données projet'!$E$10+1,1))</f>
        <v>391.61151255507264</v>
      </c>
      <c r="AO26" s="59">
        <f t="shared" si="36"/>
        <v>365.61278905364281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4.0157894736842108</v>
      </c>
      <c r="BD26" s="12">
        <f>IF('Données projet'!$A$88&gt;35,BD25+BC26-BL25,IF(A26&lt;'Données projet'!$A$88,$BA$205^A26,IF(A26='Données projet'!$A$88,'Données projet'!$B$88,BD25+BC26-BL25)))</f>
        <v>92.363157894736815</v>
      </c>
      <c r="BE26" s="13">
        <f>BD26*VLOOKUP('Données projet'!$B$11,Paramètres!$A$1:$I$89,3,0)*VLOOKUP('Données projet'!$B$11,Paramètres!$A$1:$I$89,5,0)</f>
        <v>87.892781052631562</v>
      </c>
      <c r="BF26" s="13">
        <f t="shared" si="37"/>
        <v>24.056315893480974</v>
      </c>
      <c r="BG26" s="20">
        <f t="shared" si="7"/>
        <v>194.97801051447934</v>
      </c>
      <c r="BH26" s="59">
        <f t="shared" si="8"/>
        <v>418.46320722402584</v>
      </c>
      <c r="BI26" s="59">
        <f ca="1">AVERAGE(OFFSET($BH$3,0,0,'Données projet'!$E$11+1,1))-AVERAGE(OFFSET($H$3,0,0,'Données projet'!$E$11+1,1))</f>
        <v>486.36809102684492</v>
      </c>
      <c r="BJ26" s="59">
        <f t="shared" si="38"/>
        <v>308.42890859885006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289.2</v>
      </c>
      <c r="L27" s="12">
        <f>VLOOKUP(A27,'Données projet'!$A$35:$I$55,9,0)</f>
        <v>26.933333333333326</v>
      </c>
      <c r="M27" s="12">
        <f t="array" ref="M27">INDEX(L:L,MIN(IF(ISNUMBER(L27:L223),ROW(L27:L223),"")))</f>
        <v>26.933333333333326</v>
      </c>
      <c r="N27" s="13">
        <f>IF('Données projet'!$A$36&gt;35,N26+M27-V26,IF(A27&lt;'Données projet'!$A$36,$K$205^A27,IF(A27='Données projet'!$A$36,'Données projet'!$B$36,N26+M27-V26)))</f>
        <v>289.20000000000005</v>
      </c>
      <c r="O27" s="13">
        <f>N27*VLOOKUP('Données projet'!$B$9,Paramètres!$A$1:$I$89,3,0)*VLOOKUP('Données projet'!$B$9,Paramètres!$A$1:$I$89,5,0)</f>
        <v>161.66280000000003</v>
      </c>
      <c r="P27" s="13">
        <f t="shared" si="33"/>
        <v>41.217338614576079</v>
      </c>
      <c r="Q27" s="20">
        <f t="shared" si="2"/>
        <v>353.34957475372011</v>
      </c>
      <c r="R27" s="59">
        <f t="shared" si="0"/>
        <v>579.12028293733988</v>
      </c>
      <c r="S27" s="59">
        <f ca="1">AVERAGE(OFFSET($R$3,0,0,'Données projet'!$E$9+1,1))-AVERAGE(OFFSET($H$3,0,0,'Données projet'!$E$9+1,1))</f>
        <v>418.8940806978344</v>
      </c>
      <c r="T27" s="59">
        <f t="shared" si="34"/>
        <v>553.49616487922378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51.4</v>
      </c>
      <c r="W27" s="16">
        <f>IF(ISNA(VLOOKUP(A27,'Données projet'!$A$35:$I$55,5,0)),0%,VLOOKUP(A27,'Données projet'!$A$35:$I$55,5,0)*VLOOKUP('Données projet'!$B$9,Paramètres!$A$1:$I$89,7,0))</f>
        <v>0.13750000000000001</v>
      </c>
      <c r="X27" s="16">
        <f>IF(ISNA(VLOOKUP(A27,'Données projet'!$A$35:$I$55,6,0)),0%,VLOOKUP(A27,'Données projet'!$A$35:$I$55,6,0)*VLOOKUP('Données projet'!$B$9,Paramètres!$A$1:$I$89,7,0))</f>
        <v>0.20350000000000001</v>
      </c>
      <c r="Y27" s="16">
        <f>IF(ISNA(VLOOKUP(A27,'Données projet'!$A$35:$I$55,7,0)),0%,VLOOKUP(A27,'Données projet'!$A$35:$I$55,7,0))</f>
        <v>0.38</v>
      </c>
      <c r="Z27" s="21">
        <f>EXP(-LN(2)/35)*Z26+(1-EXP(-LN(2)/35))/(LN(2)/35)*V27*W27*VLOOKUP('Données projet'!$B$9,Paramètres!$A$1:$I$89,3,0)*0.475*44/12</f>
        <v>12.013250115576181</v>
      </c>
      <c r="AA27" s="21">
        <f>EXP(-LN(2)/25)*AA26+(1-EXP(-LN(2)/25))/(LN(2)/25)*Calculateur!V27*Calculateur!X27*VLOOKUP('Données projet'!$B$9,Paramètres!$A$1:$I$89,3,0)*0.475*44/12</f>
        <v>17.246183564782456</v>
      </c>
      <c r="AB27" s="21">
        <f>EXP(-LN(2)/2)*AB26+(1-EXP(-LN(2)/2))/(LN(2)/2)*V27*Y27*VLOOKUP('Données projet'!$B$9,Paramètres!$A$1:$I$89,3,0)*0.475*44/12</f>
        <v>14.610908666914741</v>
      </c>
      <c r="AC27" s="22">
        <f t="shared" si="3"/>
        <v>43.870342347273379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10.064285714285713</v>
      </c>
      <c r="AI27" s="13">
        <f>IF('Données projet'!$A$62&gt;35,AI26+AH27-AQ26,IF(A27&lt;'Données projet'!$A$62,$AF$205^A27,IF(A27='Données projet'!$A$62,'Données projet'!$B$62,AI26+AH27-AQ26)))</f>
        <v>241.54285714285717</v>
      </c>
      <c r="AJ27" s="13">
        <f>AI27*VLOOKUP('Données projet'!$B$10,Paramètres!$A$1:$I$89,3,0)*VLOOKUP('Données projet'!$B$10,Paramètres!$A$1:$I$89,5,0)</f>
        <v>113.04205714285716</v>
      </c>
      <c r="AK27" s="13">
        <f t="shared" si="35"/>
        <v>30.046575065377333</v>
      </c>
      <c r="AL27" s="20">
        <f t="shared" si="4"/>
        <v>249.21270109600837</v>
      </c>
      <c r="AM27" s="59">
        <f t="shared" si="5"/>
        <v>474.98340927962818</v>
      </c>
      <c r="AN27" s="59">
        <f ca="1">AVERAGE(OFFSET($AM$3,0,0,'Données projet'!$E$10+1,1))-AVERAGE(OFFSET($H$3,0,0,'Données projet'!$E$10+1,1))</f>
        <v>391.61151255507264</v>
      </c>
      <c r="AO27" s="59">
        <f t="shared" si="36"/>
        <v>365.61278905364281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4.0157894736842108</v>
      </c>
      <c r="BD27" s="12">
        <f>IF('Données projet'!$A$88&gt;35,BD26+BC27-BL26,IF(A27&lt;'Données projet'!$A$88,$BA$205^A27,IF(A27='Données projet'!$A$88,'Données projet'!$B$88,BD26+BC27-BL26)))</f>
        <v>96.378947368421024</v>
      </c>
      <c r="BE27" s="13">
        <f>BD27*VLOOKUP('Données projet'!$B$11,Paramètres!$A$1:$I$89,3,0)*VLOOKUP('Données projet'!$B$11,Paramètres!$A$1:$I$89,5,0)</f>
        <v>91.71420631578944</v>
      </c>
      <c r="BF27" s="13">
        <f t="shared" si="37"/>
        <v>24.97819520502086</v>
      </c>
      <c r="BG27" s="20">
        <f t="shared" si="7"/>
        <v>203.23926598207791</v>
      </c>
      <c r="BH27" s="59">
        <f t="shared" si="8"/>
        <v>429.00997416569771</v>
      </c>
      <c r="BI27" s="59">
        <f ca="1">AVERAGE(OFFSET($BH$3,0,0,'Données projet'!$E$11+1,1))-AVERAGE(OFFSET($H$3,0,0,'Données projet'!$E$11+1,1))</f>
        <v>486.36809102684492</v>
      </c>
      <c r="BJ27" s="59">
        <f t="shared" si="38"/>
        <v>308.42890859885006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28.816666666666666</v>
      </c>
      <c r="N28" s="13">
        <f>IF('Données projet'!$A$36&gt;35,N27+M28-V27,IF(A28&lt;'Données projet'!$A$36,$K$205^A28,IF(A28='Données projet'!$A$36,'Données projet'!$B$36,N27+M28-V27)))</f>
        <v>266.61666666666673</v>
      </c>
      <c r="O28" s="13">
        <f>N28*VLOOKUP('Données projet'!$B$9,Paramètres!$A$1:$I$89,3,0)*VLOOKUP('Données projet'!$B$9,Paramètres!$A$1:$I$89,5,0)</f>
        <v>149.03871666666672</v>
      </c>
      <c r="P28" s="13">
        <f t="shared" si="33"/>
        <v>38.360048860016917</v>
      </c>
      <c r="Q28" s="20">
        <f t="shared" si="2"/>
        <v>326.38618329230729</v>
      </c>
      <c r="R28" s="59">
        <f t="shared" si="0"/>
        <v>554.42395725863935</v>
      </c>
      <c r="S28" s="59">
        <f ca="1">AVERAGE(OFFSET($R$3,0,0,'Données projet'!$E$9+1,1))-AVERAGE(OFFSET($H$3,0,0,'Données projet'!$E$9+1,1))</f>
        <v>418.8940806978344</v>
      </c>
      <c r="T28" s="59">
        <f t="shared" si="34"/>
        <v>553.49616487922378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11.777677608168785</v>
      </c>
      <c r="AA28" s="21">
        <f>EXP(-LN(2)/25)*AA27+(1-EXP(-LN(2)/25))/(LN(2)/25)*Calculateur!V28*Calculateur!X28*VLOOKUP('Données projet'!$B$9,Paramètres!$A$1:$I$89,3,0)*0.475*44/12</f>
        <v>16.774585768266103</v>
      </c>
      <c r="AB28" s="21">
        <f>EXP(-LN(2)/2)*AB27+(1-EXP(-LN(2)/2))/(LN(2)/2)*V28*Y28*VLOOKUP('Données projet'!$B$9,Paramètres!$A$1:$I$89,3,0)*0.475*44/12</f>
        <v>10.331472597672713</v>
      </c>
      <c r="AC28" s="22">
        <f t="shared" si="3"/>
        <v>38.883735974107601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10.064285714285713</v>
      </c>
      <c r="AI28" s="13">
        <f>IF('Données projet'!$A$62&gt;35,AI27+AH28-AQ27,IF(A28&lt;'Données projet'!$A$62,$AF$205^A28,IF(A28='Données projet'!$A$62,'Données projet'!$B$62,AI27+AH28-AQ27)))</f>
        <v>251.60714285714289</v>
      </c>
      <c r="AJ28" s="13">
        <f>AI28*VLOOKUP('Données projet'!$B$10,Paramètres!$A$1:$I$89,3,0)*VLOOKUP('Données projet'!$B$10,Paramètres!$A$1:$I$89,5,0)</f>
        <v>117.75214285714287</v>
      </c>
      <c r="AK28" s="13">
        <f t="shared" si="35"/>
        <v>31.150147934205393</v>
      </c>
      <c r="AL28" s="20">
        <f t="shared" si="4"/>
        <v>259.3381564615982</v>
      </c>
      <c r="AM28" s="59">
        <f t="shared" si="5"/>
        <v>487.37593042793031</v>
      </c>
      <c r="AN28" s="59">
        <f ca="1">AVERAGE(OFFSET($AM$3,0,0,'Données projet'!$E$10+1,1))-AVERAGE(OFFSET($H$3,0,0,'Données projet'!$E$10+1,1))</f>
        <v>391.61151255507264</v>
      </c>
      <c r="AO28" s="59">
        <f t="shared" si="36"/>
        <v>365.61278905364281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4.0157894736842108</v>
      </c>
      <c r="BD28" s="12">
        <f>IF('Données projet'!$A$88&gt;35,BD27+BC28-BL27,IF(A28&lt;'Données projet'!$A$88,$BA$205^A28,IF(A28='Données projet'!$A$88,'Données projet'!$B$88,BD27+BC28-BL27)))</f>
        <v>100.39473684210523</v>
      </c>
      <c r="BE28" s="13">
        <f>BD28*VLOOKUP('Données projet'!$B$11,Paramètres!$A$1:$I$89,3,0)*VLOOKUP('Données projet'!$B$11,Paramètres!$A$1:$I$89,5,0)</f>
        <v>95.535631578947331</v>
      </c>
      <c r="BF28" s="13">
        <f t="shared" si="37"/>
        <v>25.895612863458599</v>
      </c>
      <c r="BG28" s="20">
        <f t="shared" si="7"/>
        <v>211.49275073719028</v>
      </c>
      <c r="BH28" s="59">
        <f t="shared" si="8"/>
        <v>439.53052470352236</v>
      </c>
      <c r="BI28" s="59">
        <f ca="1">AVERAGE(OFFSET($BH$3,0,0,'Données projet'!$E$11+1,1))-AVERAGE(OFFSET($H$3,0,0,'Données projet'!$E$11+1,1))</f>
        <v>486.36809102684492</v>
      </c>
      <c r="BJ28" s="59">
        <f t="shared" si="38"/>
        <v>308.42890859885006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28.816666666666666</v>
      </c>
      <c r="N29" s="13">
        <f>IF('Données projet'!$A$36&gt;35,N28+M29-V28,IF(A29&lt;'Données projet'!$A$36,$K$205^A29,IF(A29='Données projet'!$A$36,'Données projet'!$B$36,N28+M29-V28)))</f>
        <v>295.43333333333339</v>
      </c>
      <c r="O29" s="13">
        <f>N29*VLOOKUP('Données projet'!$B$9,Paramètres!$A$1:$I$89,3,0)*VLOOKUP('Données projet'!$B$9,Paramètres!$A$1:$I$89,5,0)</f>
        <v>165.14723333333336</v>
      </c>
      <c r="P29" s="13">
        <f t="shared" si="33"/>
        <v>42.001340144495984</v>
      </c>
      <c r="Q29" s="20">
        <f t="shared" si="2"/>
        <v>360.78376547388615</v>
      </c>
      <c r="R29" s="59">
        <f t="shared" si="0"/>
        <v>591.0704795230763</v>
      </c>
      <c r="S29" s="59">
        <f ca="1">AVERAGE(OFFSET($R$3,0,0,'Données projet'!$E$9+1,1))-AVERAGE(OFFSET($H$3,0,0,'Données projet'!$E$9+1,1))</f>
        <v>418.8940806978344</v>
      </c>
      <c r="T29" s="59">
        <f t="shared" si="34"/>
        <v>553.49616487922378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11.546724533946607</v>
      </c>
      <c r="AA29" s="21">
        <f>EXP(-LN(2)/25)*AA28+(1-EXP(-LN(2)/25))/(LN(2)/25)*Calculateur!V29*Calculateur!X29*VLOOKUP('Données projet'!$B$9,Paramètres!$A$1:$I$89,3,0)*0.475*44/12</f>
        <v>16.31588383829574</v>
      </c>
      <c r="AB29" s="21">
        <f>EXP(-LN(2)/2)*AB28+(1-EXP(-LN(2)/2))/(LN(2)/2)*V29*Y29*VLOOKUP('Données projet'!$B$9,Paramètres!$A$1:$I$89,3,0)*0.475*44/12</f>
        <v>7.3054543334573712</v>
      </c>
      <c r="AC29" s="22">
        <f t="shared" si="3"/>
        <v>35.168062705699718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10.064285714285713</v>
      </c>
      <c r="AI29" s="13">
        <f>IF('Données projet'!$A$62&gt;35,AI28+AH29-AQ28,IF(A29&lt;'Données projet'!$A$62,$AF$205^A29,IF(A29='Données projet'!$A$62,'Données projet'!$B$62,AI28+AH29-AQ28)))</f>
        <v>261.67142857142858</v>
      </c>
      <c r="AJ29" s="13">
        <f>AI29*VLOOKUP('Données projet'!$B$10,Paramètres!$A$1:$I$89,3,0)*VLOOKUP('Données projet'!$B$10,Paramètres!$A$1:$I$89,5,0)</f>
        <v>122.46222857142858</v>
      </c>
      <c r="AK29" s="13">
        <f t="shared" si="35"/>
        <v>32.248593066851676</v>
      </c>
      <c r="AL29" s="20">
        <f t="shared" si="4"/>
        <v>269.45468102000478</v>
      </c>
      <c r="AM29" s="59">
        <f t="shared" si="5"/>
        <v>499.74139506919494</v>
      </c>
      <c r="AN29" s="59">
        <f ca="1">AVERAGE(OFFSET($AM$3,0,0,'Données projet'!$E$10+1,1))-AVERAGE(OFFSET($H$3,0,0,'Données projet'!$E$10+1,1))</f>
        <v>391.61151255507264</v>
      </c>
      <c r="AO29" s="59">
        <f t="shared" si="36"/>
        <v>365.61278905364281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4.0157894736842108</v>
      </c>
      <c r="BD29" s="12">
        <f>IF('Données projet'!$A$88&gt;35,BD28+BC29-BL28,IF(A29&lt;'Données projet'!$A$88,$BA$205^A29,IF(A29='Données projet'!$A$88,'Données projet'!$B$88,BD28+BC29-BL28)))</f>
        <v>104.41052631578944</v>
      </c>
      <c r="BE29" s="13">
        <f>BD29*VLOOKUP('Données projet'!$B$11,Paramètres!$A$1:$I$89,3,0)*VLOOKUP('Données projet'!$B$11,Paramètres!$A$1:$I$89,5,0)</f>
        <v>99.357056842105237</v>
      </c>
      <c r="BF29" s="13">
        <f t="shared" si="37"/>
        <v>26.808767753343524</v>
      </c>
      <c r="BG29" s="20">
        <f t="shared" si="7"/>
        <v>219.73881117040659</v>
      </c>
      <c r="BH29" s="59">
        <f t="shared" si="8"/>
        <v>450.02552521959677</v>
      </c>
      <c r="BI29" s="59">
        <f ca="1">AVERAGE(OFFSET($BH$3,0,0,'Données projet'!$E$11+1,1))-AVERAGE(OFFSET($H$3,0,0,'Données projet'!$E$11+1,1))</f>
        <v>486.36809102684492</v>
      </c>
      <c r="BJ29" s="59">
        <f t="shared" si="38"/>
        <v>308.42890859885006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28.816666666666666</v>
      </c>
      <c r="N30" s="13">
        <f>IF('Données projet'!$A$36&gt;35,N29+M30-V29,IF(A30&lt;'Données projet'!$A$36,$K$205^A30,IF(A30='Données projet'!$A$36,'Données projet'!$B$36,N29+M30-V29)))</f>
        <v>324.25000000000006</v>
      </c>
      <c r="O30" s="13">
        <f>N30*VLOOKUP('Données projet'!$B$9,Paramètres!$A$1:$I$89,3,0)*VLOOKUP('Données projet'!$B$9,Paramètres!$A$1:$I$89,5,0)</f>
        <v>181.25575000000001</v>
      </c>
      <c r="P30" s="13">
        <f t="shared" si="33"/>
        <v>45.601454263156789</v>
      </c>
      <c r="Q30" s="20">
        <f t="shared" si="2"/>
        <v>395.10963075833143</v>
      </c>
      <c r="R30" s="59">
        <f t="shared" si="0"/>
        <v>627.62747363089488</v>
      </c>
      <c r="S30" s="59">
        <f ca="1">AVERAGE(OFFSET($R$3,0,0,'Données projet'!$E$9+1,1))-AVERAGE(OFFSET($H$3,0,0,'Données projet'!$E$9+1,1))</f>
        <v>418.8940806978344</v>
      </c>
      <c r="T30" s="59">
        <f t="shared" si="34"/>
        <v>553.49616487922378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11.320300308642461</v>
      </c>
      <c r="AA30" s="21">
        <f>EXP(-LN(2)/25)*AA29+(1-EXP(-LN(2)/25))/(LN(2)/25)*Calculateur!V30*Calculateur!X30*VLOOKUP('Données projet'!$B$9,Paramètres!$A$1:$I$89,3,0)*0.475*44/12</f>
        <v>15.869725136722503</v>
      </c>
      <c r="AB30" s="21">
        <f>EXP(-LN(2)/2)*AB29+(1-EXP(-LN(2)/2))/(LN(2)/2)*V30*Y30*VLOOKUP('Données projet'!$B$9,Paramètres!$A$1:$I$89,3,0)*0.475*44/12</f>
        <v>5.1657362988363573</v>
      </c>
      <c r="AC30" s="22">
        <f t="shared" si="3"/>
        <v>32.355761744201317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10.064285714285713</v>
      </c>
      <c r="AI30" s="13">
        <f>IF('Données projet'!$A$62&gt;35,AI29+AH30-AQ29,IF(A30&lt;'Données projet'!$A$62,$AF$205^A30,IF(A30='Données projet'!$A$62,'Données projet'!$B$62,AI29+AH30-AQ29)))</f>
        <v>271.73571428571427</v>
      </c>
      <c r="AJ30" s="13">
        <f>AI30*VLOOKUP('Données projet'!$B$10,Paramètres!$A$1:$I$89,3,0)*VLOOKUP('Données projet'!$B$10,Paramètres!$A$1:$I$89,5,0)</f>
        <v>127.17231428571426</v>
      </c>
      <c r="AK30" s="13">
        <f t="shared" si="35"/>
        <v>33.342130258642648</v>
      </c>
      <c r="AL30" s="20">
        <f t="shared" si="4"/>
        <v>279.5626575814216</v>
      </c>
      <c r="AM30" s="59">
        <f t="shared" si="5"/>
        <v>512.08050045398511</v>
      </c>
      <c r="AN30" s="59">
        <f ca="1">AVERAGE(OFFSET($AM$3,0,0,'Données projet'!$E$10+1,1))-AVERAGE(OFFSET($H$3,0,0,'Données projet'!$E$10+1,1))</f>
        <v>391.61151255507264</v>
      </c>
      <c r="AO30" s="59">
        <f t="shared" si="36"/>
        <v>365.61278905364281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4.0157894736842108</v>
      </c>
      <c r="BD30" s="12">
        <f>IF('Données projet'!$A$88&gt;35,BD29+BC30-BL29,IF(A30&lt;'Données projet'!$A$88,$BA$205^A30,IF(A30='Données projet'!$A$88,'Données projet'!$B$88,BD29+BC30-BL29)))</f>
        <v>108.42631578947365</v>
      </c>
      <c r="BE30" s="13">
        <f>BD30*VLOOKUP('Données projet'!$B$11,Paramètres!$A$1:$I$89,3,0)*VLOOKUP('Données projet'!$B$11,Paramètres!$A$1:$I$89,5,0)</f>
        <v>103.17848210526313</v>
      </c>
      <c r="BF30" s="13">
        <f t="shared" si="37"/>
        <v>27.717842594022475</v>
      </c>
      <c r="BG30" s="20">
        <f t="shared" si="7"/>
        <v>227.97776551792242</v>
      </c>
      <c r="BH30" s="59">
        <f t="shared" si="8"/>
        <v>460.49560839048593</v>
      </c>
      <c r="BI30" s="59">
        <f ca="1">AVERAGE(OFFSET($BH$3,0,0,'Données projet'!$E$11+1,1))-AVERAGE(OFFSET($H$3,0,0,'Données projet'!$E$11+1,1))</f>
        <v>486.36809102684492</v>
      </c>
      <c r="BJ30" s="59">
        <f t="shared" si="38"/>
        <v>308.42890859885006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28.816666666666666</v>
      </c>
      <c r="N31" s="13">
        <f>IF('Données projet'!$A$36&gt;35,N30+M31-V30,IF(A31&lt;'Données projet'!$A$36,$K$205^A31,IF(A31='Données projet'!$A$36,'Données projet'!$B$36,N30+M31-V30)))</f>
        <v>353.06666666666672</v>
      </c>
      <c r="O31" s="13">
        <f>N31*VLOOKUP('Données projet'!$B$9,Paramètres!$A$1:$I$89,3,0)*VLOOKUP('Données projet'!$B$9,Paramètres!$A$1:$I$89,5,0)</f>
        <v>197.36426666666671</v>
      </c>
      <c r="P31" s="13">
        <f t="shared" si="33"/>
        <v>49.164466833020981</v>
      </c>
      <c r="Q31" s="20">
        <f t="shared" si="2"/>
        <v>429.37087751195605</v>
      </c>
      <c r="R31" s="59">
        <f t="shared" si="0"/>
        <v>664.10234693394011</v>
      </c>
      <c r="S31" s="59">
        <f ca="1">AVERAGE(OFFSET($R$3,0,0,'Données projet'!$E$9+1,1))-AVERAGE(OFFSET($H$3,0,0,'Données projet'!$E$9+1,1))</f>
        <v>418.8940806978344</v>
      </c>
      <c r="T31" s="59">
        <f t="shared" si="34"/>
        <v>553.49616487922378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11.098316124291388</v>
      </c>
      <c r="AA31" s="21">
        <f>EXP(-LN(2)/25)*AA30+(1-EXP(-LN(2)/25))/(LN(2)/25)*Calculateur!V31*Calculateur!X31*VLOOKUP('Données projet'!$B$9,Paramètres!$A$1:$I$89,3,0)*0.475*44/12</f>
        <v>15.435766668306252</v>
      </c>
      <c r="AB31" s="21">
        <f>EXP(-LN(2)/2)*AB30+(1-EXP(-LN(2)/2))/(LN(2)/2)*V31*Y31*VLOOKUP('Données projet'!$B$9,Paramètres!$A$1:$I$89,3,0)*0.475*44/12</f>
        <v>3.652727166728686</v>
      </c>
      <c r="AC31" s="22">
        <f t="shared" si="3"/>
        <v>30.186809959326325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10.064285714285713</v>
      </c>
      <c r="AI31" s="13">
        <f>IF('Données projet'!$A$62&gt;35,AI30+AH31-AQ30,IF(A31&lt;'Données projet'!$A$62,$AF$205^A31,IF(A31='Données projet'!$A$62,'Données projet'!$B$62,AI30+AH31-AQ30)))</f>
        <v>281.79999999999995</v>
      </c>
      <c r="AJ31" s="13">
        <f>AI31*VLOOKUP('Données projet'!$B$10,Paramètres!$A$1:$I$89,3,0)*VLOOKUP('Données projet'!$B$10,Paramètres!$A$1:$I$89,5,0)</f>
        <v>131.88239999999999</v>
      </c>
      <c r="AK31" s="13">
        <f t="shared" si="35"/>
        <v>34.430962101284734</v>
      </c>
      <c r="AL31" s="20">
        <f t="shared" si="4"/>
        <v>289.66243899307091</v>
      </c>
      <c r="AM31" s="59">
        <f t="shared" si="5"/>
        <v>524.39390841505497</v>
      </c>
      <c r="AN31" s="59">
        <f ca="1">AVERAGE(OFFSET($AM$3,0,0,'Données projet'!$E$10+1,1))-AVERAGE(OFFSET($H$3,0,0,'Données projet'!$E$10+1,1))</f>
        <v>391.61151255507264</v>
      </c>
      <c r="AO31" s="59">
        <f t="shared" si="36"/>
        <v>365.61278905364281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4.0157894736842108</v>
      </c>
      <c r="BD31" s="12">
        <f>IF('Données projet'!$A$88&gt;35,BD30+BC31-BL30,IF(A31&lt;'Données projet'!$A$88,$BA$205^A31,IF(A31='Données projet'!$A$88,'Données projet'!$B$88,BD30+BC31-BL30)))</f>
        <v>112.44210526315786</v>
      </c>
      <c r="BE31" s="13">
        <f>BD31*VLOOKUP('Données projet'!$B$11,Paramètres!$A$1:$I$89,3,0)*VLOOKUP('Données projet'!$B$11,Paramètres!$A$1:$I$89,5,0)</f>
        <v>106.99990736842101</v>
      </c>
      <c r="BF31" s="13">
        <f t="shared" si="37"/>
        <v>28.623005803199518</v>
      </c>
      <c r="BG31" s="20">
        <f t="shared" si="7"/>
        <v>236.20990710723905</v>
      </c>
      <c r="BH31" s="59">
        <f t="shared" si="8"/>
        <v>470.94137652922313</v>
      </c>
      <c r="BI31" s="59">
        <f ca="1">AVERAGE(OFFSET($BH$3,0,0,'Données projet'!$E$11+1,1))-AVERAGE(OFFSET($H$3,0,0,'Données projet'!$E$11+1,1))</f>
        <v>486.36809102684492</v>
      </c>
      <c r="BJ31" s="59">
        <f t="shared" si="38"/>
        <v>308.42890859885006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28.816666666666666</v>
      </c>
      <c r="N32" s="13">
        <f>IF('Données projet'!$A$36&gt;35,N31+M32-V31,IF(A32&lt;'Données projet'!$A$36,$K$205^A32,IF(A32='Données projet'!$A$36,'Données projet'!$B$36,N31+M32-V31)))</f>
        <v>381.88333333333338</v>
      </c>
      <c r="O32" s="13">
        <f>N32*VLOOKUP('Données projet'!$B$9,Paramètres!$A$1:$I$89,3,0)*VLOOKUP('Données projet'!$B$9,Paramètres!$A$1:$I$89,5,0)</f>
        <v>213.47278333333338</v>
      </c>
      <c r="P32" s="13">
        <f t="shared" si="33"/>
        <v>52.693750286957915</v>
      </c>
      <c r="Q32" s="20">
        <f t="shared" si="2"/>
        <v>463.57337938867403</v>
      </c>
      <c r="R32" s="59">
        <f t="shared" si="0"/>
        <v>700.50127671144992</v>
      </c>
      <c r="S32" s="59">
        <f ca="1">AVERAGE(OFFSET($R$3,0,0,'Données projet'!$E$9+1,1))-AVERAGE(OFFSET($H$3,0,0,'Données projet'!$E$9+1,1))</f>
        <v>418.8940806978344</v>
      </c>
      <c r="T32" s="59">
        <f t="shared" si="34"/>
        <v>553.49616487922378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10.880684914398456</v>
      </c>
      <c r="AA32" s="21">
        <f>EXP(-LN(2)/25)*AA31+(1-EXP(-LN(2)/25))/(LN(2)/25)*Calculateur!V32*Calculateur!X32*VLOOKUP('Données projet'!$B$9,Paramètres!$A$1:$I$89,3,0)*0.475*44/12</f>
        <v>15.013674817029727</v>
      </c>
      <c r="AB32" s="21">
        <f>EXP(-LN(2)/2)*AB31+(1-EXP(-LN(2)/2))/(LN(2)/2)*V32*Y32*VLOOKUP('Données projet'!$B$9,Paramètres!$A$1:$I$89,3,0)*0.475*44/12</f>
        <v>2.5828681494181787</v>
      </c>
      <c r="AC32" s="22">
        <f t="shared" si="3"/>
        <v>28.47722788084636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10.064285714285713</v>
      </c>
      <c r="AI32" s="13">
        <f>IF('Données projet'!$A$62&gt;35,AI31+AH32-AQ31,IF(A32&lt;'Données projet'!$A$62,$AF$205^A32,IF(A32='Données projet'!$A$62,'Données projet'!$B$62,AI31+AH32-AQ31)))</f>
        <v>291.86428571428564</v>
      </c>
      <c r="AJ32" s="13">
        <f>AI32*VLOOKUP('Données projet'!$B$10,Paramètres!$A$1:$I$89,3,0)*VLOOKUP('Données projet'!$B$10,Paramètres!$A$1:$I$89,5,0)</f>
        <v>136.59248571428569</v>
      </c>
      <c r="AK32" s="13">
        <f t="shared" si="35"/>
        <v>35.515275895321146</v>
      </c>
      <c r="AL32" s="20">
        <f t="shared" si="4"/>
        <v>299.75435147006522</v>
      </c>
      <c r="AM32" s="59">
        <f t="shared" si="5"/>
        <v>536.68224879284105</v>
      </c>
      <c r="AN32" s="59">
        <f ca="1">AVERAGE(OFFSET($AM$3,0,0,'Données projet'!$E$10+1,1))-AVERAGE(OFFSET($H$3,0,0,'Données projet'!$E$10+1,1))</f>
        <v>391.61151255507264</v>
      </c>
      <c r="AO32" s="59">
        <f t="shared" si="36"/>
        <v>365.61278905364281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4.0157894736842108</v>
      </c>
      <c r="BD32" s="12">
        <f>IF('Données projet'!$A$88&gt;35,BD31+BC32-BL31,IF(A32&lt;'Données projet'!$A$88,$BA$205^A32,IF(A32='Données projet'!$A$88,'Données projet'!$B$88,BD31+BC32-BL31)))</f>
        <v>116.45789473684206</v>
      </c>
      <c r="BE32" s="13">
        <f>BD32*VLOOKUP('Données projet'!$B$11,Paramètres!$A$1:$I$89,3,0)*VLOOKUP('Données projet'!$B$11,Paramètres!$A$1:$I$89,5,0)</f>
        <v>110.82133263157891</v>
      </c>
      <c r="BF32" s="13">
        <f t="shared" si="37"/>
        <v>29.524413086791988</v>
      </c>
      <c r="BG32" s="20">
        <f t="shared" si="7"/>
        <v>244.43550712616263</v>
      </c>
      <c r="BH32" s="59">
        <f t="shared" si="8"/>
        <v>481.36340444893847</v>
      </c>
      <c r="BI32" s="59">
        <f ca="1">AVERAGE(OFFSET($BH$3,0,0,'Données projet'!$E$11+1,1))-AVERAGE(OFFSET($H$3,0,0,'Données projet'!$E$11+1,1))</f>
        <v>486.36809102684492</v>
      </c>
      <c r="BJ32" s="59">
        <f t="shared" si="38"/>
        <v>308.42890859885006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410.7</v>
      </c>
      <c r="L33" s="12">
        <f>VLOOKUP(A33,'Données projet'!$A$35:$I$55,9,0)</f>
        <v>28.816666666666666</v>
      </c>
      <c r="M33" s="12">
        <f t="array" ref="M33">INDEX(L:L,MIN(IF(ISNUMBER(L33:L229),ROW(L33:L229),"")))</f>
        <v>28.816666666666666</v>
      </c>
      <c r="N33" s="13">
        <f>IF('Données projet'!$A$36&gt;35,N32+M33-V32,IF(A33&lt;'Données projet'!$A$36,$K$205^A33,IF(A33='Données projet'!$A$36,'Données projet'!$B$36,N32+M33-V32)))</f>
        <v>410.70000000000005</v>
      </c>
      <c r="O33" s="13">
        <f>N33*VLOOKUP('Données projet'!$B$9,Paramètres!$A$1:$I$89,3,0)*VLOOKUP('Données projet'!$B$9,Paramètres!$A$1:$I$89,5,0)</f>
        <v>229.58130000000006</v>
      </c>
      <c r="P33" s="13">
        <f t="shared" si="33"/>
        <v>56.192139203549416</v>
      </c>
      <c r="Q33" s="20">
        <f t="shared" si="2"/>
        <v>497.7220732795152</v>
      </c>
      <c r="R33" s="59">
        <f t="shared" si="0"/>
        <v>736.82949821255716</v>
      </c>
      <c r="S33" s="59">
        <f ca="1">AVERAGE(OFFSET($R$3,0,0,'Données projet'!$E$9+1,1))-AVERAGE(OFFSET($H$3,0,0,'Données projet'!$E$9+1,1))</f>
        <v>418.8940806978344</v>
      </c>
      <c r="T33" s="59">
        <f t="shared" si="34"/>
        <v>553.49616487922378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81</v>
      </c>
      <c r="W33" s="16">
        <f>IF(ISNA(VLOOKUP(A33,'Données projet'!$A$35:$I$55,5,0)),0%,VLOOKUP(A33,'Données projet'!$A$35:$I$55,5,0)*VLOOKUP('Données projet'!$B$9,Paramètres!$A$1:$I$89,7,0))</f>
        <v>0.33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30.488940272479084</v>
      </c>
      <c r="AA33" s="21">
        <f>EXP(-LN(2)/25)*AA32+(1-EXP(-LN(2)/25))/(LN(2)/25)*Calculateur!V33*Calculateur!X33*VLOOKUP('Données projet'!$B$9,Paramètres!$A$1:$I$89,3,0)*0.475*44/12</f>
        <v>21.184316318371142</v>
      </c>
      <c r="AB33" s="21">
        <f>EXP(-LN(2)/2)*AB32+(1-EXP(-LN(2)/2))/(LN(2)/2)*V33*Y33*VLOOKUP('Données projet'!$B$9,Paramètres!$A$1:$I$89,3,0)*0.475*44/12</f>
        <v>12.079632823304511</v>
      </c>
      <c r="AC33" s="22">
        <f t="shared" si="3"/>
        <v>63.752889414154737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10.064285714285713</v>
      </c>
      <c r="AI33" s="13">
        <f>IF('Données projet'!$A$62&gt;35,AI32+AH33-AQ32,IF(A33&lt;'Données projet'!$A$62,$AF$205^A33,IF(A33='Données projet'!$A$62,'Données projet'!$B$62,AI32+AH33-AQ32)))</f>
        <v>301.92857142857133</v>
      </c>
      <c r="AJ33" s="13">
        <f>AI33*VLOOKUP('Données projet'!$B$10,Paramètres!$A$1:$I$89,3,0)*VLOOKUP('Données projet'!$B$10,Paramètres!$A$1:$I$89,5,0)</f>
        <v>141.30257142857138</v>
      </c>
      <c r="AK33" s="13">
        <f t="shared" si="35"/>
        <v>36.595245291390874</v>
      </c>
      <c r="AL33" s="20">
        <f t="shared" si="4"/>
        <v>309.83869745393423</v>
      </c>
      <c r="AM33" s="59">
        <f t="shared" si="5"/>
        <v>548.94612238697619</v>
      </c>
      <c r="AN33" s="59">
        <f ca="1">AVERAGE(OFFSET($AM$3,0,0,'Données projet'!$E$10+1,1))-AVERAGE(OFFSET($H$3,0,0,'Données projet'!$E$10+1,1))</f>
        <v>391.61151255507264</v>
      </c>
      <c r="AO33" s="59">
        <f t="shared" si="36"/>
        <v>365.61278905364281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4.0157894736842108</v>
      </c>
      <c r="BD33" s="12">
        <f>IF('Données projet'!$A$88&gt;35,BD32+BC33-BL32,IF(A33&lt;'Données projet'!$A$88,$BA$205^A33,IF(A33='Données projet'!$A$88,'Données projet'!$B$88,BD32+BC33-BL32)))</f>
        <v>120.47368421052627</v>
      </c>
      <c r="BE33" s="13">
        <f>BD33*VLOOKUP('Données projet'!$B$11,Paramètres!$A$1:$I$89,3,0)*VLOOKUP('Données projet'!$B$11,Paramètres!$A$1:$I$89,5,0)</f>
        <v>114.6427578947368</v>
      </c>
      <c r="BF33" s="13">
        <f t="shared" si="37"/>
        <v>30.422208803334815</v>
      </c>
      <c r="BG33" s="20">
        <f t="shared" si="7"/>
        <v>252.65481699914142</v>
      </c>
      <c r="BH33" s="59">
        <f t="shared" si="8"/>
        <v>491.76224193218343</v>
      </c>
      <c r="BI33" s="59">
        <f ca="1">AVERAGE(OFFSET($BH$3,0,0,'Données projet'!$E$11+1,1))-AVERAGE(OFFSET($H$3,0,0,'Données projet'!$E$11+1,1))</f>
        <v>486.36809102684492</v>
      </c>
      <c r="BJ33" s="59">
        <f t="shared" si="38"/>
        <v>308.42890859885006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28.666666666666668</v>
      </c>
      <c r="N34" s="13">
        <f>IF('Données projet'!$A$36&gt;35,N33+M34-V33,IF(A34&lt;'Données projet'!$A$36,$K$205^A34,IF(A34='Données projet'!$A$36,'Données projet'!$B$36,N33+M34-V33)))</f>
        <v>358.36666666666673</v>
      </c>
      <c r="O34" s="13">
        <f>N34*VLOOKUP('Données projet'!$B$9,Paramètres!$A$1:$I$89,3,0)*VLOOKUP('Données projet'!$B$9,Paramètres!$A$1:$I$89,5,0)</f>
        <v>200.32696666666672</v>
      </c>
      <c r="P34" s="13">
        <f t="shared" si="33"/>
        <v>49.816018269540393</v>
      </c>
      <c r="Q34" s="20">
        <f t="shared" si="2"/>
        <v>435.665698763894</v>
      </c>
      <c r="R34" s="59">
        <f t="shared" si="0"/>
        <v>675.71382197671153</v>
      </c>
      <c r="S34" s="59">
        <f ca="1">AVERAGE(OFFSET($R$3,0,0,'Données projet'!$E$9+1,1))-AVERAGE(OFFSET($H$3,0,0,'Données projet'!$E$9+1,1))</f>
        <v>418.8940806978344</v>
      </c>
      <c r="T34" s="59">
        <f t="shared" si="34"/>
        <v>553.49616487922378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29.891070750153091</v>
      </c>
      <c r="AA34" s="21">
        <f>EXP(-LN(2)/25)*AA33+(1-EXP(-LN(2)/25))/(LN(2)/25)*Calculateur!V34*Calculateur!X34*VLOOKUP('Données projet'!$B$9,Paramètres!$A$1:$I$89,3,0)*0.475*44/12</f>
        <v>20.605030074610504</v>
      </c>
      <c r="AB34" s="21">
        <f>EXP(-LN(2)/2)*AB33+(1-EXP(-LN(2)/2))/(LN(2)/2)*V34*Y34*VLOOKUP('Données projet'!$B$9,Paramètres!$A$1:$I$89,3,0)*0.475*44/12</f>
        <v>8.5415902836022202</v>
      </c>
      <c r="AC34" s="22">
        <f t="shared" si="3"/>
        <v>59.037691108365813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10.064285714285713</v>
      </c>
      <c r="AI34" s="13">
        <f>IF('Données projet'!$A$62&gt;35,AI33+AH34-AQ33,IF(A34&lt;'Données projet'!$A$62,$AF$205^A34,IF(A34='Données projet'!$A$62,'Données projet'!$B$62,AI33+AH34-AQ33)))</f>
        <v>311.99285714285702</v>
      </c>
      <c r="AJ34" s="13">
        <f>AI34*VLOOKUP('Données projet'!$B$10,Paramètres!$A$1:$I$89,3,0)*VLOOKUP('Données projet'!$B$10,Paramètres!$A$1:$I$89,5,0)</f>
        <v>146.01265714285708</v>
      </c>
      <c r="AK34" s="13">
        <f t="shared" si="35"/>
        <v>37.671031706505445</v>
      </c>
      <c r="AL34" s="20">
        <f t="shared" si="4"/>
        <v>319.91575807930639</v>
      </c>
      <c r="AM34" s="59">
        <f t="shared" si="5"/>
        <v>559.96388129212392</v>
      </c>
      <c r="AN34" s="59">
        <f ca="1">AVERAGE(OFFSET($AM$3,0,0,'Données projet'!$E$10+1,1))-AVERAGE(OFFSET($H$3,0,0,'Données projet'!$E$10+1,1))</f>
        <v>391.61151255507264</v>
      </c>
      <c r="AO34" s="59">
        <f t="shared" si="36"/>
        <v>365.61278905364281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4.0157894736842108</v>
      </c>
      <c r="BD34" s="12">
        <f>IF('Données projet'!$A$88&gt;35,BD33+BC34-BL33,IF(A34&lt;'Données projet'!$A$88,$BA$205^A34,IF(A34='Données projet'!$A$88,'Données projet'!$B$88,BD33+BC34-BL33)))</f>
        <v>124.48947368421048</v>
      </c>
      <c r="BE34" s="13">
        <f>BD34*VLOOKUP('Données projet'!$B$11,Paramètres!$A$1:$I$89,3,0)*VLOOKUP('Données projet'!$B$11,Paramètres!$A$1:$I$89,5,0)</f>
        <v>118.46418315789471</v>
      </c>
      <c r="BF34" s="13">
        <f t="shared" si="37"/>
        <v>31.316527141354118</v>
      </c>
      <c r="BG34" s="20">
        <f t="shared" si="7"/>
        <v>260.86807043785836</v>
      </c>
      <c r="BH34" s="59">
        <f t="shared" si="8"/>
        <v>500.91619365067595</v>
      </c>
      <c r="BI34" s="59">
        <f ca="1">AVERAGE(OFFSET($BH$3,0,0,'Données projet'!$E$11+1,1))-AVERAGE(OFFSET($H$3,0,0,'Données projet'!$E$11+1,1))</f>
        <v>486.36809102684492</v>
      </c>
      <c r="BJ34" s="59">
        <f t="shared" si="38"/>
        <v>308.42890859885006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28.666666666666668</v>
      </c>
      <c r="N35" s="13">
        <f>IF('Données projet'!$A$36&gt;35,N34+M35-V34,IF(A35&lt;'Données projet'!$A$36,$K$205^A35,IF(A35='Données projet'!$A$36,'Données projet'!$B$36,N34+M35-V34)))</f>
        <v>387.03333333333342</v>
      </c>
      <c r="O35" s="13">
        <f>N35*VLOOKUP('Données projet'!$B$9,Paramètres!$A$1:$I$89,3,0)*VLOOKUP('Données projet'!$B$9,Paramètres!$A$1:$I$89,5,0)</f>
        <v>216.35163333333341</v>
      </c>
      <c r="P35" s="13">
        <f t="shared" si="33"/>
        <v>53.321161159556631</v>
      </c>
      <c r="Q35" s="20">
        <f t="shared" ref="Q35:Q66" si="53">(O35+P35)*0.475*44/12</f>
        <v>469.68011707511687</v>
      </c>
      <c r="R35" s="59">
        <f t="shared" si="0"/>
        <v>710.65261955564222</v>
      </c>
      <c r="S35" s="59">
        <f ca="1">AVERAGE(OFFSET($R$3,0,0,'Données projet'!$E$9+1,1))-AVERAGE(OFFSET($H$3,0,0,'Données projet'!$E$9+1,1))</f>
        <v>418.8940806978344</v>
      </c>
      <c r="T35" s="59">
        <f t="shared" si="34"/>
        <v>553.49616487922378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29.304925084495512</v>
      </c>
      <c r="AA35" s="21">
        <f>EXP(-LN(2)/25)*AA34+(1-EXP(-LN(2)/25))/(LN(2)/25)*Calculateur!V35*Calculateur!X35*VLOOKUP('Données projet'!$B$9,Paramètres!$A$1:$I$89,3,0)*0.475*44/12</f>
        <v>20.041584443648841</v>
      </c>
      <c r="AB35" s="21">
        <f>EXP(-LN(2)/2)*AB34+(1-EXP(-LN(2)/2))/(LN(2)/2)*V35*Y35*VLOOKUP('Données projet'!$B$9,Paramètres!$A$1:$I$89,3,0)*0.475*44/12</f>
        <v>6.0398164116522564</v>
      </c>
      <c r="AC35" s="22">
        <f t="shared" si="3"/>
        <v>55.386325939796606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10.064285714285713</v>
      </c>
      <c r="AI35" s="13">
        <f>IF('Données projet'!$A$62&gt;35,AI34+AH35-AQ34,IF(A35&lt;'Données projet'!$A$62,$AF$205^A35,IF(A35='Données projet'!$A$62,'Données projet'!$B$62,AI34+AH35-AQ34)))</f>
        <v>322.05714285714271</v>
      </c>
      <c r="AJ35" s="13">
        <f>AI35*VLOOKUP('Données projet'!$B$10,Paramètres!$A$1:$I$89,3,0)*VLOOKUP('Données projet'!$B$10,Paramètres!$A$1:$I$89,5,0)</f>
        <v>150.7227428571428</v>
      </c>
      <c r="AK35" s="13">
        <f t="shared" si="35"/>
        <v>38.742785552446897</v>
      </c>
      <c r="AL35" s="20">
        <f t="shared" si="4"/>
        <v>329.98579531336867</v>
      </c>
      <c r="AM35" s="59">
        <f t="shared" si="5"/>
        <v>570.95829779389396</v>
      </c>
      <c r="AN35" s="59">
        <f ca="1">AVERAGE(OFFSET($AM$3,0,0,'Données projet'!$E$10+1,1))-AVERAGE(OFFSET($H$3,0,0,'Données projet'!$E$10+1,1))</f>
        <v>391.61151255507264</v>
      </c>
      <c r="AO35" s="59">
        <f t="shared" si="36"/>
        <v>365.61278905364281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4.0157894736842108</v>
      </c>
      <c r="BD35" s="12">
        <f>IF('Données projet'!$A$88&gt;35,BD34+BC35-BL34,IF(A35&lt;'Données projet'!$A$88,$BA$205^A35,IF(A35='Données projet'!$A$88,'Données projet'!$B$88,BD34+BC35-BL34)))</f>
        <v>128.50526315789469</v>
      </c>
      <c r="BE35" s="13">
        <f>BD35*VLOOKUP('Données projet'!$B$11,Paramètres!$A$1:$I$89,3,0)*VLOOKUP('Données projet'!$B$11,Paramètres!$A$1:$I$89,5,0)</f>
        <v>122.28560842105259</v>
      </c>
      <c r="BF35" s="13">
        <f t="shared" si="37"/>
        <v>32.207493140553972</v>
      </c>
      <c r="BG35" s="20">
        <f t="shared" si="7"/>
        <v>269.07548521979805</v>
      </c>
      <c r="BH35" s="59">
        <f t="shared" si="8"/>
        <v>510.04798770032335</v>
      </c>
      <c r="BI35" s="59">
        <f ca="1">AVERAGE(OFFSET($BH$3,0,0,'Données projet'!$E$11+1,1))-AVERAGE(OFFSET($H$3,0,0,'Données projet'!$E$11+1,1))</f>
        <v>486.36809102684492</v>
      </c>
      <c r="BJ35" s="59">
        <f t="shared" si="38"/>
        <v>308.42890859885006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28.666666666666668</v>
      </c>
      <c r="N36" s="13">
        <f>IF('Données projet'!$A$36&gt;35,N35+M36-V35,IF(A36&lt;'Données projet'!$A$36,$K$205^A36,IF(A36='Données projet'!$A$36,'Données projet'!$B$36,N35+M36-V35)))</f>
        <v>415.7000000000001</v>
      </c>
      <c r="O36" s="13">
        <f>N36*VLOOKUP('Données projet'!$B$9,Paramètres!$A$1:$I$89,3,0)*VLOOKUP('Données projet'!$B$9,Paramètres!$A$1:$I$89,5,0)</f>
        <v>232.37630000000004</v>
      </c>
      <c r="P36" s="13">
        <f t="shared" si="33"/>
        <v>56.796185371837566</v>
      </c>
      <c r="Q36" s="20">
        <f t="shared" si="53"/>
        <v>503.64207868928384</v>
      </c>
      <c r="R36" s="59">
        <f t="shared" si="0"/>
        <v>745.5229245238246</v>
      </c>
      <c r="S36" s="59">
        <f ca="1">AVERAGE(OFFSET($R$3,0,0,'Données projet'!$E$9+1,1))-AVERAGE(OFFSET($H$3,0,0,'Données projet'!$E$9+1,1))</f>
        <v>418.8940806978344</v>
      </c>
      <c r="T36" s="59">
        <f t="shared" si="34"/>
        <v>553.49616487922378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28.73027337782792</v>
      </c>
      <c r="AA36" s="21">
        <f>EXP(-LN(2)/25)*AA35+(1-EXP(-LN(2)/25))/(LN(2)/25)*Calculateur!V36*Calculateur!X36*VLOOKUP('Données projet'!$B$9,Paramètres!$A$1:$I$89,3,0)*0.475*44/12</f>
        <v>19.493546263096142</v>
      </c>
      <c r="AB36" s="21">
        <f>EXP(-LN(2)/2)*AB35+(1-EXP(-LN(2)/2))/(LN(2)/2)*V36*Y36*VLOOKUP('Données projet'!$B$9,Paramètres!$A$1:$I$89,3,0)*0.475*44/12</f>
        <v>4.270795141801111</v>
      </c>
      <c r="AC36" s="22">
        <f t="shared" si="3"/>
        <v>52.494614782725172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10.064285714285713</v>
      </c>
      <c r="AI36" s="13">
        <f>IF('Données projet'!$A$62&gt;35,AI35+AH36-AQ35,IF(A36&lt;'Données projet'!$A$62,$AF$205^A36,IF(A36='Données projet'!$A$62,'Données projet'!$B$62,AI35+AH36-AQ35)))</f>
        <v>332.1214285714284</v>
      </c>
      <c r="AJ36" s="13">
        <f>AI36*VLOOKUP('Données projet'!$B$10,Paramètres!$A$1:$I$89,3,0)*VLOOKUP('Données projet'!$B$10,Paramètres!$A$1:$I$89,5,0)</f>
        <v>155.43282857142847</v>
      </c>
      <c r="AK36" s="13">
        <f t="shared" si="35"/>
        <v>39.810647306302705</v>
      </c>
      <c r="AL36" s="20">
        <f t="shared" si="4"/>
        <v>340.0490538203818</v>
      </c>
      <c r="AM36" s="59">
        <f t="shared" si="5"/>
        <v>581.92989965492256</v>
      </c>
      <c r="AN36" s="59">
        <f ca="1">AVERAGE(OFFSET($AM$3,0,0,'Données projet'!$E$10+1,1))-AVERAGE(OFFSET($H$3,0,0,'Données projet'!$E$10+1,1))</f>
        <v>391.61151255507264</v>
      </c>
      <c r="AO36" s="59">
        <f t="shared" si="36"/>
        <v>365.61278905364281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4.0157894736842108</v>
      </c>
      <c r="BD36" s="12">
        <f>IF('Données projet'!$A$88&gt;35,BD35+BC36-BL35,IF(A36&lt;'Données projet'!$A$88,$BA$205^A36,IF(A36='Données projet'!$A$88,'Données projet'!$B$88,BD35+BC36-BL35)))</f>
        <v>132.5210526315789</v>
      </c>
      <c r="BE36" s="13">
        <f>BD36*VLOOKUP('Données projet'!$B$11,Paramètres!$A$1:$I$89,3,0)*VLOOKUP('Données projet'!$B$11,Paramètres!$A$1:$I$89,5,0)</f>
        <v>126.10703368421048</v>
      </c>
      <c r="BF36" s="13">
        <f t="shared" si="37"/>
        <v>33.095223581768984</v>
      </c>
      <c r="BG36" s="20">
        <f t="shared" si="7"/>
        <v>277.27726473824754</v>
      </c>
      <c r="BH36" s="59">
        <f t="shared" si="8"/>
        <v>519.15811057278825</v>
      </c>
      <c r="BI36" s="59">
        <f ca="1">AVERAGE(OFFSET($BH$3,0,0,'Données projet'!$E$11+1,1))-AVERAGE(OFFSET($H$3,0,0,'Données projet'!$E$11+1,1))</f>
        <v>486.36809102684492</v>
      </c>
      <c r="BJ36" s="59">
        <f t="shared" si="38"/>
        <v>308.42890859885006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28.666666666666668</v>
      </c>
      <c r="N37" s="13">
        <f>IF('Données projet'!$A$36&gt;35,N36+M37-V36,IF(A37&lt;'Données projet'!$A$36,$K$205^A37,IF(A37='Données projet'!$A$36,'Données projet'!$B$36,N36+M37-V36)))</f>
        <v>444.36666666666679</v>
      </c>
      <c r="O37" s="13">
        <f>N37*VLOOKUP('Données projet'!$B$9,Paramètres!$A$1:$I$89,3,0)*VLOOKUP('Données projet'!$B$9,Paramètres!$A$1:$I$89,5,0)</f>
        <v>248.40096666666673</v>
      </c>
      <c r="P37" s="13">
        <f t="shared" si="33"/>
        <v>60.243404162664191</v>
      </c>
      <c r="Q37" s="20">
        <f t="shared" si="53"/>
        <v>537.55561252775135</v>
      </c>
      <c r="R37" s="59">
        <f t="shared" si="0"/>
        <v>780.32904398986693</v>
      </c>
      <c r="S37" s="59">
        <f ca="1">AVERAGE(OFFSET($R$3,0,0,'Données projet'!$E$9+1,1))-AVERAGE(OFFSET($H$3,0,0,'Données projet'!$E$9+1,1))</f>
        <v>418.8940806978344</v>
      </c>
      <c r="T37" s="59">
        <f t="shared" si="34"/>
        <v>553.49616487922378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28.16689024062515</v>
      </c>
      <c r="AA37" s="21">
        <f>EXP(-LN(2)/25)*AA36+(1-EXP(-LN(2)/25))/(LN(2)/25)*Calculateur!V37*Calculateur!X37*VLOOKUP('Données projet'!$B$9,Paramètres!$A$1:$I$89,3,0)*0.475*44/12</f>
        <v>18.960494215410733</v>
      </c>
      <c r="AB37" s="21">
        <f>EXP(-LN(2)/2)*AB36+(1-EXP(-LN(2)/2))/(LN(2)/2)*V37*Y37*VLOOKUP('Données projet'!$B$9,Paramètres!$A$1:$I$89,3,0)*0.475*44/12</f>
        <v>3.0199082058261286</v>
      </c>
      <c r="AC37" s="22">
        <f t="shared" si="3"/>
        <v>50.147292661862011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10.064285714285713</v>
      </c>
      <c r="AI37" s="13">
        <f>IF('Données projet'!$A$62&gt;35,AI36+AH37-AQ36,IF(A37&lt;'Données projet'!$A$62,$AF$205^A37,IF(A37='Données projet'!$A$62,'Données projet'!$B$62,AI36+AH37-AQ36)))</f>
        <v>342.18571428571408</v>
      </c>
      <c r="AJ37" s="13">
        <f>AI37*VLOOKUP('Données projet'!$B$10,Paramètres!$A$1:$I$89,3,0)*VLOOKUP('Données projet'!$B$10,Paramètres!$A$1:$I$89,5,0)</f>
        <v>160.1429142857142</v>
      </c>
      <c r="AK37" s="13">
        <f t="shared" si="35"/>
        <v>40.8747484475928</v>
      </c>
      <c r="AL37" s="20">
        <f t="shared" si="4"/>
        <v>350.10576259384294</v>
      </c>
      <c r="AM37" s="59">
        <f t="shared" si="5"/>
        <v>592.87919405595858</v>
      </c>
      <c r="AN37" s="59">
        <f ca="1">AVERAGE(OFFSET($AM$3,0,0,'Données projet'!$E$10+1,1))-AVERAGE(OFFSET($H$3,0,0,'Données projet'!$E$10+1,1))</f>
        <v>391.61151255507264</v>
      </c>
      <c r="AO37" s="59">
        <f t="shared" si="36"/>
        <v>365.61278905364281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4.0157894736842108</v>
      </c>
      <c r="BD37" s="12">
        <f>IF('Données projet'!$A$88&gt;35,BD36+BC37-BL36,IF(A37&lt;'Données projet'!$A$88,$BA$205^A37,IF(A37='Données projet'!$A$88,'Données projet'!$B$88,BD36+BC37-BL36)))</f>
        <v>136.5368421052631</v>
      </c>
      <c r="BE37" s="13">
        <f>BD37*VLOOKUP('Données projet'!$B$11,Paramètres!$A$1:$I$89,3,0)*VLOOKUP('Données projet'!$B$11,Paramètres!$A$1:$I$89,5,0)</f>
        <v>129.92845894736837</v>
      </c>
      <c r="BF37" s="13">
        <f t="shared" si="37"/>
        <v>33.979827766012825</v>
      </c>
      <c r="BG37" s="20">
        <f t="shared" si="7"/>
        <v>285.47359935913892</v>
      </c>
      <c r="BH37" s="59">
        <f t="shared" si="8"/>
        <v>528.2470308212545</v>
      </c>
      <c r="BI37" s="59">
        <f ca="1">AVERAGE(OFFSET($BH$3,0,0,'Données projet'!$E$11+1,1))-AVERAGE(OFFSET($H$3,0,0,'Données projet'!$E$11+1,1))</f>
        <v>486.36809102684492</v>
      </c>
      <c r="BJ37" s="59">
        <f t="shared" si="38"/>
        <v>308.42890859885006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28.666666666666668</v>
      </c>
      <c r="N38" s="13">
        <f>IF('Données projet'!$A$36&gt;35,N37+M38-V37,IF(A38&lt;'Données projet'!$A$36,$K$205^A38,IF(A38='Données projet'!$A$36,'Données projet'!$B$36,N37+M38-V37)))</f>
        <v>473.03333333333347</v>
      </c>
      <c r="O38" s="13">
        <f>N38*VLOOKUP('Données projet'!$B$9,Paramètres!$A$1:$I$89,3,0)*VLOOKUP('Données projet'!$B$9,Paramètres!$A$1:$I$89,5,0)</f>
        <v>264.42563333333345</v>
      </c>
      <c r="P38" s="13">
        <f t="shared" si="33"/>
        <v>63.664815449881154</v>
      </c>
      <c r="Q38" s="20">
        <f t="shared" si="53"/>
        <v>571.42419829743199</v>
      </c>
      <c r="R38" s="59">
        <f t="shared" si="0"/>
        <v>815.07473102200652</v>
      </c>
      <c r="S38" s="59">
        <f ca="1">AVERAGE(OFFSET($R$3,0,0,'Données projet'!$E$9+1,1))-AVERAGE(OFFSET($H$3,0,0,'Données projet'!$E$9+1,1))</f>
        <v>418.8940806978344</v>
      </c>
      <c r="T38" s="59">
        <f t="shared" si="34"/>
        <v>553.49616487922378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27.614554703113143</v>
      </c>
      <c r="AA38" s="21">
        <f>EXP(-LN(2)/25)*AA37+(1-EXP(-LN(2)/25))/(LN(2)/25)*Calculateur!V38*Calculateur!X38*VLOOKUP('Données projet'!$B$9,Paramètres!$A$1:$I$89,3,0)*0.475*44/12</f>
        <v>18.442018504001272</v>
      </c>
      <c r="AB38" s="21">
        <f>EXP(-LN(2)/2)*AB37+(1-EXP(-LN(2)/2))/(LN(2)/2)*V38*Y38*VLOOKUP('Données projet'!$B$9,Paramètres!$A$1:$I$89,3,0)*0.475*44/12</f>
        <v>2.1353975709005559</v>
      </c>
      <c r="AC38" s="22">
        <f t="shared" si="3"/>
        <v>48.191970778014969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10.064285714285713</v>
      </c>
      <c r="AI38" s="13">
        <f>IF('Données projet'!$A$62&gt;35,AI37+AH38-AQ37,IF(A38&lt;'Données projet'!$A$62,$AF$205^A38,IF(A38='Données projet'!$A$62,'Données projet'!$B$62,AI37+AH38-AQ37)))</f>
        <v>352.24999999999977</v>
      </c>
      <c r="AJ38" s="13">
        <f>AI38*VLOOKUP('Données projet'!$B$10,Paramètres!$A$1:$I$89,3,0)*VLOOKUP('Données projet'!$B$10,Paramètres!$A$1:$I$89,5,0)</f>
        <v>164.85299999999989</v>
      </c>
      <c r="AK38" s="13">
        <f t="shared" si="35"/>
        <v>41.935212282048305</v>
      </c>
      <c r="AL38" s="20">
        <f t="shared" si="4"/>
        <v>360.15613639123393</v>
      </c>
      <c r="AM38" s="59">
        <f t="shared" si="5"/>
        <v>603.8066691158084</v>
      </c>
      <c r="AN38" s="59">
        <f ca="1">AVERAGE(OFFSET($AM$3,0,0,'Données projet'!$E$10+1,1))-AVERAGE(OFFSET($H$3,0,0,'Données projet'!$E$10+1,1))</f>
        <v>391.61151255507264</v>
      </c>
      <c r="AO38" s="59">
        <f t="shared" si="36"/>
        <v>365.61278905364281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4.0157894736842108</v>
      </c>
      <c r="BD38" s="12">
        <f>IF('Données projet'!$A$88&gt;35,BD37+BC38-BL37,IF(A38&lt;'Données projet'!$A$88,$BA$205^A38,IF(A38='Données projet'!$A$88,'Données projet'!$B$88,BD37+BC38-BL37)))</f>
        <v>140.55263157894731</v>
      </c>
      <c r="BE38" s="13">
        <f>BD38*VLOOKUP('Données projet'!$B$11,Paramètres!$A$1:$I$89,3,0)*VLOOKUP('Données projet'!$B$11,Paramètres!$A$1:$I$89,5,0)</f>
        <v>133.74988421052626</v>
      </c>
      <c r="BF38" s="13">
        <f t="shared" si="37"/>
        <v>34.861408199298758</v>
      </c>
      <c r="BG38" s="20">
        <f t="shared" si="7"/>
        <v>293.66466761377859</v>
      </c>
      <c r="BH38" s="59">
        <f t="shared" si="8"/>
        <v>537.31520033835307</v>
      </c>
      <c r="BI38" s="59">
        <f ca="1">AVERAGE(OFFSET($BH$3,0,0,'Données projet'!$E$11+1,1))-AVERAGE(OFFSET($H$3,0,0,'Données projet'!$E$11+1,1))</f>
        <v>486.36809102684492</v>
      </c>
      <c r="BJ38" s="59">
        <f t="shared" si="38"/>
        <v>308.42890859885006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501.7</v>
      </c>
      <c r="L39" s="12">
        <f>VLOOKUP(A39,'Données projet'!$A$35:$I$55,9,0)</f>
        <v>28.666666666666668</v>
      </c>
      <c r="M39" s="12">
        <f t="array" ref="M39">INDEX(L:L,MIN(IF(ISNUMBER(L39:L235),ROW(L39:L235),"")))</f>
        <v>28.666666666666668</v>
      </c>
      <c r="N39" s="13">
        <f>IF('Données projet'!$A$36&gt;35,N38+M39-V38,IF(A39&lt;'Données projet'!$A$36,$K$205^A39,IF(A39='Données projet'!$A$36,'Données projet'!$B$36,N38+M39-V38)))</f>
        <v>501.70000000000016</v>
      </c>
      <c r="O39" s="13">
        <f>N39*VLOOKUP('Données projet'!$B$9,Paramètres!$A$1:$I$89,3,0)*VLOOKUP('Données projet'!$B$9,Paramètres!$A$1:$I$89,5,0)</f>
        <v>280.45030000000008</v>
      </c>
      <c r="P39" s="13">
        <f t="shared" si="33"/>
        <v>67.062161314109517</v>
      </c>
      <c r="Q39" s="20">
        <f t="shared" si="53"/>
        <v>605.25087012207416</v>
      </c>
      <c r="R39" s="59">
        <f t="shared" si="0"/>
        <v>849.76328836310859</v>
      </c>
      <c r="S39" s="59">
        <f ca="1">AVERAGE(OFFSET($R$3,0,0,'Données projet'!$E$9+1,1))-AVERAGE(OFFSET($H$3,0,0,'Données projet'!$E$9+1,1))</f>
        <v>418.8940806978344</v>
      </c>
      <c r="T39" s="59">
        <f t="shared" si="34"/>
        <v>553.49616487922378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85.9</v>
      </c>
      <c r="W39" s="16">
        <f>IF(ISNA(VLOOKUP(A39,'Données projet'!$A$35:$I$55,5,0)),0%,VLOOKUP(A39,'Données projet'!$A$35:$I$55,5,0)*VLOOKUP('Données projet'!$B$9,Paramètres!$A$1:$I$89,7,0))</f>
        <v>0.33</v>
      </c>
      <c r="X39" s="16">
        <f>IF(ISNA(VLOOKUP(A39,'Données projet'!$A$35:$I$55,6,0)),0%,VLOOKUP(A39,'Données projet'!$A$35:$I$55,6,0)*VLOOKUP('Données projet'!$B$9,Paramètres!$A$1:$I$89,7,0))</f>
        <v>0.11000000000000001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48.093754672254988</v>
      </c>
      <c r="AA39" s="21">
        <f>EXP(-LN(2)/25)*AA38+(1-EXP(-LN(2)/25))/(LN(2)/25)*Calculateur!V39*Calculateur!X39*VLOOKUP('Données projet'!$B$9,Paramètres!$A$1:$I$89,3,0)*0.475*44/12</f>
        <v>24.917033211635729</v>
      </c>
      <c r="AB39" s="21">
        <f>EXP(-LN(2)/2)*AB38+(1-EXP(-LN(2)/2))/(LN(2)/2)*V39*Y39*VLOOKUP('Données projet'!$B$9,Paramètres!$A$1:$I$89,3,0)*0.475*44/12</f>
        <v>12.383482840084184</v>
      </c>
      <c r="AC39" s="22">
        <f t="shared" si="3"/>
        <v>85.394270723974898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10.064285714285713</v>
      </c>
      <c r="AI39" s="13">
        <f>IF('Données projet'!$A$62&gt;35,AI38+AH39-AQ38,IF(A39&lt;'Données projet'!$A$62,$AF$205^A39,IF(A39='Données projet'!$A$62,'Données projet'!$B$62,AI38+AH39-AQ38)))</f>
        <v>362.31428571428546</v>
      </c>
      <c r="AJ39" s="13">
        <f>AI39*VLOOKUP('Données projet'!$B$10,Paramètres!$A$1:$I$89,3,0)*VLOOKUP('Données projet'!$B$10,Paramètres!$A$1:$I$89,5,0)</f>
        <v>169.56308571428562</v>
      </c>
      <c r="AK39" s="13">
        <f t="shared" si="35"/>
        <v>42.992154668598012</v>
      </c>
      <c r="AL39" s="20">
        <f t="shared" si="4"/>
        <v>370.20037700018889</v>
      </c>
      <c r="AM39" s="59">
        <f t="shared" si="5"/>
        <v>614.71279524122338</v>
      </c>
      <c r="AN39" s="59">
        <f ca="1">AVERAGE(OFFSET($AM$3,0,0,'Données projet'!$E$10+1,1))-AVERAGE(OFFSET($H$3,0,0,'Données projet'!$E$10+1,1))</f>
        <v>391.61151255507264</v>
      </c>
      <c r="AO39" s="59">
        <f t="shared" si="36"/>
        <v>365.61278905364281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4.0157894736842108</v>
      </c>
      <c r="BD39" s="12">
        <f>IF('Données projet'!$A$88&gt;35,BD38+BC39-BL38,IF(A39&lt;'Données projet'!$A$88,$BA$205^A39,IF(A39='Données projet'!$A$88,'Données projet'!$B$88,BD38+BC39-BL38)))</f>
        <v>144.56842105263152</v>
      </c>
      <c r="BE39" s="13">
        <f>BD39*VLOOKUP('Données projet'!$B$11,Paramètres!$A$1:$I$89,3,0)*VLOOKUP('Données projet'!$B$11,Paramètres!$A$1:$I$89,5,0)</f>
        <v>137.57130947368415</v>
      </c>
      <c r="BF39" s="13">
        <f t="shared" si="37"/>
        <v>35.740061196995036</v>
      </c>
      <c r="BG39" s="20">
        <f t="shared" si="7"/>
        <v>301.85063725143294</v>
      </c>
      <c r="BH39" s="59">
        <f t="shared" si="8"/>
        <v>546.36305549246731</v>
      </c>
      <c r="BI39" s="59">
        <f ca="1">AVERAGE(OFFSET($BH$3,0,0,'Données projet'!$E$11+1,1))-AVERAGE(OFFSET($H$3,0,0,'Données projet'!$E$11+1,1))</f>
        <v>486.36809102684492</v>
      </c>
      <c r="BJ39" s="59">
        <f t="shared" si="38"/>
        <v>308.42890859885006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28.100000000000005</v>
      </c>
      <c r="N40" s="13">
        <f>IF('Données projet'!$A$36&gt;35,N39+M40-V39,IF(A40&lt;'Données projet'!$A$36,$K$205^A40,IF(A40='Données projet'!$A$36,'Données projet'!$B$36,N39+M40-V39)))</f>
        <v>443.9000000000002</v>
      </c>
      <c r="O40" s="13">
        <f>N40*VLOOKUP('Données projet'!$B$9,Paramètres!$A$1:$I$89,3,0)*VLOOKUP('Données projet'!$B$9,Paramètres!$A$1:$I$89,5,0)</f>
        <v>248.14010000000013</v>
      </c>
      <c r="P40" s="13">
        <f t="shared" si="33"/>
        <v>60.187498336098557</v>
      </c>
      <c r="Q40" s="20">
        <f t="shared" si="53"/>
        <v>537.00390043537186</v>
      </c>
      <c r="R40" s="59">
        <f t="shared" si="0"/>
        <v>782.36325240604299</v>
      </c>
      <c r="S40" s="59">
        <f ca="1">AVERAGE(OFFSET($R$3,0,0,'Données projet'!$E$9+1,1))-AVERAGE(OFFSET($H$3,0,0,'Données projet'!$E$9+1,1))</f>
        <v>418.8940806978344</v>
      </c>
      <c r="T40" s="59">
        <f t="shared" si="34"/>
        <v>553.49616487922378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47.150665477425896</v>
      </c>
      <c r="AA40" s="21">
        <f>EXP(-LN(2)/25)*AA39+(1-EXP(-LN(2)/25))/(LN(2)/25)*Calculateur!V40*Calculateur!X40*VLOOKUP('Données projet'!$B$9,Paramètres!$A$1:$I$89,3,0)*0.475*44/12</f>
        <v>24.235675628133723</v>
      </c>
      <c r="AB40" s="21">
        <f>EXP(-LN(2)/2)*AB39+(1-EXP(-LN(2)/2))/(LN(2)/2)*V40*Y40*VLOOKUP('Données projet'!$B$9,Paramètres!$A$1:$I$89,3,0)*0.475*44/12</f>
        <v>8.756444690930774</v>
      </c>
      <c r="AC40" s="22">
        <f t="shared" si="3"/>
        <v>80.142785796490401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10.064285714285713</v>
      </c>
      <c r="AI40" s="13">
        <f>IF('Données projet'!$A$62&gt;35,AI39+AH40-AQ39,IF(A40&lt;'Données projet'!$A$62,$AF$205^A40,IF(A40='Données projet'!$A$62,'Données projet'!$B$62,AI39+AH40-AQ39)))</f>
        <v>372.37857142857115</v>
      </c>
      <c r="AJ40" s="13">
        <f>AI40*VLOOKUP('Données projet'!$B$10,Paramètres!$A$1:$I$89,3,0)*VLOOKUP('Données projet'!$B$10,Paramètres!$A$1:$I$89,5,0)</f>
        <v>174.27317142857132</v>
      </c>
      <c r="AK40" s="13">
        <f t="shared" si="35"/>
        <v>44.045684663307739</v>
      </c>
      <c r="AL40" s="20">
        <f t="shared" si="4"/>
        <v>380.23867436002274</v>
      </c>
      <c r="AM40" s="59">
        <f t="shared" si="5"/>
        <v>625.59802633069387</v>
      </c>
      <c r="AN40" s="59">
        <f ca="1">AVERAGE(OFFSET($AM$3,0,0,'Données projet'!$E$10+1,1))-AVERAGE(OFFSET($H$3,0,0,'Données projet'!$E$10+1,1))</f>
        <v>391.61151255507264</v>
      </c>
      <c r="AO40" s="59">
        <f t="shared" si="36"/>
        <v>365.61278905364281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4.0157894736842108</v>
      </c>
      <c r="BD40" s="12">
        <f>IF('Données projet'!$A$88&gt;35,BD39+BC40-BL39,IF(A40&lt;'Données projet'!$A$88,$BA$205^A40,IF(A40='Données projet'!$A$88,'Données projet'!$B$88,BD39+BC40-BL39)))</f>
        <v>148.58421052631573</v>
      </c>
      <c r="BE40" s="13">
        <f>BD40*VLOOKUP('Données projet'!$B$11,Paramètres!$A$1:$I$89,3,0)*VLOOKUP('Données projet'!$B$11,Paramètres!$A$1:$I$89,5,0)</f>
        <v>141.39273473684204</v>
      </c>
      <c r="BF40" s="13">
        <f t="shared" si="37"/>
        <v>36.615877419141682</v>
      </c>
      <c r="BG40" s="20">
        <f t="shared" si="7"/>
        <v>310.03166617167159</v>
      </c>
      <c r="BH40" s="59">
        <f t="shared" si="8"/>
        <v>555.39101814234266</v>
      </c>
      <c r="BI40" s="59">
        <f ca="1">AVERAGE(OFFSET($BH$3,0,0,'Données projet'!$E$11+1,1))-AVERAGE(OFFSET($H$3,0,0,'Données projet'!$E$11+1,1))</f>
        <v>486.36809102684492</v>
      </c>
      <c r="BJ40" s="59">
        <f t="shared" si="38"/>
        <v>308.42890859885006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28.100000000000005</v>
      </c>
      <c r="N41" s="13">
        <f>IF('Données projet'!$A$36&gt;35,N40+M41-V40,IF(A41&lt;'Données projet'!$A$36,$K$205^A41,IF(A41='Données projet'!$A$36,'Données projet'!$B$36,N40+M41-V40)))</f>
        <v>472.00000000000023</v>
      </c>
      <c r="O41" s="13">
        <f>N41*VLOOKUP('Données projet'!$B$9,Paramètres!$A$1:$I$89,3,0)*VLOOKUP('Données projet'!$B$9,Paramètres!$A$1:$I$89,5,0)</f>
        <v>263.84800000000013</v>
      </c>
      <c r="P41" s="13">
        <f t="shared" si="33"/>
        <v>63.541913395692205</v>
      </c>
      <c r="Q41" s="20">
        <f t="shared" si="53"/>
        <v>570.20409916416418</v>
      </c>
      <c r="R41" s="59">
        <f t="shared" si="0"/>
        <v>816.39569245772293</v>
      </c>
      <c r="S41" s="59">
        <f ca="1">AVERAGE(OFFSET($R$3,0,0,'Données projet'!$E$9+1,1))-AVERAGE(OFFSET($H$3,0,0,'Données projet'!$E$9+1,1))</f>
        <v>418.8940806978344</v>
      </c>
      <c r="T41" s="59">
        <f t="shared" si="34"/>
        <v>553.49616487922378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46.226069686479796</v>
      </c>
      <c r="AA41" s="21">
        <f>EXP(-LN(2)/25)*AA40+(1-EXP(-LN(2)/25))/(LN(2)/25)*Calculateur!V41*Calculateur!X41*VLOOKUP('Données projet'!$B$9,Paramètres!$A$1:$I$89,3,0)*0.475*44/12</f>
        <v>23.572949803583615</v>
      </c>
      <c r="AB41" s="21">
        <f>EXP(-LN(2)/2)*AB40+(1-EXP(-LN(2)/2))/(LN(2)/2)*V41*Y41*VLOOKUP('Données projet'!$B$9,Paramètres!$A$1:$I$89,3,0)*0.475*44/12</f>
        <v>6.191741420042093</v>
      </c>
      <c r="AC41" s="22">
        <f t="shared" si="3"/>
        <v>75.990760910105507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10.064285714285713</v>
      </c>
      <c r="AI41" s="13">
        <f>IF('Données projet'!$A$62&gt;35,AI40+AH41-AQ40,IF(A41&lt;'Données projet'!$A$62,$AF$205^A41,IF(A41='Données projet'!$A$62,'Données projet'!$B$62,AI40+AH41-AQ40)))</f>
        <v>382.44285714285684</v>
      </c>
      <c r="AJ41" s="13">
        <f>AI41*VLOOKUP('Données projet'!$B$10,Paramètres!$A$1:$I$89,3,0)*VLOOKUP('Données projet'!$B$10,Paramètres!$A$1:$I$89,5,0)</f>
        <v>178.98325714285698</v>
      </c>
      <c r="AK41" s="13">
        <f t="shared" si="35"/>
        <v>45.095905091746801</v>
      </c>
      <c r="AL41" s="20">
        <f t="shared" si="4"/>
        <v>390.27120755860159</v>
      </c>
      <c r="AM41" s="59">
        <f t="shared" si="5"/>
        <v>636.46280085216029</v>
      </c>
      <c r="AN41" s="59">
        <f ca="1">AVERAGE(OFFSET($AM$3,0,0,'Données projet'!$E$10+1,1))-AVERAGE(OFFSET($H$3,0,0,'Données projet'!$E$10+1,1))</f>
        <v>391.61151255507264</v>
      </c>
      <c r="AO41" s="59">
        <f t="shared" si="36"/>
        <v>365.61278905364281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>
        <f>VLOOKUP(A41,'Données projet'!$A$87:$I$107,2,0)</f>
        <v>152.6</v>
      </c>
      <c r="BB41" s="12">
        <f>VLOOKUP(A41,'Données projet'!$A$87:$I$107,9,0)</f>
        <v>4.0157894736842108</v>
      </c>
      <c r="BC41" s="12">
        <f t="array" ref="BC41">INDEX(BB:BB,MIN(IF(ISNUMBER(BB41:BB237),ROW(BB41:BB237),"")))</f>
        <v>4.0157894736842108</v>
      </c>
      <c r="BD41" s="12">
        <f>IF('Données projet'!$A$88&gt;35,BD40+BC41-BL40,IF(A41&lt;'Données projet'!$A$88,$BA$205^A41,IF(A41='Données projet'!$A$88,'Données projet'!$B$88,BD40+BC41-BL40)))</f>
        <v>152.59999999999994</v>
      </c>
      <c r="BE41" s="13">
        <f>BD41*VLOOKUP('Données projet'!$B$11,Paramètres!$A$1:$I$89,3,0)*VLOOKUP('Données projet'!$B$11,Paramètres!$A$1:$I$89,5,0)</f>
        <v>145.21415999999994</v>
      </c>
      <c r="BF41" s="13">
        <f t="shared" si="37"/>
        <v>37.488942346268111</v>
      </c>
      <c r="BG41" s="20">
        <f t="shared" si="7"/>
        <v>318.20790325308349</v>
      </c>
      <c r="BH41" s="59">
        <f t="shared" si="8"/>
        <v>564.39949654664224</v>
      </c>
      <c r="BI41" s="59">
        <f ca="1">AVERAGE(OFFSET($BH$3,0,0,'Données projet'!$E$11+1,1))-AVERAGE(OFFSET($H$3,0,0,'Données projet'!$E$11+1,1))</f>
        <v>486.36809102684492</v>
      </c>
      <c r="BJ41" s="59">
        <f t="shared" si="38"/>
        <v>308.42890859885006</v>
      </c>
      <c r="BK41" s="15">
        <f>IF(ISNA(VLOOKUP(A41,'Données projet'!$A$87:$I$107,3,0)),0,VLOOKUP(A41,'Données projet'!$A$87:$I$107,3,0))</f>
        <v>1</v>
      </c>
      <c r="BL41" s="15">
        <f>IF(ISNA(VLOOKUP(A41,'Données projet'!$A$87:$I$107,4,0)),0,VLOOKUP(A41,'Données projet'!$A$87:$I$107,4,0))</f>
        <v>71.599999999999994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0.1075</v>
      </c>
      <c r="BO41" s="16">
        <f>IF(ISNA(VLOOKUP(A41,'Données projet'!$A$87:$I$107,7,0)),0%,VLOOKUP(A41,'Données projet'!$A$87:$I$107,7,0))</f>
        <v>0.25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8.0650984317282521</v>
      </c>
      <c r="BR41" s="21">
        <f>EXP(-LN(2)/2)*BR40+(1-EXP(-LN(2)/2))/(LN(2)/2)*BL41*BO41*VLOOKUP('Données projet'!$B$11,Paramètres!$A$1:$I$89,3,0)*0.475*44/12</f>
        <v>16.07169779369892</v>
      </c>
      <c r="BS41" s="22">
        <f t="shared" si="9"/>
        <v>24.136796225427172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28.100000000000005</v>
      </c>
      <c r="N42" s="13">
        <f>IF('Données projet'!$A$36&gt;35,N41+M42-V41,IF(A42&lt;'Données projet'!$A$36,$K$205^A42,IF(A42='Données projet'!$A$36,'Données projet'!$B$36,N41+M42-V41)))</f>
        <v>500.10000000000025</v>
      </c>
      <c r="O42" s="13">
        <f>N42*VLOOKUP('Données projet'!$B$9,Paramètres!$A$1:$I$89,3,0)*VLOOKUP('Données projet'!$B$9,Paramètres!$A$1:$I$89,5,0)</f>
        <v>279.55590000000012</v>
      </c>
      <c r="P42" s="13">
        <f t="shared" si="33"/>
        <v>66.873149116291984</v>
      </c>
      <c r="Q42" s="20">
        <f t="shared" si="53"/>
        <v>603.36392721087543</v>
      </c>
      <c r="R42" s="59">
        <f t="shared" si="0"/>
        <v>850.37332430098252</v>
      </c>
      <c r="S42" s="59">
        <f ca="1">AVERAGE(OFFSET($R$3,0,0,'Données projet'!$E$9+1,1))-AVERAGE(OFFSET($H$3,0,0,'Données projet'!$E$9+1,1))</f>
        <v>418.8940806978344</v>
      </c>
      <c r="T42" s="59">
        <f t="shared" si="34"/>
        <v>553.49616487922378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45.319604655046398</v>
      </c>
      <c r="AA42" s="21">
        <f>EXP(-LN(2)/25)*AA41+(1-EXP(-LN(2)/25))/(LN(2)/25)*Calculateur!V42*Calculateur!X42*VLOOKUP('Données projet'!$B$9,Paramètres!$A$1:$I$89,3,0)*0.475*44/12</f>
        <v>22.928346251557066</v>
      </c>
      <c r="AB42" s="21">
        <f>EXP(-LN(2)/2)*AB41+(1-EXP(-LN(2)/2))/(LN(2)/2)*V42*Y42*VLOOKUP('Données projet'!$B$9,Paramètres!$A$1:$I$89,3,0)*0.475*44/12</f>
        <v>4.3782223454653879</v>
      </c>
      <c r="AC42" s="22">
        <f t="shared" si="3"/>
        <v>72.626173252068853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10.064285714285713</v>
      </c>
      <c r="AI42" s="13">
        <f>IF('Données projet'!$A$62&gt;35,AI41+AH42-AQ41,IF(A42&lt;'Données projet'!$A$62,$AF$205^A42,IF(A42='Données projet'!$A$62,'Données projet'!$B$62,AI41+AH42-AQ41)))</f>
        <v>392.50714285714253</v>
      </c>
      <c r="AJ42" s="13">
        <f>AI42*VLOOKUP('Données projet'!$B$10,Paramètres!$A$1:$I$89,3,0)*VLOOKUP('Données projet'!$B$10,Paramètres!$A$1:$I$89,5,0)</f>
        <v>183.69334285714268</v>
      </c>
      <c r="AK42" s="13">
        <f t="shared" si="35"/>
        <v>46.142913059410738</v>
      </c>
      <c r="AL42" s="20">
        <f t="shared" si="4"/>
        <v>400.29814572133051</v>
      </c>
      <c r="AM42" s="59">
        <f t="shared" si="5"/>
        <v>647.30754281143766</v>
      </c>
      <c r="AN42" s="59">
        <f ca="1">AVERAGE(OFFSET($AM$3,0,0,'Données projet'!$E$10+1,1))-AVERAGE(OFFSET($H$3,0,0,'Données projet'!$E$10+1,1))</f>
        <v>391.61151255507264</v>
      </c>
      <c r="AO42" s="59">
        <f t="shared" si="36"/>
        <v>365.61278905364281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9.828571428571431</v>
      </c>
      <c r="BD42" s="12">
        <f>IF('Données projet'!$A$88&gt;35,BD41+BC42-BL41,IF(A42&lt;'Données projet'!$A$88,$BA$205^A42,IF(A42='Données projet'!$A$88,'Données projet'!$B$88,BD41+BC42-BL41)))</f>
        <v>90.828571428571365</v>
      </c>
      <c r="BE42" s="13">
        <f>BD42*VLOOKUP('Données projet'!$B$11,Paramètres!$A$1:$I$89,3,0)*VLOOKUP('Données projet'!$B$11,Paramètres!$A$1:$I$89,5,0)</f>
        <v>86.432468571428515</v>
      </c>
      <c r="BF42" s="13">
        <f t="shared" si="37"/>
        <v>23.702807457309749</v>
      </c>
      <c r="BG42" s="20">
        <f t="shared" si="7"/>
        <v>191.8189390833858</v>
      </c>
      <c r="BH42" s="59">
        <f t="shared" si="8"/>
        <v>438.82833617349291</v>
      </c>
      <c r="BI42" s="59">
        <f ca="1">AVERAGE(OFFSET($BH$3,0,0,'Données projet'!$E$11+1,1))-AVERAGE(OFFSET($H$3,0,0,'Données projet'!$E$11+1,1))</f>
        <v>486.36809102684492</v>
      </c>
      <c r="BJ42" s="59">
        <f t="shared" si="38"/>
        <v>308.42890859885006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7.8445578909875495</v>
      </c>
      <c r="BR42" s="21">
        <f>EXP(-LN(2)/2)*BR41+(1-EXP(-LN(2)/2))/(LN(2)/2)*BL42*BO42*VLOOKUP('Données projet'!$B$11,Paramètres!$A$1:$I$89,3,0)*0.475*44/12</f>
        <v>11.364406495105381</v>
      </c>
      <c r="BS42" s="22">
        <f t="shared" si="9"/>
        <v>19.20896438609293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28.100000000000005</v>
      </c>
      <c r="N43" s="13">
        <f>IF('Données projet'!$A$36&gt;35,N42+M43-V42,IF(A43&lt;'Données projet'!$A$36,$K$205^A43,IF(A43='Données projet'!$A$36,'Données projet'!$B$36,N42+M43-V42)))</f>
        <v>528.20000000000027</v>
      </c>
      <c r="O43" s="13">
        <f>N43*VLOOKUP('Données projet'!$B$9,Paramètres!$A$1:$I$89,3,0)*VLOOKUP('Données projet'!$B$9,Paramètres!$A$1:$I$89,5,0)</f>
        <v>295.26380000000017</v>
      </c>
      <c r="P43" s="13">
        <f t="shared" si="33"/>
        <v>70.182656341875187</v>
      </c>
      <c r="Q43" s="20">
        <f t="shared" si="53"/>
        <v>636.48591146209958</v>
      </c>
      <c r="R43" s="59">
        <f t="shared" si="0"/>
        <v>884.29892528122036</v>
      </c>
      <c r="S43" s="59">
        <f ca="1">AVERAGE(OFFSET($R$3,0,0,'Données projet'!$E$9+1,1))-AVERAGE(OFFSET($H$3,0,0,'Données projet'!$E$9+1,1))</f>
        <v>418.8940806978344</v>
      </c>
      <c r="T43" s="59">
        <f t="shared" si="34"/>
        <v>553.49616487922378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44.430914849990337</v>
      </c>
      <c r="AA43" s="21">
        <f>EXP(-LN(2)/25)*AA42+(1-EXP(-LN(2)/25))/(LN(2)/25)*Calculateur!V43*Calculateur!X43*VLOOKUP('Données projet'!$B$9,Paramètres!$A$1:$I$89,3,0)*0.475*44/12</f>
        <v>22.301369417558913</v>
      </c>
      <c r="AB43" s="21">
        <f>EXP(-LN(2)/2)*AB42+(1-EXP(-LN(2)/2))/(LN(2)/2)*V43*Y43*VLOOKUP('Données projet'!$B$9,Paramètres!$A$1:$I$89,3,0)*0.475*44/12</f>
        <v>3.095870710021047</v>
      </c>
      <c r="AC43" s="22">
        <f t="shared" si="3"/>
        <v>69.828154977570293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10.064285714285713</v>
      </c>
      <c r="AI43" s="13">
        <f>IF('Données projet'!$A$62&gt;35,AI42+AH43-AQ42,IF(A43&lt;'Données projet'!$A$62,$AF$205^A43,IF(A43='Données projet'!$A$62,'Données projet'!$B$62,AI42+AH43-AQ42)))</f>
        <v>402.57142857142821</v>
      </c>
      <c r="AJ43" s="13">
        <f>AI43*VLOOKUP('Données projet'!$B$10,Paramètres!$A$1:$I$89,3,0)*VLOOKUP('Données projet'!$B$10,Paramètres!$A$1:$I$89,5,0)</f>
        <v>188.40342857142841</v>
      </c>
      <c r="AK43" s="13">
        <f t="shared" si="35"/>
        <v>47.186800408319471</v>
      </c>
      <c r="AL43" s="20">
        <f t="shared" si="4"/>
        <v>410.31964880639424</v>
      </c>
      <c r="AM43" s="59">
        <f t="shared" si="5"/>
        <v>658.13266262551508</v>
      </c>
      <c r="AN43" s="59">
        <f ca="1">AVERAGE(OFFSET($AM$3,0,0,'Données projet'!$E$10+1,1))-AVERAGE(OFFSET($H$3,0,0,'Données projet'!$E$10+1,1))</f>
        <v>391.61151255507264</v>
      </c>
      <c r="AO43" s="59">
        <f t="shared" si="36"/>
        <v>365.61278905364281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9.828571428571431</v>
      </c>
      <c r="BD43" s="12">
        <f>IF('Données projet'!$A$88&gt;35,BD42+BC43-BL42,IF(A43&lt;'Données projet'!$A$88,$BA$205^A43,IF(A43='Données projet'!$A$88,'Données projet'!$B$88,BD42+BC43-BL42)))</f>
        <v>100.6571428571428</v>
      </c>
      <c r="BE43" s="13">
        <f>BD43*VLOOKUP('Données projet'!$B$11,Paramètres!$A$1:$I$89,3,0)*VLOOKUP('Données projet'!$B$11,Paramètres!$A$1:$I$89,5,0)</f>
        <v>95.785337142857088</v>
      </c>
      <c r="BF43" s="13">
        <f t="shared" si="37"/>
        <v>25.955409772524945</v>
      </c>
      <c r="BG43" s="20">
        <f t="shared" si="7"/>
        <v>212.03180087762371</v>
      </c>
      <c r="BH43" s="59">
        <f t="shared" si="8"/>
        <v>459.84481469674449</v>
      </c>
      <c r="BI43" s="59">
        <f ca="1">AVERAGE(OFFSET($BH$3,0,0,'Données projet'!$E$11+1,1))-AVERAGE(OFFSET($H$3,0,0,'Données projet'!$E$11+1,1))</f>
        <v>486.36809102684492</v>
      </c>
      <c r="BJ43" s="59">
        <f t="shared" si="38"/>
        <v>308.42890859885006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7.6300480429311248</v>
      </c>
      <c r="BR43" s="21">
        <f>EXP(-LN(2)/2)*BR42+(1-EXP(-LN(2)/2))/(LN(2)/2)*BL43*BO43*VLOOKUP('Données projet'!$B$11,Paramètres!$A$1:$I$89,3,0)*0.475*44/12</f>
        <v>8.0358488968494601</v>
      </c>
      <c r="BS43" s="22">
        <f t="shared" si="9"/>
        <v>15.665896939780584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28.100000000000005</v>
      </c>
      <c r="N44" s="13">
        <f>IF('Données projet'!$A$36&gt;35,N43+M44-V43,IF(A44&lt;'Données projet'!$A$36,$K$205^A44,IF(A44='Données projet'!$A$36,'Données projet'!$B$36,N43+M44-V43)))</f>
        <v>556.3000000000003</v>
      </c>
      <c r="O44" s="13">
        <f>N44*VLOOKUP('Données projet'!$B$9,Paramètres!$A$1:$I$89,3,0)*VLOOKUP('Données projet'!$B$9,Paramètres!$A$1:$I$89,5,0)</f>
        <v>310.97170000000017</v>
      </c>
      <c r="P44" s="13">
        <f t="shared" si="33"/>
        <v>73.471722829399326</v>
      </c>
      <c r="Q44" s="20">
        <f t="shared" si="53"/>
        <v>669.57229476120403</v>
      </c>
      <c r="R44" s="59">
        <f t="shared" si="0"/>
        <v>918.17498435570803</v>
      </c>
      <c r="S44" s="59">
        <f ca="1">AVERAGE(OFFSET($R$3,0,0,'Données projet'!$E$9+1,1))-AVERAGE(OFFSET($H$3,0,0,'Données projet'!$E$9+1,1))</f>
        <v>418.8940806978344</v>
      </c>
      <c r="T44" s="59">
        <f t="shared" si="34"/>
        <v>553.49616487922378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43.559651709964164</v>
      </c>
      <c r="AA44" s="21">
        <f>EXP(-LN(2)/25)*AA43+(1-EXP(-LN(2)/25))/(LN(2)/25)*Calculateur!V44*Calculateur!X44*VLOOKUP('Données projet'!$B$9,Paramètres!$A$1:$I$89,3,0)*0.475*44/12</f>
        <v>21.691537298057717</v>
      </c>
      <c r="AB44" s="21">
        <f>EXP(-LN(2)/2)*AB43+(1-EXP(-LN(2)/2))/(LN(2)/2)*V44*Y44*VLOOKUP('Données projet'!$B$9,Paramètres!$A$1:$I$89,3,0)*0.475*44/12</f>
        <v>2.189111172732694</v>
      </c>
      <c r="AC44" s="22">
        <f t="shared" si="3"/>
        <v>67.440300180754576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10.064285714285713</v>
      </c>
      <c r="AI44" s="13">
        <f>IF('Données projet'!$A$62&gt;35,AI43+AH44-AQ43,IF(A44&lt;'Données projet'!$A$62,$AF$205^A44,IF(A44='Données projet'!$A$62,'Données projet'!$B$62,AI43+AH44-AQ43)))</f>
        <v>412.6357142857139</v>
      </c>
      <c r="AJ44" s="13">
        <f>AI44*VLOOKUP('Données projet'!$B$10,Paramètres!$A$1:$I$89,3,0)*VLOOKUP('Données projet'!$B$10,Paramètres!$A$1:$I$89,5,0)</f>
        <v>193.1135142857141</v>
      </c>
      <c r="AK44" s="13">
        <f t="shared" si="35"/>
        <v>48.227654126671105</v>
      </c>
      <c r="AL44" s="20">
        <f t="shared" si="4"/>
        <v>420.33586831823754</v>
      </c>
      <c r="AM44" s="59">
        <f t="shared" si="5"/>
        <v>668.93855791274154</v>
      </c>
      <c r="AN44" s="59">
        <f ca="1">AVERAGE(OFFSET($AM$3,0,0,'Données projet'!$E$10+1,1))-AVERAGE(OFFSET($H$3,0,0,'Données projet'!$E$10+1,1))</f>
        <v>391.61151255507264</v>
      </c>
      <c r="AO44" s="59">
        <f t="shared" si="36"/>
        <v>365.61278905364281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9.828571428571431</v>
      </c>
      <c r="BD44" s="12">
        <f>IF('Données projet'!$A$88&gt;35,BD43+BC44-BL43,IF(A44&lt;'Données projet'!$A$88,$BA$205^A44,IF(A44='Données projet'!$A$88,'Données projet'!$B$88,BD43+BC44-BL43)))</f>
        <v>110.48571428571424</v>
      </c>
      <c r="BE44" s="13">
        <f>BD44*VLOOKUP('Données projet'!$B$11,Paramètres!$A$1:$I$89,3,0)*VLOOKUP('Données projet'!$B$11,Paramètres!$A$1:$I$89,5,0)</f>
        <v>105.13820571428566</v>
      </c>
      <c r="BF44" s="13">
        <f t="shared" si="37"/>
        <v>28.182511743838621</v>
      </c>
      <c r="BG44" s="20">
        <f t="shared" si="7"/>
        <v>232.20024957289976</v>
      </c>
      <c r="BH44" s="59">
        <f t="shared" si="8"/>
        <v>480.80293916740374</v>
      </c>
      <c r="BI44" s="59">
        <f ca="1">AVERAGE(OFFSET($BH$3,0,0,'Données projet'!$E$11+1,1))-AVERAGE(OFFSET($H$3,0,0,'Données projet'!$E$11+1,1))</f>
        <v>486.36809102684492</v>
      </c>
      <c r="BJ44" s="59">
        <f t="shared" si="38"/>
        <v>308.42890859885006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7.4214039779503853</v>
      </c>
      <c r="BR44" s="21">
        <f>EXP(-LN(2)/2)*BR43+(1-EXP(-LN(2)/2))/(LN(2)/2)*BL44*BO44*VLOOKUP('Données projet'!$B$11,Paramètres!$A$1:$I$89,3,0)*0.475*44/12</f>
        <v>5.6822032475526907</v>
      </c>
      <c r="BS44" s="22">
        <f t="shared" si="9"/>
        <v>13.103607225503076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584.4</v>
      </c>
      <c r="L45" s="12">
        <f>VLOOKUP(A45,'Données projet'!$A$35:$I$55,9,0)</f>
        <v>28.100000000000005</v>
      </c>
      <c r="M45" s="12">
        <f t="array" ref="M45">INDEX(L:L,MIN(IF(ISNUMBER(L45:L241),ROW(L45:L241),"")))</f>
        <v>28.100000000000005</v>
      </c>
      <c r="N45" s="13">
        <f>IF('Données projet'!$A$36&gt;35,N44+M45-V44,IF(A45&lt;'Données projet'!$A$36,$K$205^A45,IF(A45='Données projet'!$A$36,'Données projet'!$B$36,N44+M45-V44)))</f>
        <v>584.40000000000032</v>
      </c>
      <c r="O45" s="13">
        <f>N45*VLOOKUP('Données projet'!$B$9,Paramètres!$A$1:$I$89,3,0)*VLOOKUP('Données projet'!$B$9,Paramètres!$A$1:$I$89,5,0)</f>
        <v>326.67960000000022</v>
      </c>
      <c r="P45" s="13">
        <f t="shared" si="33"/>
        <v>76.741498891979347</v>
      </c>
      <c r="Q45" s="20">
        <f t="shared" si="53"/>
        <v>702.62508057019761</v>
      </c>
      <c r="R45" s="59">
        <f t="shared" si="0"/>
        <v>952.00374683083237</v>
      </c>
      <c r="S45" s="59">
        <f ca="1">AVERAGE(OFFSET($R$3,0,0,'Données projet'!$E$9+1,1))-AVERAGE(OFFSET($H$3,0,0,'Données projet'!$E$9+1,1))</f>
        <v>418.8940806978344</v>
      </c>
      <c r="T45" s="59">
        <f t="shared" si="34"/>
        <v>553.49616487922378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91.3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65.047619315863145</v>
      </c>
      <c r="AA45" s="21">
        <f>EXP(-LN(2)/25)*AA44+(1-EXP(-LN(2)/25))/(LN(2)/25)*Calculateur!V45*Calculateur!X45*VLOOKUP('Données projet'!$B$9,Paramètres!$A$1:$I$89,3,0)*0.475*44/12</f>
        <v>28.516439825300466</v>
      </c>
      <c r="AB45" s="21">
        <f>EXP(-LN(2)/2)*AB44+(1-EXP(-LN(2)/2))/(LN(2)/2)*V45*Y45*VLOOKUP('Données projet'!$B$9,Paramètres!$A$1:$I$89,3,0)*0.475*44/12</f>
        <v>13.105015374844321</v>
      </c>
      <c r="AC45" s="22">
        <f t="shared" si="3"/>
        <v>106.66907451600792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422.7</v>
      </c>
      <c r="AG45" s="12">
        <f>VLOOKUP(A45,'Données projet'!$A$61:$I$81,9,0)</f>
        <v>10.064285714285713</v>
      </c>
      <c r="AH45" s="12">
        <f t="array" ref="AH45">INDEX(AG:AG,MIN(IF(ISNUMBER(AG45:AG241),ROW(AG45:AG241),"")))</f>
        <v>10.064285714285713</v>
      </c>
      <c r="AI45" s="13">
        <f>IF('Données projet'!$A$62&gt;35,AI44+AH45-AQ44,IF(A45&lt;'Données projet'!$A$62,$AF$205^A45,IF(A45='Données projet'!$A$62,'Données projet'!$B$62,AI44+AH45-AQ44)))</f>
        <v>422.69999999999959</v>
      </c>
      <c r="AJ45" s="13">
        <f>AI45*VLOOKUP('Données projet'!$B$10,Paramètres!$A$1:$I$89,3,0)*VLOOKUP('Données projet'!$B$10,Paramètres!$A$1:$I$89,5,0)</f>
        <v>197.82359999999983</v>
      </c>
      <c r="AK45" s="13">
        <f t="shared" si="35"/>
        <v>49.265556717403534</v>
      </c>
      <c r="AL45" s="20">
        <f t="shared" si="4"/>
        <v>430.34694794947745</v>
      </c>
      <c r="AM45" s="59">
        <f t="shared" si="5"/>
        <v>679.72561421011221</v>
      </c>
      <c r="AN45" s="59">
        <f ca="1">AVERAGE(OFFSET($AM$3,0,0,'Données projet'!$E$10+1,1))-AVERAGE(OFFSET($H$3,0,0,'Données projet'!$E$10+1,1))</f>
        <v>391.61151255507264</v>
      </c>
      <c r="AO45" s="59">
        <f t="shared" si="36"/>
        <v>365.61278905364281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185.2</v>
      </c>
      <c r="AR45" s="16">
        <f>IF(ISNA(VLOOKUP(A45,'Données projet'!$A$61:$I$81,5,0)),0%,VLOOKUP(A45,'Données projet'!$A$61:$I$81,5,0)*VLOOKUP('Données projet'!$B$10,Paramètres!$A$1:$I$89,7,0))</f>
        <v>0.33</v>
      </c>
      <c r="AS45" s="16">
        <f>IF(ISNA(VLOOKUP(A45,'Données projet'!$A$61:$I$81,6,0)),0%,VLOOKUP(A45,'Données projet'!$A$61:$I$81,6,0)*VLOOKUP('Données projet'!$B$10,Paramètres!$A$1:$I$89,7,0))</f>
        <v>0.11000000000000001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37.942778605044893</v>
      </c>
      <c r="AV45" s="21">
        <f>EXP(-LN(2)/25)*AV44+(1-EXP(-LN(2)/25))/(LN(2)/25)*Calculateur!AQ45*Calculateur!AS45*VLOOKUP('Données projet'!$B$10,Paramètres!$A$1:$I$89,3,0)*0.475*44/12</f>
        <v>12.597794476114919</v>
      </c>
      <c r="AW45" s="21">
        <f>EXP(-LN(2)/2)*AW44+(1-EXP(-LN(2)/2))/(LN(2)/2)*AQ45*AT45*VLOOKUP('Données projet'!$B$10,Paramètres!$A$1:$I$89,3,0)*0.475*44/12</f>
        <v>19.626929852577977</v>
      </c>
      <c r="AX45" s="21">
        <f t="shared" si="6"/>
        <v>70.167502933737794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9.828571428571431</v>
      </c>
      <c r="BD45" s="12">
        <f>IF('Données projet'!$A$88&gt;35,BD44+BC45-BL44,IF(A45&lt;'Données projet'!$A$88,$BA$205^A45,IF(A45='Données projet'!$A$88,'Données projet'!$B$88,BD44+BC45-BL44)))</f>
        <v>120.31428571428567</v>
      </c>
      <c r="BE45" s="13">
        <f>BD45*VLOOKUP('Données projet'!$B$11,Paramètres!$A$1:$I$89,3,0)*VLOOKUP('Données projet'!$B$11,Paramètres!$A$1:$I$89,5,0)</f>
        <v>114.49107428571425</v>
      </c>
      <c r="BF45" s="13">
        <f t="shared" si="37"/>
        <v>30.386639780359392</v>
      </c>
      <c r="BG45" s="20">
        <f t="shared" si="7"/>
        <v>252.32868533174496</v>
      </c>
      <c r="BH45" s="59">
        <f t="shared" si="8"/>
        <v>501.70735159237972</v>
      </c>
      <c r="BI45" s="59">
        <f ca="1">AVERAGE(OFFSET($BH$3,0,0,'Données projet'!$E$11+1,1))-AVERAGE(OFFSET($H$3,0,0,'Données projet'!$E$11+1,1))</f>
        <v>486.36809102684492</v>
      </c>
      <c r="BJ45" s="59">
        <f t="shared" si="38"/>
        <v>308.42890859885006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7.2184652958986586</v>
      </c>
      <c r="BR45" s="21">
        <f>EXP(-LN(2)/2)*BR44+(1-EXP(-LN(2)/2))/(LN(2)/2)*BL45*BO45*VLOOKUP('Données projet'!$B$11,Paramètres!$A$1:$I$89,3,0)*0.475*44/12</f>
        <v>4.0179244484247301</v>
      </c>
      <c r="BS45" s="22">
        <f t="shared" si="9"/>
        <v>11.23638974432339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27.100000000000012</v>
      </c>
      <c r="N46" s="13">
        <f>IF('Données projet'!$A$36&gt;35,N45+M46-V45,IF(A46&lt;'Données projet'!$A$36,$K$205^A46,IF(A46='Données projet'!$A$36,'Données projet'!$B$36,N45+M46-V45)))</f>
        <v>520.20000000000039</v>
      </c>
      <c r="O46" s="13">
        <f>N46*VLOOKUP('Données projet'!$B$9,Paramètres!$A$1:$I$89,3,0)*VLOOKUP('Données projet'!$B$9,Paramètres!$A$1:$I$89,5,0)</f>
        <v>290.79180000000019</v>
      </c>
      <c r="P46" s="13">
        <f t="shared" si="33"/>
        <v>69.242582588470384</v>
      </c>
      <c r="Q46" s="20">
        <f t="shared" si="53"/>
        <v>627.059883008253</v>
      </c>
      <c r="R46" s="59">
        <f t="shared" si="0"/>
        <v>877.20106447468504</v>
      </c>
      <c r="S46" s="59">
        <f ca="1">AVERAGE(OFFSET($R$3,0,0,'Données projet'!$E$9+1,1))-AVERAGE(OFFSET($H$3,0,0,'Données projet'!$E$9+1,1))</f>
        <v>418.8940806978344</v>
      </c>
      <c r="T46" s="59">
        <f t="shared" si="34"/>
        <v>553.49616487922378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63.772075176209256</v>
      </c>
      <c r="AA46" s="21">
        <f>EXP(-LN(2)/25)*AA45+(1-EXP(-LN(2)/25))/(LN(2)/25)*Calculateur!V46*Calculateur!X46*VLOOKUP('Données projet'!$B$9,Paramètres!$A$1:$I$89,3,0)*0.475*44/12</f>
        <v>27.736656278663229</v>
      </c>
      <c r="AB46" s="21">
        <f>EXP(-LN(2)/2)*AB45+(1-EXP(-LN(2)/2))/(LN(2)/2)*V46*Y46*VLOOKUP('Données projet'!$B$9,Paramètres!$A$1:$I$89,3,0)*0.475*44/12</f>
        <v>9.2666452391063849</v>
      </c>
      <c r="AC46" s="22">
        <f t="shared" si="3"/>
        <v>100.77537669397887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18.285714285714285</v>
      </c>
      <c r="AI46" s="13">
        <f>IF('Données projet'!$A$62&gt;35,AI45+AH46-AQ45,IF(A46&lt;'Données projet'!$A$62,$AF$205^A46,IF(A46='Données projet'!$A$62,'Données projet'!$B$62,AI45+AH46-AQ45)))</f>
        <v>255.78571428571388</v>
      </c>
      <c r="AJ46" s="13">
        <f>AI46*VLOOKUP('Données projet'!$B$10,Paramètres!$A$1:$I$89,3,0)*VLOOKUP('Données projet'!$B$10,Paramètres!$A$1:$I$89,5,0)</f>
        <v>119.70771428571409</v>
      </c>
      <c r="AK46" s="13">
        <f t="shared" si="35"/>
        <v>31.606818778570194</v>
      </c>
      <c r="AL46" s="20">
        <f t="shared" si="4"/>
        <v>263.5394784202951</v>
      </c>
      <c r="AM46" s="59">
        <f t="shared" si="5"/>
        <v>513.6806598867272</v>
      </c>
      <c r="AN46" s="59">
        <f ca="1">AVERAGE(OFFSET($AM$3,0,0,'Données projet'!$E$10+1,1))-AVERAGE(OFFSET($H$3,0,0,'Données projet'!$E$10+1,1))</f>
        <v>391.61151255507264</v>
      </c>
      <c r="AO46" s="59">
        <f t="shared" si="36"/>
        <v>365.61278905364281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37.198743859409745</v>
      </c>
      <c r="AV46" s="21">
        <f>EXP(-LN(2)/25)*AV45+(1-EXP(-LN(2)/25))/(LN(2)/25)*Calculateur!AQ46*Calculateur!AS46*VLOOKUP('Données projet'!$B$10,Paramètres!$A$1:$I$89,3,0)*0.475*44/12</f>
        <v>12.253307123676338</v>
      </c>
      <c r="AW46" s="21">
        <f>EXP(-LN(2)/2)*AW45+(1-EXP(-LN(2)/2))/(LN(2)/2)*AQ46*AT46*VLOOKUP('Données projet'!$B$10,Paramètres!$A$1:$I$89,3,0)*0.475*44/12</f>
        <v>13.878335192630574</v>
      </c>
      <c r="AX46" s="21">
        <f t="shared" si="6"/>
        <v>63.330386175716654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9.828571428571431</v>
      </c>
      <c r="BD46" s="12">
        <f>IF('Données projet'!$A$88&gt;35,BD45+BC46-BL45,IF(A46&lt;'Données projet'!$A$88,$BA$205^A46,IF(A46='Données projet'!$A$88,'Données projet'!$B$88,BD45+BC46-BL45)))</f>
        <v>130.14285714285711</v>
      </c>
      <c r="BE46" s="13">
        <f>BD46*VLOOKUP('Données projet'!$B$11,Paramètres!$A$1:$I$89,3,0)*VLOOKUP('Données projet'!$B$11,Paramètres!$A$1:$I$89,5,0)</f>
        <v>123.84394285714282</v>
      </c>
      <c r="BF46" s="13">
        <f t="shared" si="37"/>
        <v>32.569884009856146</v>
      </c>
      <c r="BG46" s="20">
        <f t="shared" si="7"/>
        <v>272.42074846002316</v>
      </c>
      <c r="BH46" s="59">
        <f t="shared" si="8"/>
        <v>522.56192992645515</v>
      </c>
      <c r="BI46" s="59">
        <f ca="1">AVERAGE(OFFSET($BH$3,0,0,'Données projet'!$E$11+1,1))-AVERAGE(OFFSET($H$3,0,0,'Données projet'!$E$11+1,1))</f>
        <v>486.36809102684492</v>
      </c>
      <c r="BJ46" s="59">
        <f t="shared" si="38"/>
        <v>308.42890859885006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7.0210759827797178</v>
      </c>
      <c r="BR46" s="21">
        <f>EXP(-LN(2)/2)*BR45+(1-EXP(-LN(2)/2))/(LN(2)/2)*BL46*BO46*VLOOKUP('Données projet'!$B$11,Paramètres!$A$1:$I$89,3,0)*0.475*44/12</f>
        <v>2.8411016237763453</v>
      </c>
      <c r="BS46" s="22">
        <f t="shared" si="9"/>
        <v>9.8621776065560631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27.100000000000012</v>
      </c>
      <c r="N47" s="13">
        <f>IF('Données projet'!$A$36&gt;35,N46+M47-V46,IF(A47&lt;'Données projet'!$A$36,$K$205^A47,IF(A47='Données projet'!$A$36,'Données projet'!$B$36,N46+M47-V46)))</f>
        <v>547.30000000000041</v>
      </c>
      <c r="O47" s="13">
        <f>N47*VLOOKUP('Données projet'!$B$9,Paramètres!$A$1:$I$89,3,0)*VLOOKUP('Données projet'!$B$9,Paramètres!$A$1:$I$89,5,0)</f>
        <v>305.94070000000022</v>
      </c>
      <c r="P47" s="13">
        <f t="shared" si="33"/>
        <v>72.420437531021747</v>
      </c>
      <c r="Q47" s="20">
        <f t="shared" si="53"/>
        <v>658.97898119986326</v>
      </c>
      <c r="R47" s="59">
        <f t="shared" si="0"/>
        <v>909.86944993800068</v>
      </c>
      <c r="S47" s="59">
        <f ca="1">AVERAGE(OFFSET($R$3,0,0,'Données projet'!$E$9+1,1))-AVERAGE(OFFSET($H$3,0,0,'Données projet'!$E$9+1,1))</f>
        <v>418.8940806978344</v>
      </c>
      <c r="T47" s="59">
        <f t="shared" si="34"/>
        <v>553.49616487922378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62.521543679128875</v>
      </c>
      <c r="AA47" s="21">
        <f>EXP(-LN(2)/25)*AA46+(1-EXP(-LN(2)/25))/(LN(2)/25)*Calculateur!V47*Calculateur!X47*VLOOKUP('Données projet'!$B$9,Paramètres!$A$1:$I$89,3,0)*0.475*44/12</f>
        <v>26.978195954115822</v>
      </c>
      <c r="AB47" s="21">
        <f>EXP(-LN(2)/2)*AB46+(1-EXP(-LN(2)/2))/(LN(2)/2)*V47*Y47*VLOOKUP('Données projet'!$B$9,Paramètres!$A$1:$I$89,3,0)*0.475*44/12</f>
        <v>6.5525076874221613</v>
      </c>
      <c r="AC47" s="22">
        <f t="shared" si="3"/>
        <v>96.052247320666865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18.285714285714285</v>
      </c>
      <c r="AI47" s="13">
        <f>IF('Données projet'!$A$62&gt;35,AI46+AH47-AQ46,IF(A47&lt;'Données projet'!$A$62,$AF$205^A47,IF(A47='Données projet'!$A$62,'Données projet'!$B$62,AI46+AH47-AQ46)))</f>
        <v>274.07142857142816</v>
      </c>
      <c r="AJ47" s="13">
        <f>AI47*VLOOKUP('Données projet'!$B$10,Paramètres!$A$1:$I$89,3,0)*VLOOKUP('Données projet'!$B$10,Paramètres!$A$1:$I$89,5,0)</f>
        <v>128.26542857142837</v>
      </c>
      <c r="AK47" s="13">
        <f t="shared" si="35"/>
        <v>33.595237997440137</v>
      </c>
      <c r="AL47" s="20">
        <f t="shared" si="4"/>
        <v>281.90732760744601</v>
      </c>
      <c r="AM47" s="59">
        <f t="shared" si="5"/>
        <v>532.79779634558349</v>
      </c>
      <c r="AN47" s="59">
        <f ca="1">AVERAGE(OFFSET($AM$3,0,0,'Données projet'!$E$10+1,1))-AVERAGE(OFFSET($H$3,0,0,'Données projet'!$E$10+1,1))</f>
        <v>391.61151255507264</v>
      </c>
      <c r="AO47" s="59">
        <f t="shared" si="36"/>
        <v>365.61278905364281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36.469299181320125</v>
      </c>
      <c r="AV47" s="21">
        <f>EXP(-LN(2)/25)*AV46+(1-EXP(-LN(2)/25))/(LN(2)/25)*Calculateur!AQ47*Calculateur!AS47*VLOOKUP('Données projet'!$B$10,Paramètres!$A$1:$I$89,3,0)*0.475*44/12</f>
        <v>11.918239796005992</v>
      </c>
      <c r="AW47" s="21">
        <f>EXP(-LN(2)/2)*AW46+(1-EXP(-LN(2)/2))/(LN(2)/2)*AQ47*AT47*VLOOKUP('Données projet'!$B$10,Paramètres!$A$1:$I$89,3,0)*0.475*44/12</f>
        <v>9.8134649262889901</v>
      </c>
      <c r="AX47" s="21">
        <f t="shared" si="6"/>
        <v>58.201003903615103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9.828571428571431</v>
      </c>
      <c r="BD47" s="12">
        <f>IF('Données projet'!$A$88&gt;35,BD46+BC47-BL46,IF(A47&lt;'Données projet'!$A$88,$BA$205^A47,IF(A47='Données projet'!$A$88,'Données projet'!$B$88,BD46+BC47-BL46)))</f>
        <v>139.97142857142853</v>
      </c>
      <c r="BE47" s="13">
        <f>BD47*VLOOKUP('Données projet'!$B$11,Paramètres!$A$1:$I$89,3,0)*VLOOKUP('Données projet'!$B$11,Paramètres!$A$1:$I$89,5,0)</f>
        <v>133.19681142857141</v>
      </c>
      <c r="BF47" s="13">
        <f t="shared" si="37"/>
        <v>34.734000940247675</v>
      </c>
      <c r="BG47" s="20">
        <f t="shared" si="7"/>
        <v>292.47949820902659</v>
      </c>
      <c r="BH47" s="59">
        <f t="shared" si="8"/>
        <v>543.36996694716402</v>
      </c>
      <c r="BI47" s="59">
        <f ca="1">AVERAGE(OFFSET($BH$3,0,0,'Données projet'!$E$11+1,1))-AVERAGE(OFFSET($H$3,0,0,'Données projet'!$E$11+1,1))</f>
        <v>486.36809102684492</v>
      </c>
      <c r="BJ47" s="59">
        <f t="shared" si="38"/>
        <v>308.42890859885006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6.8290842908082672</v>
      </c>
      <c r="BR47" s="21">
        <f>EXP(-LN(2)/2)*BR46+(1-EXP(-LN(2)/2))/(LN(2)/2)*BL47*BO47*VLOOKUP('Données projet'!$B$11,Paramètres!$A$1:$I$89,3,0)*0.475*44/12</f>
        <v>2.008962224212365</v>
      </c>
      <c r="BS47" s="22">
        <f t="shared" si="9"/>
        <v>8.8380465150206327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27.100000000000012</v>
      </c>
      <c r="N48" s="13">
        <f>IF('Données projet'!$A$36&gt;35,N47+M48-V47,IF(A48&lt;'Données projet'!$A$36,$K$205^A48,IF(A48='Données projet'!$A$36,'Données projet'!$B$36,N47+M48-V47)))</f>
        <v>574.40000000000043</v>
      </c>
      <c r="O48" s="13">
        <f>N48*VLOOKUP('Données projet'!$B$9,Paramètres!$A$1:$I$89,3,0)*VLOOKUP('Données projet'!$B$9,Paramètres!$A$1:$I$89,5,0)</f>
        <v>321.08960000000025</v>
      </c>
      <c r="P48" s="13">
        <f t="shared" si="33"/>
        <v>75.58002126214312</v>
      </c>
      <c r="Q48" s="20">
        <f t="shared" si="53"/>
        <v>690.86625703156642</v>
      </c>
      <c r="R48" s="59">
        <f t="shared" si="0"/>
        <v>942.49301458240052</v>
      </c>
      <c r="S48" s="59">
        <f ca="1">AVERAGE(OFFSET($R$3,0,0,'Données projet'!$E$9+1,1))-AVERAGE(OFFSET($H$3,0,0,'Données projet'!$E$9+1,1))</f>
        <v>418.8940806978344</v>
      </c>
      <c r="T48" s="59">
        <f t="shared" si="34"/>
        <v>553.49616487922378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61.295534341957342</v>
      </c>
      <c r="AA48" s="21">
        <f>EXP(-LN(2)/25)*AA47+(1-EXP(-LN(2)/25))/(LN(2)/25)*Calculateur!V48*Calculateur!X48*VLOOKUP('Données projet'!$B$9,Paramètres!$A$1:$I$89,3,0)*0.475*44/12</f>
        <v>26.240475767028858</v>
      </c>
      <c r="AB48" s="21">
        <f>EXP(-LN(2)/2)*AB47+(1-EXP(-LN(2)/2))/(LN(2)/2)*V48*Y48*VLOOKUP('Données projet'!$B$9,Paramètres!$A$1:$I$89,3,0)*0.475*44/12</f>
        <v>4.6333226195531934</v>
      </c>
      <c r="AC48" s="22">
        <f t="shared" si="3"/>
        <v>92.169332728539402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18.285714285714285</v>
      </c>
      <c r="AI48" s="13">
        <f>IF('Données projet'!$A$62&gt;35,AI47+AH48-AQ47,IF(A48&lt;'Données projet'!$A$62,$AF$205^A48,IF(A48='Données projet'!$A$62,'Données projet'!$B$62,AI47+AH48-AQ47)))</f>
        <v>292.35714285714243</v>
      </c>
      <c r="AJ48" s="13">
        <f>AI48*VLOOKUP('Données projet'!$B$10,Paramètres!$A$1:$I$89,3,0)*VLOOKUP('Données projet'!$B$10,Paramètres!$A$1:$I$89,5,0)</f>
        <v>136.82314285714264</v>
      </c>
      <c r="AK48" s="13">
        <f t="shared" si="35"/>
        <v>35.568262774616642</v>
      </c>
      <c r="AL48" s="20">
        <f t="shared" si="4"/>
        <v>300.24836480864741</v>
      </c>
      <c r="AM48" s="59">
        <f t="shared" si="5"/>
        <v>551.87512235948157</v>
      </c>
      <c r="AN48" s="59">
        <f ca="1">AVERAGE(OFFSET($AM$3,0,0,'Données projet'!$E$10+1,1))-AVERAGE(OFFSET($H$3,0,0,'Données projet'!$E$10+1,1))</f>
        <v>391.61151255507264</v>
      </c>
      <c r="AO48" s="59">
        <f t="shared" si="36"/>
        <v>365.61278905364281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35.75415846845052</v>
      </c>
      <c r="AV48" s="21">
        <f>EXP(-LN(2)/25)*AV47+(1-EXP(-LN(2)/25))/(LN(2)/25)*Calculateur!AQ48*Calculateur!AS48*VLOOKUP('Données projet'!$B$10,Paramètres!$A$1:$I$89,3,0)*0.475*44/12</f>
        <v>11.592334902031217</v>
      </c>
      <c r="AW48" s="21">
        <f>EXP(-LN(2)/2)*AW47+(1-EXP(-LN(2)/2))/(LN(2)/2)*AQ48*AT48*VLOOKUP('Données projet'!$B$10,Paramètres!$A$1:$I$89,3,0)*0.475*44/12</f>
        <v>6.9391675963152881</v>
      </c>
      <c r="AX48" s="21">
        <f t="shared" si="6"/>
        <v>54.285660966797025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149.80000000000001</v>
      </c>
      <c r="BB48" s="12">
        <f>VLOOKUP(A48,'Données projet'!$A$87:$I$107,9,0)</f>
        <v>9.828571428571431</v>
      </c>
      <c r="BC48" s="12">
        <f t="array" ref="BC48">INDEX(BB:BB,MIN(IF(ISNUMBER(BB48:BB244),ROW(BB48:BB244),"")))</f>
        <v>9.828571428571431</v>
      </c>
      <c r="BD48" s="12">
        <f>IF('Données projet'!$A$88&gt;35,BD47+BC48-BL47,IF(A48&lt;'Données projet'!$A$88,$BA$205^A48,IF(A48='Données projet'!$A$88,'Données projet'!$B$88,BD47+BC48-BL47)))</f>
        <v>149.79999999999995</v>
      </c>
      <c r="BE48" s="13">
        <f>BD48*VLOOKUP('Données projet'!$B$11,Paramètres!$A$1:$I$89,3,0)*VLOOKUP('Données projet'!$B$11,Paramètres!$A$1:$I$89,5,0)</f>
        <v>142.54967999999997</v>
      </c>
      <c r="BF48" s="13">
        <f t="shared" si="37"/>
        <v>36.880486429449853</v>
      </c>
      <c r="BG48" s="20">
        <f t="shared" si="7"/>
        <v>312.50753986462513</v>
      </c>
      <c r="BH48" s="59">
        <f t="shared" si="8"/>
        <v>564.13429741545929</v>
      </c>
      <c r="BI48" s="59">
        <f ca="1">AVERAGE(OFFSET($BH$3,0,0,'Données projet'!$E$11+1,1))-AVERAGE(OFFSET($H$3,0,0,'Données projet'!$E$11+1,1))</f>
        <v>486.36809102684492</v>
      </c>
      <c r="BJ48" s="59">
        <f t="shared" si="38"/>
        <v>308.42890859885006</v>
      </c>
      <c r="BK48" s="15">
        <f>IF(ISNA(VLOOKUP(A48,'Données projet'!$A$87:$I$107,3,0)),0,VLOOKUP(A48,'Données projet'!$A$87:$I$107,3,0))</f>
        <v>2</v>
      </c>
      <c r="BL48" s="15">
        <f>IF(ISNA(VLOOKUP(A48,'Données projet'!$A$87:$I$107,4,0)),0,VLOOKUP(A48,'Données projet'!$A$87:$I$107,4,0))</f>
        <v>41.7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0.1075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11.339473970955044</v>
      </c>
      <c r="BR48" s="21">
        <f>EXP(-LN(2)/2)*BR47+(1-EXP(-LN(2)/2))/(LN(2)/2)*BL48*BO48*VLOOKUP('Données projet'!$B$11,Paramètres!$A$1:$I$89,3,0)*0.475*44/12</f>
        <v>10.780743521346905</v>
      </c>
      <c r="BS48" s="22">
        <f t="shared" si="9"/>
        <v>22.120217492301947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27.100000000000012</v>
      </c>
      <c r="N49" s="13">
        <f>IF('Données projet'!$A$36&gt;35,N48+M49-V48,IF(A49&lt;'Données projet'!$A$36,$K$205^A49,IF(A49='Données projet'!$A$36,'Données projet'!$B$36,N48+M49-V48)))</f>
        <v>601.50000000000045</v>
      </c>
      <c r="O49" s="13">
        <f>N49*VLOOKUP('Données projet'!$B$9,Paramètres!$A$1:$I$89,3,0)*VLOOKUP('Données projet'!$B$9,Paramètres!$A$1:$I$89,5,0)</f>
        <v>336.23850000000027</v>
      </c>
      <c r="P49" s="13">
        <f t="shared" si="33"/>
        <v>78.722294242789488</v>
      </c>
      <c r="Q49" s="20">
        <f t="shared" si="53"/>
        <v>722.72338330619198</v>
      </c>
      <c r="R49" s="59">
        <f t="shared" si="0"/>
        <v>975.07365670491765</v>
      </c>
      <c r="S49" s="59">
        <f ca="1">AVERAGE(OFFSET($R$3,0,0,'Données projet'!$E$9+1,1))-AVERAGE(OFFSET($H$3,0,0,'Données projet'!$E$9+1,1))</f>
        <v>418.8940806978344</v>
      </c>
      <c r="T49" s="59">
        <f t="shared" si="34"/>
        <v>553.49616487922378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60.093566300095887</v>
      </c>
      <c r="AA49" s="21">
        <f>EXP(-LN(2)/25)*AA48+(1-EXP(-LN(2)/25))/(LN(2)/25)*Calculateur!V49*Calculateur!X49*VLOOKUP('Données projet'!$B$9,Paramètres!$A$1:$I$89,3,0)*0.475*44/12</f>
        <v>25.522928577252806</v>
      </c>
      <c r="AB49" s="21">
        <f>EXP(-LN(2)/2)*AB48+(1-EXP(-LN(2)/2))/(LN(2)/2)*V49*Y49*VLOOKUP('Données projet'!$B$9,Paramètres!$A$1:$I$89,3,0)*0.475*44/12</f>
        <v>3.2762538437110811</v>
      </c>
      <c r="AC49" s="22">
        <f t="shared" si="3"/>
        <v>88.89274872105976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18.285714285714285</v>
      </c>
      <c r="AI49" s="13">
        <f>IF('Données projet'!$A$62&gt;35,AI48+AH49-AQ48,IF(A49&lt;'Données projet'!$A$62,$AF$205^A49,IF(A49='Données projet'!$A$62,'Données projet'!$B$62,AI48+AH49-AQ48)))</f>
        <v>310.64285714285671</v>
      </c>
      <c r="AJ49" s="13">
        <f>AI49*VLOOKUP('Données projet'!$B$10,Paramètres!$A$1:$I$89,3,0)*VLOOKUP('Données projet'!$B$10,Paramètres!$A$1:$I$89,5,0)</f>
        <v>145.38085714285694</v>
      </c>
      <c r="AK49" s="13">
        <f t="shared" si="35"/>
        <v>37.526965582755615</v>
      </c>
      <c r="AL49" s="20">
        <f t="shared" si="4"/>
        <v>318.56445791377519</v>
      </c>
      <c r="AM49" s="59">
        <f t="shared" si="5"/>
        <v>570.91473131250086</v>
      </c>
      <c r="AN49" s="59">
        <f ca="1">AVERAGE(OFFSET($AM$3,0,0,'Données projet'!$E$10+1,1))-AVERAGE(OFFSET($H$3,0,0,'Données projet'!$E$10+1,1))</f>
        <v>391.61151255507264</v>
      </c>
      <c r="AO49" s="59">
        <f t="shared" si="36"/>
        <v>365.61278905364281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35.053041228767519</v>
      </c>
      <c r="AV49" s="21">
        <f>EXP(-LN(2)/25)*AV48+(1-EXP(-LN(2)/25))/(LN(2)/25)*Calculateur!AQ49*Calculateur!AS49*VLOOKUP('Données projet'!$B$10,Paramètres!$A$1:$I$89,3,0)*0.475*44/12</f>
        <v>11.275341894520775</v>
      </c>
      <c r="AW49" s="21">
        <f>EXP(-LN(2)/2)*AW48+(1-EXP(-LN(2)/2))/(LN(2)/2)*AQ49*AT49*VLOOKUP('Données projet'!$B$10,Paramètres!$A$1:$I$89,3,0)*0.475*44/12</f>
        <v>4.906732463144496</v>
      </c>
      <c r="AX49" s="21">
        <f t="shared" si="6"/>
        <v>51.235115586432784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9.9999999999999982</v>
      </c>
      <c r="BD49" s="12">
        <f>IF('Données projet'!$A$88&gt;35,BD48+BC49-BL48,IF(A49&lt;'Données projet'!$A$88,$BA$205^A49,IF(A49='Données projet'!$A$88,'Données projet'!$B$88,BD48+BC49-BL48)))</f>
        <v>118.09999999999995</v>
      </c>
      <c r="BE49" s="13">
        <f>BD49*VLOOKUP('Données projet'!$B$11,Paramètres!$A$1:$I$89,3,0)*VLOOKUP('Données projet'!$B$11,Paramètres!$A$1:$I$89,5,0)</f>
        <v>112.38395999999996</v>
      </c>
      <c r="BF49" s="13">
        <f t="shared" si="37"/>
        <v>29.891961327712767</v>
      </c>
      <c r="BG49" s="20">
        <f t="shared" si="7"/>
        <v>247.79722964576629</v>
      </c>
      <c r="BH49" s="59">
        <f t="shared" si="8"/>
        <v>500.14750304449194</v>
      </c>
      <c r="BI49" s="59">
        <f ca="1">AVERAGE(OFFSET($BH$3,0,0,'Données projet'!$E$11+1,1))-AVERAGE(OFFSET($H$3,0,0,'Données projet'!$E$11+1,1))</f>
        <v>486.36809102684492</v>
      </c>
      <c r="BJ49" s="59">
        <f t="shared" si="38"/>
        <v>308.42890859885006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11.029395458902259</v>
      </c>
      <c r="BR49" s="21">
        <f>EXP(-LN(2)/2)*BR48+(1-EXP(-LN(2)/2))/(LN(2)/2)*BL49*BO49*VLOOKUP('Données projet'!$B$11,Paramètres!$A$1:$I$89,3,0)*0.475*44/12</f>
        <v>7.6231368501773362</v>
      </c>
      <c r="BS49" s="22">
        <f t="shared" si="9"/>
        <v>18.652532309079596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27.100000000000012</v>
      </c>
      <c r="N50" s="13">
        <f>IF('Données projet'!$A$36&gt;35,N49+M50-V49,IF(A50&lt;'Données projet'!$A$36,$K$205^A50,IF(A50='Données projet'!$A$36,'Données projet'!$B$36,N49+M50-V49)))</f>
        <v>628.60000000000048</v>
      </c>
      <c r="O50" s="13">
        <f>N50*VLOOKUP('Données projet'!$B$9,Paramètres!$A$1:$I$89,3,0)*VLOOKUP('Données projet'!$B$9,Paramètres!$A$1:$I$89,5,0)</f>
        <v>351.3874000000003</v>
      </c>
      <c r="P50" s="13">
        <f t="shared" si="33"/>
        <v>81.848125496173708</v>
      </c>
      <c r="Q50" s="20">
        <f t="shared" si="53"/>
        <v>754.55187357250304</v>
      </c>
      <c r="R50" s="59">
        <f t="shared" si="0"/>
        <v>1007.6131114366984</v>
      </c>
      <c r="S50" s="59">
        <f ca="1">AVERAGE(OFFSET($R$3,0,0,'Données projet'!$E$9+1,1))-AVERAGE(OFFSET($H$3,0,0,'Données projet'!$E$9+1,1))</f>
        <v>418.8940806978344</v>
      </c>
      <c r="T50" s="59">
        <f t="shared" si="34"/>
        <v>553.49616487922378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58.915168118407223</v>
      </c>
      <c r="AA50" s="21">
        <f>EXP(-LN(2)/25)*AA49+(1-EXP(-LN(2)/25))/(LN(2)/25)*Calculateur!V50*Calculateur!X50*VLOOKUP('Données projet'!$B$9,Paramètres!$A$1:$I$89,3,0)*0.475*44/12</f>
        <v>24.825002753115346</v>
      </c>
      <c r="AB50" s="21">
        <f>EXP(-LN(2)/2)*AB49+(1-EXP(-LN(2)/2))/(LN(2)/2)*V50*Y50*VLOOKUP('Données projet'!$B$9,Paramètres!$A$1:$I$89,3,0)*0.475*44/12</f>
        <v>2.3166613097765967</v>
      </c>
      <c r="AC50" s="22">
        <f t="shared" si="3"/>
        <v>86.056832181299157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18.285714285714285</v>
      </c>
      <c r="AI50" s="13">
        <f>IF('Données projet'!$A$62&gt;35,AI49+AH50-AQ49,IF(A50&lt;'Données projet'!$A$62,$AF$205^A50,IF(A50='Données projet'!$A$62,'Données projet'!$B$62,AI49+AH50-AQ49)))</f>
        <v>328.92857142857099</v>
      </c>
      <c r="AJ50" s="13">
        <f>AI50*VLOOKUP('Données projet'!$B$10,Paramètres!$A$1:$I$89,3,0)*VLOOKUP('Données projet'!$B$10,Paramètres!$A$1:$I$89,5,0)</f>
        <v>153.93857142857124</v>
      </c>
      <c r="AK50" s="13">
        <f t="shared" si="35"/>
        <v>39.472285501658476</v>
      </c>
      <c r="AL50" s="20">
        <f t="shared" si="4"/>
        <v>336.85724248681674</v>
      </c>
      <c r="AM50" s="59">
        <f t="shared" si="5"/>
        <v>589.91848035101214</v>
      </c>
      <c r="AN50" s="59">
        <f ca="1">AVERAGE(OFFSET($AM$3,0,0,'Données projet'!$E$10+1,1))-AVERAGE(OFFSET($H$3,0,0,'Données projet'!$E$10+1,1))</f>
        <v>391.61151255507264</v>
      </c>
      <c r="AO50" s="59">
        <f t="shared" si="36"/>
        <v>365.61278905364281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34.365672470515413</v>
      </c>
      <c r="AV50" s="21">
        <f>EXP(-LN(2)/25)*AV49+(1-EXP(-LN(2)/25))/(LN(2)/25)*Calculateur!AQ50*Calculateur!AS50*VLOOKUP('Données projet'!$B$10,Paramètres!$A$1:$I$89,3,0)*0.475*44/12</f>
        <v>10.967017077470643</v>
      </c>
      <c r="AW50" s="21">
        <f>EXP(-LN(2)/2)*AW49+(1-EXP(-LN(2)/2))/(LN(2)/2)*AQ50*AT50*VLOOKUP('Données projet'!$B$10,Paramètres!$A$1:$I$89,3,0)*0.475*44/12</f>
        <v>3.4695837981576445</v>
      </c>
      <c r="AX50" s="21">
        <f t="shared" si="6"/>
        <v>48.8022733461437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9.9999999999999982</v>
      </c>
      <c r="BD50" s="12">
        <f>IF('Données projet'!$A$88&gt;35,BD49+BC50-BL49,IF(A50&lt;'Données projet'!$A$88,$BA$205^A50,IF(A50='Données projet'!$A$88,'Données projet'!$B$88,BD49+BC50-BL49)))</f>
        <v>128.09999999999994</v>
      </c>
      <c r="BE50" s="13">
        <f>BD50*VLOOKUP('Données projet'!$B$11,Paramètres!$A$1:$I$89,3,0)*VLOOKUP('Données projet'!$B$11,Paramètres!$A$1:$I$89,5,0)</f>
        <v>121.89995999999995</v>
      </c>
      <c r="BF50" s="13">
        <f t="shared" si="37"/>
        <v>32.117727809395923</v>
      </c>
      <c r="BG50" s="20">
        <f t="shared" si="7"/>
        <v>268.24747293469778</v>
      </c>
      <c r="BH50" s="59">
        <f t="shared" si="8"/>
        <v>521.30871079889312</v>
      </c>
      <c r="BI50" s="59">
        <f ca="1">AVERAGE(OFFSET($BH$3,0,0,'Données projet'!$E$11+1,1))-AVERAGE(OFFSET($H$3,0,0,'Données projet'!$E$11+1,1))</f>
        <v>486.36809102684492</v>
      </c>
      <c r="BJ50" s="59">
        <f t="shared" si="38"/>
        <v>308.42890859885006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10.727796060067877</v>
      </c>
      <c r="BR50" s="21">
        <f>EXP(-LN(2)/2)*BR49+(1-EXP(-LN(2)/2))/(LN(2)/2)*BL50*BO50*VLOOKUP('Données projet'!$B$11,Paramètres!$A$1:$I$89,3,0)*0.475*44/12</f>
        <v>5.3903717606734531</v>
      </c>
      <c r="BS50" s="22">
        <f t="shared" si="9"/>
        <v>16.118167820741331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</v>
      </c>
      <c r="L51" s="12">
        <f>VLOOKUP(A51,'Données projet'!$A$35:$I$55,9,0)</f>
        <v>27.100000000000012</v>
      </c>
      <c r="M51" s="12">
        <f t="array" ref="M51">INDEX(L:L,MIN(IF(ISNUMBER(L51:L247),ROW(L51:L247),"")))</f>
        <v>27.100000000000012</v>
      </c>
      <c r="N51" s="13">
        <f>IF('Données projet'!$A$36&gt;35,N50+M51-V50,IF(A51&lt;'Données projet'!$A$36,$K$205^A51,IF(A51='Données projet'!$A$36,'Données projet'!$B$36,N50+M51-V50)))</f>
        <v>655.7000000000005</v>
      </c>
      <c r="O51" s="13">
        <f>N51*VLOOKUP('Données projet'!$B$9,Paramètres!$A$1:$I$89,3,0)*VLOOKUP('Données projet'!$B$9,Paramètres!$A$1:$I$89,5,0)</f>
        <v>366.53630000000027</v>
      </c>
      <c r="P51" s="13">
        <f t="shared" si="33"/>
        <v>84.958304877743572</v>
      </c>
      <c r="Q51" s="20">
        <f t="shared" si="53"/>
        <v>786.35310349540384</v>
      </c>
      <c r="R51" s="59">
        <f t="shared" si="0"/>
        <v>1040.1129721810717</v>
      </c>
      <c r="S51" s="59">
        <f ca="1">AVERAGE(OFFSET($R$3,0,0,'Données projet'!$E$9+1,1))-AVERAGE(OFFSET($H$3,0,0,'Données projet'!$E$9+1,1))</f>
        <v>418.8940806978344</v>
      </c>
      <c r="T51" s="59">
        <f t="shared" si="34"/>
        <v>553.49616487922378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101.4</v>
      </c>
      <c r="W51" s="16">
        <f>IF(ISNA(VLOOKUP(A51,'Données projet'!$A$35:$I$55,5,0)),0%,VLOOKUP(A51,'Données projet'!$A$35:$I$55,5,0)*VLOOKUP('Données projet'!$B$9,Paramètres!$A$1:$I$89,7,0))</f>
        <v>0.33</v>
      </c>
      <c r="X51" s="16">
        <f>IF(ISNA(VLOOKUP(A51,'Données projet'!$A$35:$I$55,6,0)),0%,VLOOKUP(A51,'Données projet'!$A$35:$I$55,6,0)*VLOOKUP('Données projet'!$B$9,Paramètres!$A$1:$I$89,7,0))</f>
        <v>0.11000000000000001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82.573607998935657</v>
      </c>
      <c r="AA51" s="21">
        <f>EXP(-LN(2)/25)*AA50+(1-EXP(-LN(2)/25))/(LN(2)/25)*Calculateur!V51*Calculateur!X51*VLOOKUP('Données projet'!$B$9,Paramètres!$A$1:$I$89,3,0)*0.475*44/12</f>
        <v>32.384838174440524</v>
      </c>
      <c r="AB51" s="21">
        <f>EXP(-LN(2)/2)*AB50+(1-EXP(-LN(2)/2))/(LN(2)/2)*V51*Y51*VLOOKUP('Données projet'!$B$9,Paramètres!$A$1:$I$89,3,0)*0.475*44/12</f>
        <v>14.473701007410273</v>
      </c>
      <c r="AC51" s="22">
        <f t="shared" si="3"/>
        <v>129.43214718078647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18.285714285714285</v>
      </c>
      <c r="AI51" s="13">
        <f>IF('Données projet'!$A$62&gt;35,AI50+AH51-AQ50,IF(A51&lt;'Données projet'!$A$62,$AF$205^A51,IF(A51='Données projet'!$A$62,'Données projet'!$B$62,AI50+AH51-AQ50)))</f>
        <v>347.21428571428527</v>
      </c>
      <c r="AJ51" s="13">
        <f>AI51*VLOOKUP('Données projet'!$B$10,Paramètres!$A$1:$I$89,3,0)*VLOOKUP('Données projet'!$B$10,Paramètres!$A$1:$I$89,5,0)</f>
        <v>162.49628571428551</v>
      </c>
      <c r="AK51" s="13">
        <f t="shared" si="35"/>
        <v>41.405051303968335</v>
      </c>
      <c r="AL51" s="20">
        <f t="shared" si="4"/>
        <v>355.12816197345882</v>
      </c>
      <c r="AM51" s="59">
        <f t="shared" si="5"/>
        <v>608.88803065912657</v>
      </c>
      <c r="AN51" s="59">
        <f ca="1">AVERAGE(OFFSET($AM$3,0,0,'Données projet'!$E$10+1,1))-AVERAGE(OFFSET($H$3,0,0,'Données projet'!$E$10+1,1))</f>
        <v>391.61151255507264</v>
      </c>
      <c r="AO51" s="59">
        <f t="shared" si="36"/>
        <v>365.61278905364281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33.69178259435909</v>
      </c>
      <c r="AV51" s="21">
        <f>EXP(-LN(2)/25)*AV50+(1-EXP(-LN(2)/25))/(LN(2)/25)*Calculateur!AQ51*Calculateur!AS51*VLOOKUP('Données projet'!$B$10,Paramètres!$A$1:$I$89,3,0)*0.475*44/12</f>
        <v>10.667123418756846</v>
      </c>
      <c r="AW51" s="21">
        <f>EXP(-LN(2)/2)*AW50+(1-EXP(-LN(2)/2))/(LN(2)/2)*AQ51*AT51*VLOOKUP('Données projet'!$B$10,Paramètres!$A$1:$I$89,3,0)*0.475*44/12</f>
        <v>2.453366231572248</v>
      </c>
      <c r="AX51" s="21">
        <f t="shared" si="6"/>
        <v>46.812272244688181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9.9999999999999982</v>
      </c>
      <c r="BD51" s="12">
        <f>IF('Données projet'!$A$88&gt;35,BD50+BC51-BL50,IF(A51&lt;'Données projet'!$A$88,$BA$205^A51,IF(A51='Données projet'!$A$88,'Données projet'!$B$88,BD50+BC51-BL50)))</f>
        <v>138.09999999999994</v>
      </c>
      <c r="BE51" s="13">
        <f>BD51*VLOOKUP('Données projet'!$B$11,Paramètres!$A$1:$I$89,3,0)*VLOOKUP('Données projet'!$B$11,Paramètres!$A$1:$I$89,5,0)</f>
        <v>131.41595999999993</v>
      </c>
      <c r="BF51" s="13">
        <f t="shared" si="37"/>
        <v>34.32333954219957</v>
      </c>
      <c r="BG51" s="20">
        <f t="shared" si="7"/>
        <v>288.66261336933076</v>
      </c>
      <c r="BH51" s="59">
        <f t="shared" si="8"/>
        <v>542.42248205499845</v>
      </c>
      <c r="BI51" s="59">
        <f ca="1">AVERAGE(OFFSET($BH$3,0,0,'Données projet'!$E$11+1,1))-AVERAGE(OFFSET($H$3,0,0,'Données projet'!$E$11+1,1))</f>
        <v>486.36809102684492</v>
      </c>
      <c r="BJ51" s="59">
        <f t="shared" si="38"/>
        <v>308.42890859885006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10.434443912655045</v>
      </c>
      <c r="BR51" s="21">
        <f>EXP(-LN(2)/2)*BR50+(1-EXP(-LN(2)/2))/(LN(2)/2)*BL51*BO51*VLOOKUP('Données projet'!$B$11,Paramètres!$A$1:$I$89,3,0)*0.475*44/12</f>
        <v>3.8115684250886686</v>
      </c>
      <c r="BS51" s="22">
        <f t="shared" si="9"/>
        <v>14.246012337743714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25.716666666666658</v>
      </c>
      <c r="N52" s="13">
        <f>IF('Données projet'!$A$36&gt;35,N51+M52-V51,IF(A52&lt;'Données projet'!$A$36,$K$205^A52,IF(A52='Données projet'!$A$36,'Données projet'!$B$36,N51+M52-V51)))</f>
        <v>580.01666666666722</v>
      </c>
      <c r="O52" s="13">
        <f>N52*VLOOKUP('Données projet'!$B$9,Paramètres!$A$1:$I$89,3,0)*VLOOKUP('Données projet'!$B$9,Paramètres!$A$1:$I$89,5,0)</f>
        <v>324.22931666666699</v>
      </c>
      <c r="P52" s="13">
        <f t="shared" si="33"/>
        <v>76.232671656695857</v>
      </c>
      <c r="Q52" s="20">
        <f t="shared" si="53"/>
        <v>697.47129632985695</v>
      </c>
      <c r="R52" s="59">
        <f t="shared" si="0"/>
        <v>951.91767615414892</v>
      </c>
      <c r="S52" s="59">
        <f ca="1">AVERAGE(OFFSET($R$3,0,0,'Données projet'!$E$9+1,1))-AVERAGE(OFFSET($H$3,0,0,'Données projet'!$E$9+1,1))</f>
        <v>418.8940806978344</v>
      </c>
      <c r="T52" s="59">
        <f t="shared" si="34"/>
        <v>553.49616487922378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80.954389911004284</v>
      </c>
      <c r="AA52" s="21">
        <f>EXP(-LN(2)/25)*AA51+(1-EXP(-LN(2)/25))/(LN(2)/25)*Calculateur!V52*Calculateur!X52*VLOOKUP('Données projet'!$B$9,Paramètres!$A$1:$I$89,3,0)*0.475*44/12</f>
        <v>31.499273071515827</v>
      </c>
      <c r="AB52" s="21">
        <f>EXP(-LN(2)/2)*AB51+(1-EXP(-LN(2)/2))/(LN(2)/2)*V52*Y52*VLOOKUP('Données projet'!$B$9,Paramètres!$A$1:$I$89,3,0)*0.475*44/12</f>
        <v>10.234452131206369</v>
      </c>
      <c r="AC52" s="22">
        <f t="shared" si="3"/>
        <v>122.68811511372648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365.5</v>
      </c>
      <c r="AG52" s="12">
        <f>VLOOKUP(A52,'Données projet'!$A$61:$I$81,9,0)</f>
        <v>18.285714285714285</v>
      </c>
      <c r="AH52" s="12">
        <f t="array" ref="AH52">INDEX(AG:AG,MIN(IF(ISNUMBER(AG52:AG248),ROW(AG52:AG248),"")))</f>
        <v>18.285714285714285</v>
      </c>
      <c r="AI52" s="13">
        <f>IF('Données projet'!$A$62&gt;35,AI51+AH52-AQ51,IF(A52&lt;'Données projet'!$A$62,$AF$205^A52,IF(A52='Données projet'!$A$62,'Données projet'!$B$62,AI51+AH52-AQ51)))</f>
        <v>365.49999999999955</v>
      </c>
      <c r="AJ52" s="13">
        <f>AI52*VLOOKUP('Données projet'!$B$10,Paramètres!$A$1:$I$89,3,0)*VLOOKUP('Données projet'!$B$10,Paramètres!$A$1:$I$89,5,0)</f>
        <v>171.0539999999998</v>
      </c>
      <c r="AK52" s="13">
        <f t="shared" si="35"/>
        <v>43.325999538979005</v>
      </c>
      <c r="AL52" s="20">
        <f t="shared" si="4"/>
        <v>373.37849919705474</v>
      </c>
      <c r="AM52" s="59">
        <f t="shared" si="5"/>
        <v>627.82487902134676</v>
      </c>
      <c r="AN52" s="59">
        <f ca="1">AVERAGE(OFFSET($AM$3,0,0,'Données projet'!$E$10+1,1))-AVERAGE(OFFSET($H$3,0,0,'Données projet'!$E$10+1,1))</f>
        <v>391.61151255507264</v>
      </c>
      <c r="AO52" s="59">
        <f t="shared" si="36"/>
        <v>365.61278905364281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101.2</v>
      </c>
      <c r="AR52" s="16">
        <f>IF(ISNA(VLOOKUP(A52,'Données projet'!$A$61:$I$81,5,0)),0%,VLOOKUP(A52,'Données projet'!$A$61:$I$81,5,0)*VLOOKUP('Données projet'!$B$10,Paramètres!$A$1:$I$89,7,0))</f>
        <v>0.33</v>
      </c>
      <c r="AS52" s="16">
        <f>IF(ISNA(VLOOKUP(A52,'Données projet'!$A$61:$I$81,6,0)),0%,VLOOKUP(A52,'Données projet'!$A$61:$I$81,6,0)*VLOOKUP('Données projet'!$B$10,Paramètres!$A$1:$I$89,7,0))</f>
        <v>0.11000000000000001</v>
      </c>
      <c r="AT52" s="16">
        <f>IF(ISNA(VLOOKUP(A52,'Données projet'!$A$61:$I$81,7,0)),0%,VLOOKUP(A52,'Données projet'!$A$61:$I$81,7,0))</f>
        <v>0.2</v>
      </c>
      <c r="AU52" s="21">
        <f>EXP(-LN(2)/35)*AU51+(1-EXP(-LN(2)/35))/(LN(2)/35)*AQ52*AR52*VLOOKUP('Données projet'!$B$10,Paramètres!$A$1:$I$89,3,0)*0.475*44/12</f>
        <v>53.764418274847912</v>
      </c>
      <c r="AV52" s="21">
        <f>EXP(-LN(2)/25)*AV51+(1-EXP(-LN(2)/25))/(LN(2)/25)*Calculateur!AQ52*Calculateur!AS52*VLOOKUP('Données projet'!$B$10,Paramètres!$A$1:$I$89,3,0)*0.475*44/12</f>
        <v>17.259322381857462</v>
      </c>
      <c r="AW52" s="21">
        <f>EXP(-LN(2)/2)*AW51+(1-EXP(-LN(2)/2))/(LN(2)/2)*AQ52*AT52*VLOOKUP('Données projet'!$B$10,Paramètres!$A$1:$I$89,3,0)*0.475*44/12</f>
        <v>12.459658535584715</v>
      </c>
      <c r="AX52" s="21">
        <f t="shared" si="6"/>
        <v>83.483399192290079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9.9999999999999982</v>
      </c>
      <c r="BD52" s="12">
        <f>IF('Données projet'!$A$88&gt;35,BD51+BC52-BL51,IF(A52&lt;'Données projet'!$A$88,$BA$205^A52,IF(A52='Données projet'!$A$88,'Données projet'!$B$88,BD51+BC52-BL51)))</f>
        <v>148.09999999999994</v>
      </c>
      <c r="BE52" s="13">
        <f>BD52*VLOOKUP('Données projet'!$B$11,Paramètres!$A$1:$I$89,3,0)*VLOOKUP('Données projet'!$B$11,Paramètres!$A$1:$I$89,5,0)</f>
        <v>140.93195999999995</v>
      </c>
      <c r="BF52" s="13">
        <f t="shared" si="37"/>
        <v>36.510421932480739</v>
      </c>
      <c r="BG52" s="20">
        <f t="shared" si="7"/>
        <v>309.0454818657372</v>
      </c>
      <c r="BH52" s="59">
        <f t="shared" si="8"/>
        <v>563.49186169002917</v>
      </c>
      <c r="BI52" s="59">
        <f ca="1">AVERAGE(OFFSET($BH$3,0,0,'Données projet'!$E$11+1,1))-AVERAGE(OFFSET($H$3,0,0,'Données projet'!$E$11+1,1))</f>
        <v>486.36809102684492</v>
      </c>
      <c r="BJ52" s="59">
        <f t="shared" si="38"/>
        <v>308.42890859885006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10.149113495139936</v>
      </c>
      <c r="BR52" s="21">
        <f>EXP(-LN(2)/2)*BR51+(1-EXP(-LN(2)/2))/(LN(2)/2)*BL52*BO52*VLOOKUP('Données projet'!$B$11,Paramètres!$A$1:$I$89,3,0)*0.475*44/12</f>
        <v>2.695185880336727</v>
      </c>
      <c r="BS52" s="22">
        <f t="shared" si="9"/>
        <v>12.844299375476663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25.716666666666658</v>
      </c>
      <c r="N53" s="13">
        <f>IF('Données projet'!$A$36&gt;35,N52+M53-V52,IF(A53&lt;'Données projet'!$A$36,$K$205^A53,IF(A53='Données projet'!$A$36,'Données projet'!$B$36,N52+M53-V52)))</f>
        <v>605.73333333333392</v>
      </c>
      <c r="O53" s="13">
        <f>N53*VLOOKUP('Données projet'!$B$9,Paramètres!$A$1:$I$89,3,0)*VLOOKUP('Données projet'!$B$9,Paramètres!$A$1:$I$89,5,0)</f>
        <v>338.60493333333369</v>
      </c>
      <c r="P53" s="13">
        <f t="shared" si="33"/>
        <v>79.211647880507599</v>
      </c>
      <c r="Q53" s="20">
        <f t="shared" si="53"/>
        <v>727.69721228077367</v>
      </c>
      <c r="R53" s="59">
        <f t="shared" si="0"/>
        <v>982.81819381024377</v>
      </c>
      <c r="S53" s="59">
        <f ca="1">AVERAGE(OFFSET($R$3,0,0,'Données projet'!$E$9+1,1))-AVERAGE(OFFSET($H$3,0,0,'Données projet'!$E$9+1,1))</f>
        <v>418.8940806978344</v>
      </c>
      <c r="T53" s="59">
        <f t="shared" si="34"/>
        <v>553.49616487922378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79.366923702151738</v>
      </c>
      <c r="AA53" s="21">
        <f>EXP(-LN(2)/25)*AA52+(1-EXP(-LN(2)/25))/(LN(2)/25)*Calculateur!V53*Calculateur!X53*VLOOKUP('Données projet'!$B$9,Paramètres!$A$1:$I$89,3,0)*0.475*44/12</f>
        <v>30.637923792900448</v>
      </c>
      <c r="AB53" s="21">
        <f>EXP(-LN(2)/2)*AB52+(1-EXP(-LN(2)/2))/(LN(2)/2)*V53*Y53*VLOOKUP('Données projet'!$B$9,Paramètres!$A$1:$I$89,3,0)*0.475*44/12</f>
        <v>7.2368505037051376</v>
      </c>
      <c r="AC53" s="22">
        <f t="shared" si="3"/>
        <v>117.24169799875733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17.128571428571426</v>
      </c>
      <c r="AI53" s="13">
        <f>IF('Données projet'!$A$62&gt;35,AI52+AH53-AQ52,IF(A53&lt;'Données projet'!$A$62,$AF$205^A53,IF(A53='Données projet'!$A$62,'Données projet'!$B$62,AI52+AH53-AQ52)))</f>
        <v>281.42857142857099</v>
      </c>
      <c r="AJ53" s="13">
        <f>AI53*VLOOKUP('Données projet'!$B$10,Paramètres!$A$1:$I$89,3,0)*VLOOKUP('Données projet'!$B$10,Paramètres!$A$1:$I$89,5,0)</f>
        <v>131.70857142857122</v>
      </c>
      <c r="AK53" s="13">
        <f t="shared" si="35"/>
        <v>34.390859502718897</v>
      </c>
      <c r="AL53" s="20">
        <f t="shared" si="4"/>
        <v>289.28984220533027</v>
      </c>
      <c r="AM53" s="59">
        <f t="shared" si="5"/>
        <v>544.41082373480037</v>
      </c>
      <c r="AN53" s="59">
        <f ca="1">AVERAGE(OFFSET($AM$3,0,0,'Données projet'!$E$10+1,1))-AVERAGE(OFFSET($H$3,0,0,'Données projet'!$E$10+1,1))</f>
        <v>391.61151255507264</v>
      </c>
      <c r="AO53" s="59">
        <f t="shared" si="36"/>
        <v>365.61278905364281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52.710130825535245</v>
      </c>
      <c r="AV53" s="21">
        <f>EXP(-LN(2)/25)*AV52+(1-EXP(-LN(2)/25))/(LN(2)/25)*Calculateur!AQ53*Calculateur!AS53*VLOOKUP('Données projet'!$B$10,Paramètres!$A$1:$I$89,3,0)*0.475*44/12</f>
        <v>16.787365303697253</v>
      </c>
      <c r="AW53" s="21">
        <f>EXP(-LN(2)/2)*AW52+(1-EXP(-LN(2)/2))/(LN(2)/2)*AQ53*AT53*VLOOKUP('Données projet'!$B$10,Paramètres!$A$1:$I$89,3,0)*0.475*44/12</f>
        <v>8.8103090417808012</v>
      </c>
      <c r="AX53" s="21">
        <f t="shared" si="6"/>
        <v>78.3078051710133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9.9999999999999982</v>
      </c>
      <c r="BD53" s="12">
        <f>IF('Données projet'!$A$88&gt;35,BD52+BC53-BL52,IF(A53&lt;'Données projet'!$A$88,$BA$205^A53,IF(A53='Données projet'!$A$88,'Données projet'!$B$88,BD52+BC53-BL52)))</f>
        <v>158.09999999999994</v>
      </c>
      <c r="BE53" s="13">
        <f>BD53*VLOOKUP('Données projet'!$B$11,Paramètres!$A$1:$I$89,3,0)*VLOOKUP('Données projet'!$B$11,Paramètres!$A$1:$I$89,5,0)</f>
        <v>150.44795999999994</v>
      </c>
      <c r="BF53" s="13">
        <f t="shared" si="37"/>
        <v>38.680368464136748</v>
      </c>
      <c r="BG53" s="20">
        <f t="shared" si="7"/>
        <v>329.39850540837142</v>
      </c>
      <c r="BH53" s="59">
        <f t="shared" si="8"/>
        <v>584.51948693784152</v>
      </c>
      <c r="BI53" s="59">
        <f ca="1">AVERAGE(OFFSET($BH$3,0,0,'Données projet'!$E$11+1,1))-AVERAGE(OFFSET($H$3,0,0,'Données projet'!$E$11+1,1))</f>
        <v>486.36809102684492</v>
      </c>
      <c r="BJ53" s="59">
        <f t="shared" si="38"/>
        <v>308.42890859885006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9.8715854528966513</v>
      </c>
      <c r="BR53" s="21">
        <f>EXP(-LN(2)/2)*BR52+(1-EXP(-LN(2)/2))/(LN(2)/2)*BL53*BO53*VLOOKUP('Données projet'!$B$11,Paramètres!$A$1:$I$89,3,0)*0.475*44/12</f>
        <v>1.9057842125443347</v>
      </c>
      <c r="BS53" s="22">
        <f t="shared" si="9"/>
        <v>11.777369665440986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25.716666666666658</v>
      </c>
      <c r="N54" s="13">
        <f>IF('Données projet'!$A$36&gt;35,N53+M54-V53,IF(A54&lt;'Données projet'!$A$36,$K$205^A54,IF(A54='Données projet'!$A$36,'Données projet'!$B$36,N53+M54-V53)))</f>
        <v>631.45000000000061</v>
      </c>
      <c r="O54" s="13">
        <f>N54*VLOOKUP('Données projet'!$B$9,Paramètres!$A$1:$I$89,3,0)*VLOOKUP('Données projet'!$B$9,Paramètres!$A$1:$I$89,5,0)</f>
        <v>352.98055000000033</v>
      </c>
      <c r="P54" s="13">
        <f t="shared" si="33"/>
        <v>82.175934220475256</v>
      </c>
      <c r="Q54" s="20">
        <f t="shared" si="53"/>
        <v>757.89754335066164</v>
      </c>
      <c r="R54" s="59">
        <f t="shared" si="0"/>
        <v>1013.6814237539085</v>
      </c>
      <c r="S54" s="59">
        <f ca="1">AVERAGE(OFFSET($R$3,0,0,'Données projet'!$E$9+1,1))-AVERAGE(OFFSET($H$3,0,0,'Données projet'!$E$9+1,1))</f>
        <v>418.8940806978344</v>
      </c>
      <c r="T54" s="59">
        <f t="shared" si="34"/>
        <v>553.49616487922378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77.810586737396008</v>
      </c>
      <c r="AA54" s="21">
        <f>EXP(-LN(2)/25)*AA53+(1-EXP(-LN(2)/25))/(LN(2)/25)*Calculateur!V54*Calculateur!X54*VLOOKUP('Données projet'!$B$9,Paramètres!$A$1:$I$89,3,0)*0.475*44/12</f>
        <v>29.800128155605197</v>
      </c>
      <c r="AB54" s="21">
        <f>EXP(-LN(2)/2)*AB53+(1-EXP(-LN(2)/2))/(LN(2)/2)*V54*Y54*VLOOKUP('Données projet'!$B$9,Paramètres!$A$1:$I$89,3,0)*0.475*44/12</f>
        <v>5.1172260656031856</v>
      </c>
      <c r="AC54" s="22">
        <f t="shared" si="3"/>
        <v>112.72794095860439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17.128571428571426</v>
      </c>
      <c r="AI54" s="13">
        <f>IF('Données projet'!$A$62&gt;35,AI53+AH54-AQ53,IF(A54&lt;'Données projet'!$A$62,$AF$205^A54,IF(A54='Données projet'!$A$62,'Données projet'!$B$62,AI53+AH54-AQ53)))</f>
        <v>298.55714285714242</v>
      </c>
      <c r="AJ54" s="13">
        <f>AI54*VLOOKUP('Données projet'!$B$10,Paramètres!$A$1:$I$89,3,0)*VLOOKUP('Données projet'!$B$10,Paramètres!$A$1:$I$89,5,0)</f>
        <v>139.72474285714264</v>
      </c>
      <c r="AK54" s="13">
        <f t="shared" si="35"/>
        <v>36.233940728012882</v>
      </c>
      <c r="AL54" s="20">
        <f t="shared" si="4"/>
        <v>306.46137391081254</v>
      </c>
      <c r="AM54" s="59">
        <f t="shared" si="5"/>
        <v>562.24525431405937</v>
      </c>
      <c r="AN54" s="59">
        <f ca="1">AVERAGE(OFFSET($AM$3,0,0,'Données projet'!$E$10+1,1))-AVERAGE(OFFSET($H$3,0,0,'Données projet'!$E$10+1,1))</f>
        <v>391.61151255507264</v>
      </c>
      <c r="AO54" s="59">
        <f t="shared" si="36"/>
        <v>365.61278905364281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51.67651731005175</v>
      </c>
      <c r="AV54" s="21">
        <f>EXP(-LN(2)/25)*AV53+(1-EXP(-LN(2)/25))/(LN(2)/25)*Calculateur!AQ54*Calculateur!AS54*VLOOKUP('Données projet'!$B$10,Paramètres!$A$1:$I$89,3,0)*0.475*44/12</f>
        <v>16.32831391665848</v>
      </c>
      <c r="AW54" s="21">
        <f>EXP(-LN(2)/2)*AW53+(1-EXP(-LN(2)/2))/(LN(2)/2)*AQ54*AT54*VLOOKUP('Données projet'!$B$10,Paramètres!$A$1:$I$89,3,0)*0.475*44/12</f>
        <v>6.2298292677923586</v>
      </c>
      <c r="AX54" s="21">
        <f t="shared" si="6"/>
        <v>74.234660494502577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9.9999999999999982</v>
      </c>
      <c r="BD54" s="12">
        <f>IF('Données projet'!$A$88&gt;35,BD53+BC54-BL53,IF(A54&lt;'Données projet'!$A$88,$BA$205^A54,IF(A54='Données projet'!$A$88,'Données projet'!$B$88,BD53+BC54-BL53)))</f>
        <v>168.09999999999994</v>
      </c>
      <c r="BE54" s="13">
        <f>BD54*VLOOKUP('Données projet'!$B$11,Paramètres!$A$1:$I$89,3,0)*VLOOKUP('Données projet'!$B$11,Paramètres!$A$1:$I$89,5,0)</f>
        <v>159.96395999999993</v>
      </c>
      <c r="BF54" s="13">
        <f t="shared" si="37"/>
        <v>40.83438637752068</v>
      </c>
      <c r="BG54" s="20">
        <f t="shared" si="7"/>
        <v>349.72378660751502</v>
      </c>
      <c r="BH54" s="59">
        <f t="shared" si="8"/>
        <v>605.50766701076191</v>
      </c>
      <c r="BI54" s="59">
        <f ca="1">AVERAGE(OFFSET($BH$3,0,0,'Données projet'!$E$11+1,1))-AVERAGE(OFFSET($H$3,0,0,'Données projet'!$E$11+1,1))</f>
        <v>486.36809102684492</v>
      </c>
      <c r="BJ54" s="59">
        <f t="shared" si="38"/>
        <v>308.42890859885006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9.6016464295630755</v>
      </c>
      <c r="BR54" s="21">
        <f>EXP(-LN(2)/2)*BR53+(1-EXP(-LN(2)/2))/(LN(2)/2)*BL54*BO54*VLOOKUP('Données projet'!$B$11,Paramètres!$A$1:$I$89,3,0)*0.475*44/12</f>
        <v>1.3475929401683637</v>
      </c>
      <c r="BS54" s="22">
        <f t="shared" si="9"/>
        <v>10.949239369731439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25.716666666666658</v>
      </c>
      <c r="N55" s="13">
        <f>IF('Données projet'!$A$36&gt;35,N54+M55-V54,IF(A55&lt;'Données projet'!$A$36,$K$205^A55,IF(A55='Données projet'!$A$36,'Données projet'!$B$36,N54+M55-V54)))</f>
        <v>657.16666666666731</v>
      </c>
      <c r="O55" s="13">
        <f>N55*VLOOKUP('Données projet'!$B$9,Paramètres!$A$1:$I$89,3,0)*VLOOKUP('Données projet'!$B$9,Paramètres!$A$1:$I$89,5,0)</f>
        <v>367.35616666666704</v>
      </c>
      <c r="P55" s="13">
        <f t="shared" si="33"/>
        <v>85.126197375472202</v>
      </c>
      <c r="Q55" s="20">
        <f t="shared" si="53"/>
        <v>788.07345070672591</v>
      </c>
      <c r="R55" s="59">
        <f t="shared" si="0"/>
        <v>1044.5087301703093</v>
      </c>
      <c r="S55" s="59">
        <f ca="1">AVERAGE(OFFSET($R$3,0,0,'Données projet'!$E$9+1,1))-AVERAGE(OFFSET($H$3,0,0,'Données projet'!$E$9+1,1))</f>
        <v>418.8940806978344</v>
      </c>
      <c r="T55" s="59">
        <f t="shared" si="34"/>
        <v>553.49616487922378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76.284768591247314</v>
      </c>
      <c r="AA55" s="21">
        <f>EXP(-LN(2)/25)*AA54+(1-EXP(-LN(2)/25))/(LN(2)/25)*Calculateur!V55*Calculateur!X55*VLOOKUP('Données projet'!$B$9,Paramètres!$A$1:$I$89,3,0)*0.475*44/12</f>
        <v>28.985242084069544</v>
      </c>
      <c r="AB55" s="21">
        <f>EXP(-LN(2)/2)*AB54+(1-EXP(-LN(2)/2))/(LN(2)/2)*V55*Y55*VLOOKUP('Données projet'!$B$9,Paramètres!$A$1:$I$89,3,0)*0.475*44/12</f>
        <v>3.6184252518525697</v>
      </c>
      <c r="AC55" s="22">
        <f t="shared" si="3"/>
        <v>108.88843592716943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17.128571428571426</v>
      </c>
      <c r="AI55" s="13">
        <f>IF('Données projet'!$A$62&gt;35,AI54+AH55-AQ54,IF(A55&lt;'Données projet'!$A$62,$AF$205^A55,IF(A55='Données projet'!$A$62,'Données projet'!$B$62,AI54+AH55-AQ54)))</f>
        <v>315.68571428571386</v>
      </c>
      <c r="AJ55" s="13">
        <f>AI55*VLOOKUP('Données projet'!$B$10,Paramètres!$A$1:$I$89,3,0)*VLOOKUP('Données projet'!$B$10,Paramètres!$A$1:$I$89,5,0)</f>
        <v>147.7409142857141</v>
      </c>
      <c r="AK55" s="13">
        <f t="shared" si="35"/>
        <v>38.064747748343905</v>
      </c>
      <c r="AL55" s="20">
        <f t="shared" si="4"/>
        <v>323.61152804265106</v>
      </c>
      <c r="AM55" s="59">
        <f t="shared" si="5"/>
        <v>580.04680750623447</v>
      </c>
      <c r="AN55" s="59">
        <f ca="1">AVERAGE(OFFSET($AM$3,0,0,'Données projet'!$E$10+1,1))-AVERAGE(OFFSET($H$3,0,0,'Données projet'!$E$10+1,1))</f>
        <v>391.61151255507264</v>
      </c>
      <c r="AO55" s="59">
        <f t="shared" si="36"/>
        <v>365.61278905364281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50.663172325164894</v>
      </c>
      <c r="AV55" s="21">
        <f>EXP(-LN(2)/25)*AV54+(1-EXP(-LN(2)/25))/(LN(2)/25)*Calculateur!AQ55*Calculateur!AS55*VLOOKUP('Données projet'!$B$10,Paramètres!$A$1:$I$89,3,0)*0.475*44/12</f>
        <v>15.881815313938745</v>
      </c>
      <c r="AW55" s="21">
        <f>EXP(-LN(2)/2)*AW54+(1-EXP(-LN(2)/2))/(LN(2)/2)*AQ55*AT55*VLOOKUP('Données projet'!$B$10,Paramètres!$A$1:$I$89,3,0)*0.475*44/12</f>
        <v>4.4051545208904015</v>
      </c>
      <c r="AX55" s="21">
        <f t="shared" si="6"/>
        <v>70.950142159994044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178.1</v>
      </c>
      <c r="BB55" s="12">
        <f>VLOOKUP(A55,'Données projet'!$A$87:$I$107,9,0)</f>
        <v>9.9999999999999982</v>
      </c>
      <c r="BC55" s="12">
        <f t="array" ref="BC55">INDEX(BB:BB,MIN(IF(ISNUMBER(BB55:BB251),ROW(BB55:BB251),"")))</f>
        <v>9.9999999999999982</v>
      </c>
      <c r="BD55" s="12">
        <f>IF('Données projet'!$A$88&gt;35,BD54+BC55-BL54,IF(A55&lt;'Données projet'!$A$88,$BA$205^A55,IF(A55='Données projet'!$A$88,'Données projet'!$B$88,BD54+BC55-BL54)))</f>
        <v>178.09999999999994</v>
      </c>
      <c r="BE55" s="13">
        <f>BD55*VLOOKUP('Données projet'!$B$11,Paramètres!$A$1:$I$89,3,0)*VLOOKUP('Données projet'!$B$11,Paramètres!$A$1:$I$89,5,0)</f>
        <v>169.47995999999995</v>
      </c>
      <c r="BF55" s="13">
        <f t="shared" si="37"/>
        <v>42.973531164844189</v>
      </c>
      <c r="BG55" s="20">
        <f t="shared" si="7"/>
        <v>370.0231637787702</v>
      </c>
      <c r="BH55" s="59">
        <f t="shared" si="8"/>
        <v>626.4584432423535</v>
      </c>
      <c r="BI55" s="59">
        <f ca="1">AVERAGE(OFFSET($BH$3,0,0,'Données projet'!$E$11+1,1))-AVERAGE(OFFSET($H$3,0,0,'Données projet'!$E$11+1,1))</f>
        <v>486.36809102684492</v>
      </c>
      <c r="BJ55" s="59">
        <f t="shared" si="38"/>
        <v>308.42890859885006</v>
      </c>
      <c r="BK55" s="15">
        <f>IF(ISNA(VLOOKUP(A55,'Données projet'!$A$87:$I$107,3,0)),0,VLOOKUP(A55,'Données projet'!$A$87:$I$107,3,0))</f>
        <v>3</v>
      </c>
      <c r="BL55" s="15">
        <f>IF(ISNA(VLOOKUP(A55,'Données projet'!$A$87:$I$107,4,0)),0,VLOOKUP(A55,'Données projet'!$A$87:$I$107,4,0))</f>
        <v>44.4</v>
      </c>
      <c r="BM55" s="16">
        <f>IF(ISNA(VLOOKUP(A55,'Données projet'!$A$87:$I$107,5,0)),0%,VLOOKUP(A55,'Données projet'!$A$87:$I$107,5,0)*VLOOKUP('Données projet'!$B$11,Paramètres!$A$1:$I$89,7,0))</f>
        <v>0.1075</v>
      </c>
      <c r="BN55" s="16">
        <f>IF(ISNA(VLOOKUP(A55,'Données projet'!$A$87:$I$107,6,0)),0%,VLOOKUP(A55,'Données projet'!$A$87:$I$107,6,0)*VLOOKUP('Données projet'!$B$11,Paramètres!$A$1:$I$89,7,0))</f>
        <v>0.1075</v>
      </c>
      <c r="BO55" s="16">
        <f>IF(ISNA(VLOOKUP(A55,'Données projet'!$A$87:$I$107,7,0)),0%,VLOOKUP(A55,'Données projet'!$A$87:$I$107,7,0))</f>
        <v>0.25</v>
      </c>
      <c r="BP55" s="21">
        <f>EXP(-LN(2)/35)*BP54+(1-EXP(-LN(2)/35))/(LN(2)/35)*BL55*BM55*VLOOKUP('Données projet'!$B$11,Paramètres!$A$1:$I$89,3,0)*0.475*44/12</f>
        <v>5.0210318716296491</v>
      </c>
      <c r="BQ55" s="21">
        <f>EXP(-LN(2)/25)*BQ54+(1-EXP(-LN(2)/25))/(LN(2)/25)*Calculateur!BL55*Calculateur!BN55*VLOOKUP('Données projet'!$B$11,Paramètres!$A$1:$I$89,3,0)*0.475*44/12</f>
        <v>14.340351059005943</v>
      </c>
      <c r="BR55" s="21">
        <f>EXP(-LN(2)/2)*BR54+(1-EXP(-LN(2)/2))/(LN(2)/2)*BL55*BO55*VLOOKUP('Données projet'!$B$11,Paramètres!$A$1:$I$89,3,0)*0.475*44/12</f>
        <v>10.919140458789379</v>
      </c>
      <c r="BS55" s="22">
        <f t="shared" si="9"/>
        <v>30.280523389424971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25.716666666666658</v>
      </c>
      <c r="N56" s="13">
        <f>IF('Données projet'!$A$36&gt;35,N55+M56-V55,IF(A56&lt;'Données projet'!$A$36,$K$205^A56,IF(A56='Données projet'!$A$36,'Données projet'!$B$36,N55+M56-V55)))</f>
        <v>682.88333333333401</v>
      </c>
      <c r="O56" s="13">
        <f>N56*VLOOKUP('Données projet'!$B$9,Paramètres!$A$1:$I$89,3,0)*VLOOKUP('Données projet'!$B$9,Paramètres!$A$1:$I$89,5,0)</f>
        <v>381.73178333333374</v>
      </c>
      <c r="P56" s="13">
        <f t="shared" si="33"/>
        <v>88.063048910670261</v>
      </c>
      <c r="Q56" s="20">
        <f t="shared" si="53"/>
        <v>818.22599949164021</v>
      </c>
      <c r="R56" s="59">
        <f t="shared" si="0"/>
        <v>1075.3013776981734</v>
      </c>
      <c r="S56" s="59">
        <f ca="1">AVERAGE(OFFSET($R$3,0,0,'Données projet'!$E$9+1,1))-AVERAGE(OFFSET($H$3,0,0,'Données projet'!$E$9+1,1))</f>
        <v>418.8940806978344</v>
      </c>
      <c r="T56" s="59">
        <f t="shared" si="34"/>
        <v>553.49616487922378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74.788870808287427</v>
      </c>
      <c r="AA56" s="21">
        <f>EXP(-LN(2)/25)*AA55+(1-EXP(-LN(2)/25))/(LN(2)/25)*Calculateur!V56*Calculateur!X56*VLOOKUP('Données projet'!$B$9,Paramètres!$A$1:$I$89,3,0)*0.475*44/12</f>
        <v>28.192639115013026</v>
      </c>
      <c r="AB56" s="21">
        <f>EXP(-LN(2)/2)*AB55+(1-EXP(-LN(2)/2))/(LN(2)/2)*V56*Y56*VLOOKUP('Données projet'!$B$9,Paramètres!$A$1:$I$89,3,0)*0.475*44/12</f>
        <v>2.5586130328015932</v>
      </c>
      <c r="AC56" s="22">
        <f t="shared" si="3"/>
        <v>105.54012295610204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17.128571428571426</v>
      </c>
      <c r="AI56" s="13">
        <f>IF('Données projet'!$A$62&gt;35,AI55+AH56-AQ55,IF(A56&lt;'Données projet'!$A$62,$AF$205^A56,IF(A56='Données projet'!$A$62,'Données projet'!$B$62,AI55+AH56-AQ55)))</f>
        <v>332.81428571428529</v>
      </c>
      <c r="AJ56" s="13">
        <f>AI56*VLOOKUP('Données projet'!$B$10,Paramètres!$A$1:$I$89,3,0)*VLOOKUP('Données projet'!$B$10,Paramètres!$A$1:$I$89,5,0)</f>
        <v>155.75708571428549</v>
      </c>
      <c r="AK56" s="13">
        <f t="shared" si="35"/>
        <v>39.884022465366414</v>
      </c>
      <c r="AL56" s="20">
        <f t="shared" si="4"/>
        <v>340.741596746227</v>
      </c>
      <c r="AM56" s="59">
        <f t="shared" si="5"/>
        <v>597.81697495276023</v>
      </c>
      <c r="AN56" s="59">
        <f ca="1">AVERAGE(OFFSET($AM$3,0,0,'Données projet'!$E$10+1,1))-AVERAGE(OFFSET($H$3,0,0,'Données projet'!$E$10+1,1))</f>
        <v>391.61151255507264</v>
      </c>
      <c r="AO56" s="59">
        <f t="shared" si="36"/>
        <v>365.61278905364281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49.669698417352258</v>
      </c>
      <c r="AV56" s="21">
        <f>EXP(-LN(2)/25)*AV55+(1-EXP(-LN(2)/25))/(LN(2)/25)*Calculateur!AQ56*Calculateur!AS56*VLOOKUP('Données projet'!$B$10,Paramètres!$A$1:$I$89,3,0)*0.475*44/12</f>
        <v>15.44752623899072</v>
      </c>
      <c r="AW56" s="21">
        <f>EXP(-LN(2)/2)*AW55+(1-EXP(-LN(2)/2))/(LN(2)/2)*AQ56*AT56*VLOOKUP('Données projet'!$B$10,Paramètres!$A$1:$I$89,3,0)*0.475*44/12</f>
        <v>3.1149146338961797</v>
      </c>
      <c r="AX56" s="21">
        <f t="shared" si="6"/>
        <v>68.232139290239161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9.8857142857142879</v>
      </c>
      <c r="BD56" s="12">
        <f>IF('Données projet'!$A$88&gt;35,BD55+BC56-BL55,IF(A56&lt;'Données projet'!$A$88,$BA$205^A56,IF(A56='Données projet'!$A$88,'Données projet'!$B$88,BD55+BC56-BL55)))</f>
        <v>143.58571428571423</v>
      </c>
      <c r="BE56" s="13">
        <f>BD56*VLOOKUP('Données projet'!$B$11,Paramètres!$A$1:$I$89,3,0)*VLOOKUP('Données projet'!$B$11,Paramètres!$A$1:$I$89,5,0)</f>
        <v>136.63616571428568</v>
      </c>
      <c r="BF56" s="13">
        <f t="shared" si="37"/>
        <v>35.525310924493219</v>
      </c>
      <c r="BG56" s="20">
        <f t="shared" si="7"/>
        <v>299.84790514587326</v>
      </c>
      <c r="BH56" s="59">
        <f t="shared" si="8"/>
        <v>556.92328335240654</v>
      </c>
      <c r="BI56" s="59">
        <f ca="1">AVERAGE(OFFSET($BH$3,0,0,'Données projet'!$E$11+1,1))-AVERAGE(OFFSET($H$3,0,0,'Données projet'!$E$11+1,1))</f>
        <v>486.36809102684492</v>
      </c>
      <c r="BJ56" s="59">
        <f t="shared" si="38"/>
        <v>308.42890859885006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4.9225724991540343</v>
      </c>
      <c r="BQ56" s="21">
        <f>EXP(-LN(2)/25)*BQ55+(1-EXP(-LN(2)/25))/(LN(2)/25)*Calculateur!BL56*Calculateur!BN56*VLOOKUP('Données projet'!$B$11,Paramètres!$A$1:$I$89,3,0)*0.475*44/12</f>
        <v>13.948213405171138</v>
      </c>
      <c r="BR56" s="21">
        <f>EXP(-LN(2)/2)*BR55+(1-EXP(-LN(2)/2))/(LN(2)/2)*BL56*BO56*VLOOKUP('Données projet'!$B$11,Paramètres!$A$1:$I$89,3,0)*0.475*44/12</f>
        <v>7.7209982631383598</v>
      </c>
      <c r="BS56" s="22">
        <f t="shared" si="9"/>
        <v>26.591784167463533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</v>
      </c>
      <c r="L57" s="12">
        <f>VLOOKUP(A57,'Données projet'!$A$35:$I$55,9,0)</f>
        <v>25.716666666666658</v>
      </c>
      <c r="M57" s="12">
        <f t="array" ref="M57">INDEX(L:L,MIN(IF(ISNUMBER(L57:L253),ROW(L57:L253),"")))</f>
        <v>25.716666666666658</v>
      </c>
      <c r="N57" s="13">
        <f>IF('Données projet'!$A$36&gt;35,N56+M57-V56,IF(A57&lt;'Données projet'!$A$36,$K$205^A57,IF(A57='Données projet'!$A$36,'Données projet'!$B$36,N56+M57-V56)))</f>
        <v>708.6000000000007</v>
      </c>
      <c r="O57" s="13">
        <f>N57*VLOOKUP('Données projet'!$B$9,Paramètres!$A$1:$I$89,3,0)*VLOOKUP('Données projet'!$B$9,Paramètres!$A$1:$I$89,5,0)</f>
        <v>396.10740000000044</v>
      </c>
      <c r="P57" s="13">
        <f t="shared" si="33"/>
        <v>90.987051720178343</v>
      </c>
      <c r="Q57" s="20">
        <f t="shared" si="53"/>
        <v>848.35617007931125</v>
      </c>
      <c r="R57" s="59">
        <f t="shared" si="0"/>
        <v>1106.0605427466505</v>
      </c>
      <c r="S57" s="59">
        <f ca="1">AVERAGE(OFFSET($R$3,0,0,'Données projet'!$E$9+1,1))-AVERAGE(OFFSET($H$3,0,0,'Données projet'!$E$9+1,1))</f>
        <v>418.8940806978344</v>
      </c>
      <c r="T57" s="59">
        <f t="shared" si="34"/>
        <v>553.49616487922378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708.6</v>
      </c>
      <c r="W57" s="16">
        <f>IF(ISNA(VLOOKUP(A57,'Données projet'!$A$35:$I$55,5,0)),0%,VLOOKUP(A57,'Données projet'!$A$35:$I$55,5,0)*VLOOKUP('Données projet'!$B$9,Paramètres!$A$1:$I$89,7,0))</f>
        <v>0.33</v>
      </c>
      <c r="X57" s="16">
        <f>IF(ISNA(VLOOKUP(A57,'Données projet'!$A$35:$I$55,6,0)),0%,VLOOKUP(A57,'Données projet'!$A$35:$I$55,6,0)*VLOOKUP('Données projet'!$B$9,Paramètres!$A$1:$I$89,7,0))</f>
        <v>0.11000000000000001</v>
      </c>
      <c r="Y57" s="16">
        <f>IF(ISNA(VLOOKUP(A57,'Données projet'!$A$35:$I$55,7,0)),0%,VLOOKUP(A57,'Données projet'!$A$35:$I$55,7,0))</f>
        <v>0.2</v>
      </c>
      <c r="Z57" s="21">
        <f>EXP(-LN(2)/35)*Z56+(1-EXP(-LN(2)/35))/(LN(2)/35)*V57*W57*VLOOKUP('Données projet'!$B$9,Paramètres!$A$1:$I$89,3,0)*0.475*44/12</f>
        <v>246.72476580271268</v>
      </c>
      <c r="AA57" s="21">
        <f>EXP(-LN(2)/25)*AA56+(1-EXP(-LN(2)/25))/(LN(2)/25)*Calculateur!V57*Calculateur!X57*VLOOKUP('Données projet'!$B$9,Paramètres!$A$1:$I$89,3,0)*0.475*44/12</f>
        <v>84.994945776206663</v>
      </c>
      <c r="AB57" s="21">
        <f>EXP(-LN(2)/2)*AB56+(1-EXP(-LN(2)/2))/(LN(2)/2)*V57*Y57*VLOOKUP('Données projet'!$B$9,Paramètres!$A$1:$I$89,3,0)*0.475*44/12</f>
        <v>91.506330939773235</v>
      </c>
      <c r="AC57" s="22">
        <f t="shared" si="3"/>
        <v>423.22604251869262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17.128571428571426</v>
      </c>
      <c r="AI57" s="13">
        <f>IF('Données projet'!$A$62&gt;35,AI56+AH57-AQ56,IF(A57&lt;'Données projet'!$A$62,$AF$205^A57,IF(A57='Données projet'!$A$62,'Données projet'!$B$62,AI56+AH57-AQ56)))</f>
        <v>349.94285714285672</v>
      </c>
      <c r="AJ57" s="13">
        <f>AI57*VLOOKUP('Données projet'!$B$10,Paramètres!$A$1:$I$89,3,0)*VLOOKUP('Données projet'!$B$10,Paramètres!$A$1:$I$89,5,0)</f>
        <v>163.77325714285695</v>
      </c>
      <c r="AK57" s="13">
        <f t="shared" si="35"/>
        <v>41.692426102194077</v>
      </c>
      <c r="AL57" s="20">
        <f t="shared" si="4"/>
        <v>357.85273165179723</v>
      </c>
      <c r="AM57" s="59">
        <f t="shared" si="5"/>
        <v>615.55710431913656</v>
      </c>
      <c r="AN57" s="59">
        <f ca="1">AVERAGE(OFFSET($AM$3,0,0,'Données projet'!$E$10+1,1))-AVERAGE(OFFSET($H$3,0,0,'Données projet'!$E$10+1,1))</f>
        <v>391.61151255507264</v>
      </c>
      <c r="AO57" s="59">
        <f t="shared" si="36"/>
        <v>365.61278905364281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48.695705926912581</v>
      </c>
      <c r="AV57" s="21">
        <f>EXP(-LN(2)/25)*AV56+(1-EXP(-LN(2)/25))/(LN(2)/25)*Calculateur!AQ57*Calculateur!AS57*VLOOKUP('Données projet'!$B$10,Paramètres!$A$1:$I$89,3,0)*0.475*44/12</f>
        <v>15.025112821635419</v>
      </c>
      <c r="AW57" s="21">
        <f>EXP(-LN(2)/2)*AW56+(1-EXP(-LN(2)/2))/(LN(2)/2)*AQ57*AT57*VLOOKUP('Données projet'!$B$10,Paramètres!$A$1:$I$89,3,0)*0.475*44/12</f>
        <v>2.2025772604452007</v>
      </c>
      <c r="AX57" s="21">
        <f t="shared" si="6"/>
        <v>65.923396008993194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9.8857142857142879</v>
      </c>
      <c r="BD57" s="12">
        <f>IF('Données projet'!$A$88&gt;35,BD56+BC57-BL56,IF(A57&lt;'Données projet'!$A$88,$BA$205^A57,IF(A57='Données projet'!$A$88,'Données projet'!$B$88,BD56+BC57-BL56)))</f>
        <v>153.47142857142853</v>
      </c>
      <c r="BE57" s="13">
        <f>BD57*VLOOKUP('Données projet'!$B$11,Paramètres!$A$1:$I$89,3,0)*VLOOKUP('Données projet'!$B$11,Paramètres!$A$1:$I$89,5,0)</f>
        <v>146.0434114285714</v>
      </c>
      <c r="BF57" s="13">
        <f t="shared" si="37"/>
        <v>37.678042594657718</v>
      </c>
      <c r="BG57" s="20">
        <f t="shared" si="7"/>
        <v>319.98153242379072</v>
      </c>
      <c r="BH57" s="59">
        <f t="shared" si="8"/>
        <v>577.68590509113005</v>
      </c>
      <c r="BI57" s="59">
        <f ca="1">AVERAGE(OFFSET($BH$3,0,0,'Données projet'!$E$11+1,1))-AVERAGE(OFFSET($H$3,0,0,'Données projet'!$E$11+1,1))</f>
        <v>486.36809102684492</v>
      </c>
      <c r="BJ57" s="59">
        <f t="shared" si="38"/>
        <v>308.42890859885006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4.8260438549183782</v>
      </c>
      <c r="BQ57" s="21">
        <f>EXP(-LN(2)/25)*BQ56+(1-EXP(-LN(2)/25))/(LN(2)/25)*Calculateur!BL57*Calculateur!BN57*VLOOKUP('Données projet'!$B$11,Paramètres!$A$1:$I$89,3,0)*0.475*44/12</f>
        <v>13.56679877610207</v>
      </c>
      <c r="BR57" s="21">
        <f>EXP(-LN(2)/2)*BR56+(1-EXP(-LN(2)/2))/(LN(2)/2)*BL57*BO57*VLOOKUP('Données projet'!$B$11,Paramètres!$A$1:$I$89,3,0)*0.475*44/12</f>
        <v>5.4595702293946902</v>
      </c>
      <c r="BS57" s="22">
        <f t="shared" si="9"/>
        <v>23.852412860415139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6.8212102632969618E-13</v>
      </c>
      <c r="O58" s="13">
        <f>N58*VLOOKUP('Données projet'!$B$9,Paramètres!$A$1:$I$89,3,0)*VLOOKUP('Données projet'!$B$9,Paramètres!$A$1:$I$89,5,0)</f>
        <v>3.8130565371830017E-13</v>
      </c>
      <c r="P58" s="13">
        <f t="shared" si="33"/>
        <v>4.9019074112354236E-12</v>
      </c>
      <c r="Q58" s="20">
        <f t="shared" si="53"/>
        <v>9.2015960881277352E-12</v>
      </c>
      <c r="R58" s="59">
        <f t="shared" si="0"/>
        <v>258.32245548048058</v>
      </c>
      <c r="S58" s="59">
        <f ca="1">AVERAGE(OFFSET($R$3,0,0,'Données projet'!$E$9+1,1))-AVERAGE(OFFSET($H$3,0,0,'Données projet'!$E$9+1,1))</f>
        <v>418.8940806978344</v>
      </c>
      <c r="T58" s="59">
        <f t="shared" si="34"/>
        <v>553.49616487922378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241.88664363256925</v>
      </c>
      <c r="AA58" s="21">
        <f>EXP(-LN(2)/25)*AA57+(1-EXP(-LN(2)/25))/(LN(2)/25)*Calculateur!V58*Calculateur!X58*VLOOKUP('Données projet'!$B$9,Paramètres!$A$1:$I$89,3,0)*0.475*44/12</f>
        <v>82.670754514266349</v>
      </c>
      <c r="AB58" s="21">
        <f>EXP(-LN(2)/2)*AB57+(1-EXP(-LN(2)/2))/(LN(2)/2)*V58*Y58*VLOOKUP('Données projet'!$B$9,Paramètres!$A$1:$I$89,3,0)*0.475*44/12</f>
        <v>64.704747129014038</v>
      </c>
      <c r="AC58" s="22">
        <f t="shared" si="3"/>
        <v>389.2621452758496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17.128571428571426</v>
      </c>
      <c r="AI58" s="13">
        <f>IF('Données projet'!$A$62&gt;35,AI57+AH58-AQ57,IF(A58&lt;'Données projet'!$A$62,$AF$205^A58,IF(A58='Données projet'!$A$62,'Données projet'!$B$62,AI57+AH58-AQ57)))</f>
        <v>367.07142857142816</v>
      </c>
      <c r="AJ58" s="13">
        <f>AI58*VLOOKUP('Données projet'!$B$10,Paramètres!$A$1:$I$89,3,0)*VLOOKUP('Données projet'!$B$10,Paramètres!$A$1:$I$89,5,0)</f>
        <v>171.78942857142837</v>
      </c>
      <c r="AK58" s="13">
        <f t="shared" si="35"/>
        <v>43.490551495531548</v>
      </c>
      <c r="AL58" s="20">
        <f t="shared" si="4"/>
        <v>374.94596528328856</v>
      </c>
      <c r="AM58" s="59">
        <f t="shared" si="5"/>
        <v>633.26842076375988</v>
      </c>
      <c r="AN58" s="59">
        <f ca="1">AVERAGE(OFFSET($AM$3,0,0,'Données projet'!$E$10+1,1))-AVERAGE(OFFSET($H$3,0,0,'Données projet'!$E$10+1,1))</f>
        <v>391.61151255507264</v>
      </c>
      <c r="AO58" s="59">
        <f t="shared" si="36"/>
        <v>365.61278905364281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47.740812835133667</v>
      </c>
      <c r="AV58" s="21">
        <f>EXP(-LN(2)/25)*AV57+(1-EXP(-LN(2)/25))/(LN(2)/25)*Calculateur!AQ58*Calculateur!AS58*VLOOKUP('Données projet'!$B$10,Paramètres!$A$1:$I$89,3,0)*0.475*44/12</f>
        <v>14.614250321391456</v>
      </c>
      <c r="AW58" s="21">
        <f>EXP(-LN(2)/2)*AW57+(1-EXP(-LN(2)/2))/(LN(2)/2)*AQ58*AT58*VLOOKUP('Données projet'!$B$10,Paramètres!$A$1:$I$89,3,0)*0.475*44/12</f>
        <v>1.5574573169480899</v>
      </c>
      <c r="AX58" s="21">
        <f t="shared" si="6"/>
        <v>63.912520473473208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9.8857142857142879</v>
      </c>
      <c r="BD58" s="12">
        <f>IF('Données projet'!$A$88&gt;35,BD57+BC58-BL57,IF(A58&lt;'Données projet'!$A$88,$BA$205^A58,IF(A58='Données projet'!$A$88,'Données projet'!$B$88,BD57+BC58-BL57)))</f>
        <v>163.35714285714283</v>
      </c>
      <c r="BE58" s="13">
        <f>BD58*VLOOKUP('Données projet'!$B$11,Paramètres!$A$1:$I$89,3,0)*VLOOKUP('Données projet'!$B$11,Paramètres!$A$1:$I$89,5,0)</f>
        <v>155.45065714285712</v>
      </c>
      <c r="BF58" s="13">
        <f t="shared" si="37"/>
        <v>39.814682141885321</v>
      </c>
      <c r="BG58" s="20">
        <f t="shared" si="7"/>
        <v>340.08713258759309</v>
      </c>
      <c r="BH58" s="59">
        <f t="shared" si="8"/>
        <v>598.40958806806452</v>
      </c>
      <c r="BI58" s="59">
        <f ca="1">AVERAGE(OFFSET($BH$3,0,0,'Données projet'!$E$11+1,1))-AVERAGE(OFFSET($H$3,0,0,'Données projet'!$E$11+1,1))</f>
        <v>486.36809102684492</v>
      </c>
      <c r="BJ58" s="59">
        <f t="shared" si="38"/>
        <v>308.42890859885006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4.7314080785195243</v>
      </c>
      <c r="BQ58" s="21">
        <f>EXP(-LN(2)/25)*BQ57+(1-EXP(-LN(2)/25))/(LN(2)/25)*Calculateur!BL58*Calculateur!BN58*VLOOKUP('Données projet'!$B$11,Paramètres!$A$1:$I$89,3,0)*0.475*44/12</f>
        <v>13.195813950122618</v>
      </c>
      <c r="BR58" s="21">
        <f>EXP(-LN(2)/2)*BR57+(1-EXP(-LN(2)/2))/(LN(2)/2)*BL58*BO58*VLOOKUP('Données projet'!$B$11,Paramètres!$A$1:$I$89,3,0)*0.475*44/12</f>
        <v>3.8604991315691803</v>
      </c>
      <c r="BS58" s="22">
        <f t="shared" si="9"/>
        <v>21.787721160211323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6.8212102632969618E-13</v>
      </c>
      <c r="O59" s="13">
        <f>N59*VLOOKUP('Données projet'!$B$9,Paramètres!$A$1:$I$89,3,0)*VLOOKUP('Données projet'!$B$9,Paramètres!$A$1:$I$89,5,0)</f>
        <v>3.8130565371830017E-13</v>
      </c>
      <c r="P59" s="13">
        <f t="shared" si="33"/>
        <v>4.9019074112354236E-12</v>
      </c>
      <c r="Q59" s="20">
        <f t="shared" si="53"/>
        <v>9.2015960881277352E-12</v>
      </c>
      <c r="R59" s="59">
        <f t="shared" si="0"/>
        <v>258.92981593863095</v>
      </c>
      <c r="S59" s="59">
        <f ca="1">AVERAGE(OFFSET($R$3,0,0,'Données projet'!$E$9+1,1))-AVERAGE(OFFSET($H$3,0,0,'Données projet'!$E$9+1,1))</f>
        <v>418.8940806978344</v>
      </c>
      <c r="T59" s="59">
        <f t="shared" si="34"/>
        <v>553.49616487922378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237.14339408721918</v>
      </c>
      <c r="AA59" s="21">
        <f>EXP(-LN(2)/25)*AA58+(1-EXP(-LN(2)/25))/(LN(2)/25)*Calculateur!V59*Calculateur!X59*VLOOKUP('Données projet'!$B$9,Paramètres!$A$1:$I$89,3,0)*0.475*44/12</f>
        <v>80.410118384607699</v>
      </c>
      <c r="AB59" s="21">
        <f>EXP(-LN(2)/2)*AB58+(1-EXP(-LN(2)/2))/(LN(2)/2)*V59*Y59*VLOOKUP('Données projet'!$B$9,Paramètres!$A$1:$I$89,3,0)*0.475*44/12</f>
        <v>45.753165469886625</v>
      </c>
      <c r="AC59" s="22">
        <f t="shared" si="3"/>
        <v>363.30667794171347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384.2</v>
      </c>
      <c r="AG59" s="12">
        <f>VLOOKUP(A59,'Données projet'!$A$61:$I$81,9,0)</f>
        <v>17.128571428571426</v>
      </c>
      <c r="AH59" s="12">
        <f t="array" ref="AH59">INDEX(AG:AG,MIN(IF(ISNUMBER(AG59:AG255),ROW(AG59:AG255),"")))</f>
        <v>17.128571428571426</v>
      </c>
      <c r="AI59" s="13">
        <f>IF('Données projet'!$A$62&gt;35,AI58+AH59-AQ58,IF(A59&lt;'Données projet'!$A$62,$AF$205^A59,IF(A59='Données projet'!$A$62,'Données projet'!$B$62,AI58+AH59-AQ58)))</f>
        <v>384.19999999999959</v>
      </c>
      <c r="AJ59" s="13">
        <f>AI59*VLOOKUP('Données projet'!$B$10,Paramètres!$A$1:$I$89,3,0)*VLOOKUP('Données projet'!$B$10,Paramètres!$A$1:$I$89,5,0)</f>
        <v>179.8055999999998</v>
      </c>
      <c r="AK59" s="13">
        <f t="shared" si="35"/>
        <v>45.278933028529949</v>
      </c>
      <c r="AL59" s="20">
        <f t="shared" si="4"/>
        <v>392.02222835802257</v>
      </c>
      <c r="AM59" s="59">
        <f t="shared" si="5"/>
        <v>650.95204429664432</v>
      </c>
      <c r="AN59" s="59">
        <f ca="1">AVERAGE(OFFSET($AM$3,0,0,'Données projet'!$E$10+1,1))-AVERAGE(OFFSET($H$3,0,0,'Données projet'!$E$10+1,1))</f>
        <v>391.61151255507264</v>
      </c>
      <c r="AO59" s="59">
        <f t="shared" si="36"/>
        <v>365.61278905364281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80.2</v>
      </c>
      <c r="AR59" s="16">
        <f>IF(ISNA(VLOOKUP(A59,'Données projet'!$A$61:$I$81,5,0)),0%,VLOOKUP(A59,'Données projet'!$A$61:$I$81,5,0)*VLOOKUP('Données projet'!$B$10,Paramètres!$A$1:$I$89,7,0))</f>
        <v>0.33</v>
      </c>
      <c r="AS59" s="16">
        <f>IF(ISNA(VLOOKUP(A59,'Données projet'!$A$61:$I$81,6,0)),0%,VLOOKUP(A59,'Données projet'!$A$61:$I$81,6,0)*VLOOKUP('Données projet'!$B$10,Paramètres!$A$1:$I$89,7,0))</f>
        <v>0.11000000000000001</v>
      </c>
      <c r="AT59" s="16">
        <f>IF(ISNA(VLOOKUP(A59,'Données projet'!$A$61:$I$81,7,0)),0%,VLOOKUP(A59,'Données projet'!$A$61:$I$81,7,0))</f>
        <v>0.2</v>
      </c>
      <c r="AU59" s="21">
        <f>EXP(-LN(2)/35)*AU58+(1-EXP(-LN(2)/35))/(LN(2)/35)*AQ59*AR59*VLOOKUP('Données projet'!$B$10,Paramètres!$A$1:$I$89,3,0)*0.475*44/12</f>
        <v>63.235588697203482</v>
      </c>
      <c r="AV59" s="21">
        <f>EXP(-LN(2)/25)*AV58+(1-EXP(-LN(2)/25))/(LN(2)/25)*Calculateur!AQ59*Calculateur!AS59*VLOOKUP('Données projet'!$B$10,Paramètres!$A$1:$I$89,3,0)*0.475*44/12</f>
        <v>19.670039276226959</v>
      </c>
      <c r="AW59" s="21">
        <f>EXP(-LN(2)/2)*AW58+(1-EXP(-LN(2)/2))/(LN(2)/2)*AQ59*AT59*VLOOKUP('Données projet'!$B$10,Paramètres!$A$1:$I$89,3,0)*0.475*44/12</f>
        <v>9.6006394627104719</v>
      </c>
      <c r="AX59" s="21">
        <f t="shared" si="6"/>
        <v>92.506267436140917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9.8857142857142879</v>
      </c>
      <c r="BD59" s="12">
        <f>IF('Données projet'!$A$88&gt;35,BD58+BC59-BL58,IF(A59&lt;'Données projet'!$A$88,$BA$205^A59,IF(A59='Données projet'!$A$88,'Données projet'!$B$88,BD58+BC59-BL58)))</f>
        <v>173.24285714285713</v>
      </c>
      <c r="BE59" s="13">
        <f>BD59*VLOOKUP('Données projet'!$B$11,Paramètres!$A$1:$I$89,3,0)*VLOOKUP('Données projet'!$B$11,Paramètres!$A$1:$I$89,5,0)</f>
        <v>164.85790285714285</v>
      </c>
      <c r="BF59" s="13">
        <f t="shared" si="37"/>
        <v>41.936314293698061</v>
      </c>
      <c r="BG59" s="20">
        <f t="shared" si="7"/>
        <v>360.16659487104789</v>
      </c>
      <c r="BH59" s="59">
        <f t="shared" si="8"/>
        <v>619.09641080966958</v>
      </c>
      <c r="BI59" s="59">
        <f ca="1">AVERAGE(OFFSET($BH$3,0,0,'Données projet'!$E$11+1,1))-AVERAGE(OFFSET($H$3,0,0,'Données projet'!$E$11+1,1))</f>
        <v>486.36809102684492</v>
      </c>
      <c r="BJ59" s="59">
        <f t="shared" si="38"/>
        <v>308.42890859885006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4.6386280519737282</v>
      </c>
      <c r="BQ59" s="21">
        <f>EXP(-LN(2)/25)*BQ58+(1-EXP(-LN(2)/25))/(LN(2)/25)*Calculateur!BL59*Calculateur!BN59*VLOOKUP('Données projet'!$B$11,Paramètres!$A$1:$I$89,3,0)*0.475*44/12</f>
        <v>12.83497372371882</v>
      </c>
      <c r="BR59" s="21">
        <f>EXP(-LN(2)/2)*BR58+(1-EXP(-LN(2)/2))/(LN(2)/2)*BL59*BO59*VLOOKUP('Données projet'!$B$11,Paramètres!$A$1:$I$89,3,0)*0.475*44/12</f>
        <v>2.7297851146973455</v>
      </c>
      <c r="BS59" s="22">
        <f t="shared" si="9"/>
        <v>20.203386890389893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6.8212102632969618E-13</v>
      </c>
      <c r="O60" s="13">
        <f>N60*VLOOKUP('Données projet'!$B$9,Paramètres!$A$1:$I$89,3,0)*VLOOKUP('Données projet'!$B$9,Paramètres!$A$1:$I$89,5,0)</f>
        <v>3.8130565371830017E-13</v>
      </c>
      <c r="P60" s="13">
        <f t="shared" si="33"/>
        <v>4.9019074112354236E-12</v>
      </c>
      <c r="Q60" s="20">
        <f t="shared" si="53"/>
        <v>9.2015960881277352E-12</v>
      </c>
      <c r="R60" s="59">
        <f t="shared" si="0"/>
        <v>259.52664005068692</v>
      </c>
      <c r="S60" s="59">
        <f ca="1">AVERAGE(OFFSET($R$3,0,0,'Données projet'!$E$9+1,1))-AVERAGE(OFFSET($H$3,0,0,'Données projet'!$E$9+1,1))</f>
        <v>418.8940806978344</v>
      </c>
      <c r="T60" s="59">
        <f t="shared" si="34"/>
        <v>553.49616487922378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232.49315677235688</v>
      </c>
      <c r="AA60" s="21">
        <f>EXP(-LN(2)/25)*AA59+(1-EXP(-LN(2)/25))/(LN(2)/25)*Calculateur!V60*Calculateur!X60*VLOOKUP('Données projet'!$B$9,Paramètres!$A$1:$I$89,3,0)*0.475*44/12</f>
        <v>78.211299468796255</v>
      </c>
      <c r="AB60" s="21">
        <f>EXP(-LN(2)/2)*AB59+(1-EXP(-LN(2)/2))/(LN(2)/2)*V60*Y60*VLOOKUP('Données projet'!$B$9,Paramètres!$A$1:$I$89,3,0)*0.475*44/12</f>
        <v>32.352373564507026</v>
      </c>
      <c r="AC60" s="22">
        <f t="shared" si="3"/>
        <v>343.05682980566019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16.771428571428569</v>
      </c>
      <c r="AI60" s="13">
        <f>IF('Données projet'!$A$62&gt;35,AI59+AH60-AQ59,IF(A60&lt;'Données projet'!$A$62,$AF$205^A60,IF(A60='Données projet'!$A$62,'Données projet'!$B$62,AI59+AH60-AQ59)))</f>
        <v>320.77142857142815</v>
      </c>
      <c r="AJ60" s="13">
        <f>AI60*VLOOKUP('Données projet'!$B$10,Paramètres!$A$1:$I$89,3,0)*VLOOKUP('Données projet'!$B$10,Paramètres!$A$1:$I$89,5,0)</f>
        <v>150.12102857142838</v>
      </c>
      <c r="AK60" s="13">
        <f t="shared" si="35"/>
        <v>38.606088506821962</v>
      </c>
      <c r="AL60" s="20">
        <f t="shared" si="4"/>
        <v>328.699728911286</v>
      </c>
      <c r="AM60" s="59">
        <f t="shared" si="5"/>
        <v>588.22636896196377</v>
      </c>
      <c r="AN60" s="59">
        <f ca="1">AVERAGE(OFFSET($AM$3,0,0,'Données projet'!$E$10+1,1))-AVERAGE(OFFSET($H$3,0,0,'Données projet'!$E$10+1,1))</f>
        <v>391.61151255507264</v>
      </c>
      <c r="AO60" s="59">
        <f t="shared" si="36"/>
        <v>365.61278905364281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61.995577372751967</v>
      </c>
      <c r="AV60" s="21">
        <f>EXP(-LN(2)/25)*AV59+(1-EXP(-LN(2)/25))/(LN(2)/25)*Calculateur!AQ60*Calculateur!AS60*VLOOKUP('Données projet'!$B$10,Paramètres!$A$1:$I$89,3,0)*0.475*44/12</f>
        <v>19.132161017816124</v>
      </c>
      <c r="AW60" s="21">
        <f>EXP(-LN(2)/2)*AW59+(1-EXP(-LN(2)/2))/(LN(2)/2)*AQ60*AT60*VLOOKUP('Données projet'!$B$10,Paramètres!$A$1:$I$89,3,0)*0.475*44/12</f>
        <v>6.7886772678097476</v>
      </c>
      <c r="AX60" s="21">
        <f t="shared" si="6"/>
        <v>87.916415658377829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9.8857142857142879</v>
      </c>
      <c r="BD60" s="12">
        <f>IF('Données projet'!$A$88&gt;35,BD59+BC60-BL59,IF(A60&lt;'Données projet'!$A$88,$BA$205^A60,IF(A60='Données projet'!$A$88,'Données projet'!$B$88,BD59+BC60-BL59)))</f>
        <v>183.12857142857143</v>
      </c>
      <c r="BE60" s="13">
        <f>BD60*VLOOKUP('Données projet'!$B$11,Paramètres!$A$1:$I$89,3,0)*VLOOKUP('Données projet'!$B$11,Paramètres!$A$1:$I$89,5,0)</f>
        <v>174.26514857142857</v>
      </c>
      <c r="BF60" s="13">
        <f t="shared" si="37"/>
        <v>44.043892990260183</v>
      </c>
      <c r="BG60" s="20">
        <f t="shared" si="7"/>
        <v>380.22158071994119</v>
      </c>
      <c r="BH60" s="59">
        <f t="shared" si="8"/>
        <v>639.7482207706189</v>
      </c>
      <c r="BI60" s="59">
        <f ca="1">AVERAGE(OFFSET($BH$3,0,0,'Données projet'!$E$11+1,1))-AVERAGE(OFFSET($H$3,0,0,'Données projet'!$E$11+1,1))</f>
        <v>486.36809102684492</v>
      </c>
      <c r="BJ60" s="59">
        <f t="shared" si="38"/>
        <v>308.42890859885006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4.5476673851582667</v>
      </c>
      <c r="BQ60" s="21">
        <f>EXP(-LN(2)/25)*BQ59+(1-EXP(-LN(2)/25))/(LN(2)/25)*Calculateur!BL60*Calculateur!BN60*VLOOKUP('Données projet'!$B$11,Paramètres!$A$1:$I$89,3,0)*0.475*44/12</f>
        <v>12.484000692281795</v>
      </c>
      <c r="BR60" s="21">
        <f>EXP(-LN(2)/2)*BR59+(1-EXP(-LN(2)/2))/(LN(2)/2)*BL60*BO60*VLOOKUP('Données projet'!$B$11,Paramètres!$A$1:$I$89,3,0)*0.475*44/12</f>
        <v>1.9302495657845906</v>
      </c>
      <c r="BS60" s="22">
        <f t="shared" si="9"/>
        <v>18.961917643224652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6.8212102632969618E-13</v>
      </c>
      <c r="O61" s="13">
        <f>N61*VLOOKUP('Données projet'!$B$9,Paramètres!$A$1:$I$89,3,0)*VLOOKUP('Données projet'!$B$9,Paramètres!$A$1:$I$89,5,0)</f>
        <v>3.8130565371830017E-13</v>
      </c>
      <c r="P61" s="13">
        <f t="shared" si="33"/>
        <v>4.9019074112354236E-12</v>
      </c>
      <c r="Q61" s="20">
        <f t="shared" si="53"/>
        <v>9.2015960881277352E-12</v>
      </c>
      <c r="R61" s="59">
        <f t="shared" si="0"/>
        <v>260.11311059869763</v>
      </c>
      <c r="S61" s="59">
        <f ca="1">AVERAGE(OFFSET($R$3,0,0,'Données projet'!$E$9+1,1))-AVERAGE(OFFSET($H$3,0,0,'Données projet'!$E$9+1,1))</f>
        <v>418.8940806978344</v>
      </c>
      <c r="T61" s="59">
        <f t="shared" si="34"/>
        <v>553.49616487922378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227.93410777487435</v>
      </c>
      <c r="AA61" s="21">
        <f>EXP(-LN(2)/25)*AA60+(1-EXP(-LN(2)/25))/(LN(2)/25)*Calculateur!V61*Calculateur!X61*VLOOKUP('Données projet'!$B$9,Paramètres!$A$1:$I$89,3,0)*0.475*44/12</f>
        <v>76.072607371868543</v>
      </c>
      <c r="AB61" s="21">
        <f>EXP(-LN(2)/2)*AB60+(1-EXP(-LN(2)/2))/(LN(2)/2)*V61*Y61*VLOOKUP('Données projet'!$B$9,Paramètres!$A$1:$I$89,3,0)*0.475*44/12</f>
        <v>22.876582734943316</v>
      </c>
      <c r="AC61" s="22">
        <f t="shared" si="3"/>
        <v>326.88329788168619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16.771428571428569</v>
      </c>
      <c r="AI61" s="13">
        <f>IF('Données projet'!$A$62&gt;35,AI60+AH61-AQ60,IF(A61&lt;'Données projet'!$A$62,$AF$205^A61,IF(A61='Données projet'!$A$62,'Données projet'!$B$62,AI60+AH61-AQ60)))</f>
        <v>337.54285714285669</v>
      </c>
      <c r="AJ61" s="13">
        <f>AI61*VLOOKUP('Données projet'!$B$10,Paramètres!$A$1:$I$89,3,0)*VLOOKUP('Données projet'!$B$10,Paramètres!$A$1:$I$89,5,0)</f>
        <v>157.97005714285692</v>
      </c>
      <c r="AK61" s="13">
        <f t="shared" si="35"/>
        <v>40.384316442544893</v>
      </c>
      <c r="AL61" s="20">
        <f t="shared" si="4"/>
        <v>345.46720066124152</v>
      </c>
      <c r="AM61" s="59">
        <f t="shared" si="5"/>
        <v>605.58031125992989</v>
      </c>
      <c r="AN61" s="59">
        <f ca="1">AVERAGE(OFFSET($AM$3,0,0,'Données projet'!$E$10+1,1))-AVERAGE(OFFSET($H$3,0,0,'Données projet'!$E$10+1,1))</f>
        <v>391.61151255507264</v>
      </c>
      <c r="AO61" s="59">
        <f t="shared" si="36"/>
        <v>365.61278905364281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60.779881914040722</v>
      </c>
      <c r="AV61" s="21">
        <f>EXP(-LN(2)/25)*AV60+(1-EXP(-LN(2)/25))/(LN(2)/25)*Calculateur!AQ61*Calculateur!AS61*VLOOKUP('Données projet'!$B$10,Paramètres!$A$1:$I$89,3,0)*0.475*44/12</f>
        <v>18.608991068667322</v>
      </c>
      <c r="AW61" s="21">
        <f>EXP(-LN(2)/2)*AW60+(1-EXP(-LN(2)/2))/(LN(2)/2)*AQ61*AT61*VLOOKUP('Données projet'!$B$10,Paramètres!$A$1:$I$89,3,0)*0.475*44/12</f>
        <v>4.8003197313552368</v>
      </c>
      <c r="AX61" s="21">
        <f t="shared" si="6"/>
        <v>84.189192714063282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9.8857142857142879</v>
      </c>
      <c r="BD61" s="12">
        <f>IF('Données projet'!$A$88&gt;35,BD60+BC61-BL60,IF(A61&lt;'Données projet'!$A$88,$BA$205^A61,IF(A61='Données projet'!$A$88,'Données projet'!$B$88,BD60+BC61-BL60)))</f>
        <v>193.01428571428573</v>
      </c>
      <c r="BE61" s="13">
        <f>BD61*VLOOKUP('Données projet'!$B$11,Paramètres!$A$1:$I$89,3,0)*VLOOKUP('Données projet'!$B$11,Paramètres!$A$1:$I$89,5,0)</f>
        <v>183.67239428571432</v>
      </c>
      <c r="BF61" s="13">
        <f t="shared" si="37"/>
        <v>46.138263363052765</v>
      </c>
      <c r="BG61" s="20">
        <f t="shared" si="7"/>
        <v>400.25356207160263</v>
      </c>
      <c r="BH61" s="59">
        <f t="shared" si="8"/>
        <v>660.36667267029111</v>
      </c>
      <c r="BI61" s="59">
        <f ca="1">AVERAGE(OFFSET($BH$3,0,0,'Données projet'!$E$11+1,1))-AVERAGE(OFFSET($H$3,0,0,'Données projet'!$E$11+1,1))</f>
        <v>486.36809102684492</v>
      </c>
      <c r="BJ61" s="59">
        <f t="shared" si="38"/>
        <v>308.42890859885006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4.458490401538528</v>
      </c>
      <c r="BQ61" s="21">
        <f>EXP(-LN(2)/25)*BQ60+(1-EXP(-LN(2)/25))/(LN(2)/25)*Calculateur!BL61*Calculateur!BN61*VLOOKUP('Données projet'!$B$11,Paramètres!$A$1:$I$89,3,0)*0.475*44/12</f>
        <v>12.142625036846285</v>
      </c>
      <c r="BR61" s="21">
        <f>EXP(-LN(2)/2)*BR60+(1-EXP(-LN(2)/2))/(LN(2)/2)*BL61*BO61*VLOOKUP('Données projet'!$B$11,Paramètres!$A$1:$I$89,3,0)*0.475*44/12</f>
        <v>1.364892557348673</v>
      </c>
      <c r="BS61" s="22">
        <f t="shared" si="9"/>
        <v>17.966007995733484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6.8212102632969618E-13</v>
      </c>
      <c r="O62" s="13">
        <f>N62*VLOOKUP('Données projet'!$B$9,Paramètres!$A$1:$I$89,3,0)*VLOOKUP('Données projet'!$B$9,Paramètres!$A$1:$I$89,5,0)</f>
        <v>3.8130565371830017E-13</v>
      </c>
      <c r="P62" s="13">
        <f t="shared" si="33"/>
        <v>4.9019074112354236E-12</v>
      </c>
      <c r="Q62" s="20">
        <f t="shared" si="53"/>
        <v>9.2015960881277352E-12</v>
      </c>
      <c r="R62" s="59">
        <f t="shared" si="0"/>
        <v>260.68940719385199</v>
      </c>
      <c r="S62" s="59">
        <f ca="1">AVERAGE(OFFSET($R$3,0,0,'Données projet'!$E$9+1,1))-AVERAGE(OFFSET($H$3,0,0,'Données projet'!$E$9+1,1))</f>
        <v>418.8940806978344</v>
      </c>
      <c r="T62" s="59">
        <f t="shared" si="34"/>
        <v>553.49616487922378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223.46445894748712</v>
      </c>
      <c r="AA62" s="21">
        <f>EXP(-LN(2)/25)*AA61+(1-EXP(-LN(2)/25))/(LN(2)/25)*Calculateur!V62*Calculateur!X62*VLOOKUP('Données projet'!$B$9,Paramètres!$A$1:$I$89,3,0)*0.475*44/12</f>
        <v>73.992397922800237</v>
      </c>
      <c r="AB62" s="21">
        <f>EXP(-LN(2)/2)*AB61+(1-EXP(-LN(2)/2))/(LN(2)/2)*V62*Y62*VLOOKUP('Données projet'!$B$9,Paramètres!$A$1:$I$89,3,0)*0.475*44/12</f>
        <v>16.176186782253517</v>
      </c>
      <c r="AC62" s="22">
        <f t="shared" si="3"/>
        <v>313.63304365254089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16.771428571428569</v>
      </c>
      <c r="AI62" s="13">
        <f>IF('Données projet'!$A$62&gt;35,AI61+AH62-AQ61,IF(A62&lt;'Données projet'!$A$62,$AF$205^A62,IF(A62='Données projet'!$A$62,'Données projet'!$B$62,AI61+AH62-AQ61)))</f>
        <v>354.31428571428523</v>
      </c>
      <c r="AJ62" s="13">
        <f>AI62*VLOOKUP('Données projet'!$B$10,Paramètres!$A$1:$I$89,3,0)*VLOOKUP('Données projet'!$B$10,Paramètres!$A$1:$I$89,5,0)</f>
        <v>165.81908571428548</v>
      </c>
      <c r="AK62" s="13">
        <f t="shared" si="35"/>
        <v>42.152285143405173</v>
      </c>
      <c r="AL62" s="20">
        <f t="shared" si="4"/>
        <v>362.21680424381128</v>
      </c>
      <c r="AM62" s="59">
        <f t="shared" si="5"/>
        <v>622.90621143765406</v>
      </c>
      <c r="AN62" s="59">
        <f ca="1">AVERAGE(OFFSET($AM$3,0,0,'Données projet'!$E$10+1,1))-AVERAGE(OFFSET($H$3,0,0,'Données projet'!$E$10+1,1))</f>
        <v>391.61151255507264</v>
      </c>
      <c r="AO62" s="59">
        <f t="shared" si="36"/>
        <v>365.61278905364281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59.588025501773785</v>
      </c>
      <c r="AV62" s="21">
        <f>EXP(-LN(2)/25)*AV61+(1-EXP(-LN(2)/25))/(LN(2)/25)*Calculateur!AQ62*Calculateur!AS62*VLOOKUP('Données projet'!$B$10,Paramètres!$A$1:$I$89,3,0)*0.475*44/12</f>
        <v>18.100127229290305</v>
      </c>
      <c r="AW62" s="21">
        <f>EXP(-LN(2)/2)*AW61+(1-EXP(-LN(2)/2))/(LN(2)/2)*AQ62*AT62*VLOOKUP('Données projet'!$B$10,Paramètres!$A$1:$I$89,3,0)*0.475*44/12</f>
        <v>3.3943386339048742</v>
      </c>
      <c r="AX62" s="21">
        <f t="shared" si="6"/>
        <v>81.082491364968973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202.9</v>
      </c>
      <c r="BB62" s="12">
        <f>VLOOKUP(A62,'Données projet'!$A$87:$I$107,9,0)</f>
        <v>9.8857142857142879</v>
      </c>
      <c r="BC62" s="12">
        <f t="array" ref="BC62">INDEX(BB:BB,MIN(IF(ISNUMBER(BB62:BB258),ROW(BB62:BB258),"")))</f>
        <v>9.8857142857142879</v>
      </c>
      <c r="BD62" s="12">
        <f>IF('Données projet'!$A$88&gt;35,BD61+BC62-BL61,IF(A62&lt;'Données projet'!$A$88,$BA$205^A62,IF(A62='Données projet'!$A$88,'Données projet'!$B$88,BD61+BC62-BL61)))</f>
        <v>202.90000000000003</v>
      </c>
      <c r="BE62" s="13">
        <f>BD62*VLOOKUP('Données projet'!$B$11,Paramètres!$A$1:$I$89,3,0)*VLOOKUP('Données projet'!$B$11,Paramètres!$A$1:$I$89,5,0)</f>
        <v>193.07964000000004</v>
      </c>
      <c r="BF62" s="13">
        <f t="shared" si="37"/>
        <v>48.22017908259425</v>
      </c>
      <c r="BG62" s="20">
        <f t="shared" si="7"/>
        <v>420.26385156885175</v>
      </c>
      <c r="BH62" s="59">
        <f t="shared" si="8"/>
        <v>680.95325876269453</v>
      </c>
      <c r="BI62" s="59">
        <f ca="1">AVERAGE(OFFSET($BH$3,0,0,'Données projet'!$E$11+1,1))-AVERAGE(OFFSET($H$3,0,0,'Données projet'!$E$11+1,1))</f>
        <v>486.36809102684492</v>
      </c>
      <c r="BJ62" s="59">
        <f t="shared" si="38"/>
        <v>308.42890859885006</v>
      </c>
      <c r="BK62" s="15">
        <f>IF(ISNA(VLOOKUP(A62,'Données projet'!$A$87:$I$107,3,0)),0,VLOOKUP(A62,'Données projet'!$A$87:$I$107,3,0))</f>
        <v>4</v>
      </c>
      <c r="BL62" s="15">
        <f>IF(ISNA(VLOOKUP(A62,'Données projet'!$A$87:$I$107,4,0)),0,VLOOKUP(A62,'Données projet'!$A$87:$I$107,4,0))</f>
        <v>41.8</v>
      </c>
      <c r="BM62" s="16">
        <f>IF(ISNA(VLOOKUP(A62,'Données projet'!$A$87:$I$107,5,0)),0%,VLOOKUP(A62,'Données projet'!$A$87:$I$107,5,0)*VLOOKUP('Données projet'!$B$11,Paramètres!$A$1:$I$89,7,0))</f>
        <v>0.1075</v>
      </c>
      <c r="BN62" s="16">
        <f>IF(ISNA(VLOOKUP(A62,'Données projet'!$A$87:$I$107,6,0)),0%,VLOOKUP(A62,'Données projet'!$A$87:$I$107,6,0)*VLOOKUP('Données projet'!$B$11,Paramètres!$A$1:$I$89,7,0))</f>
        <v>0.1075</v>
      </c>
      <c r="BO62" s="16">
        <f>IF(ISNA(VLOOKUP(A62,'Données projet'!$A$87:$I$107,7,0)),0%,VLOOKUP(A62,'Données projet'!$A$87:$I$107,7,0))</f>
        <v>0.25</v>
      </c>
      <c r="BP62" s="21">
        <f>EXP(-LN(2)/35)*BP61+(1-EXP(-LN(2)/35))/(LN(2)/35)*BL62*BM62*VLOOKUP('Données projet'!$B$11,Paramètres!$A$1:$I$89,3,0)*0.475*44/12</f>
        <v>9.0980696069254172</v>
      </c>
      <c r="BQ62" s="21">
        <f>EXP(-LN(2)/25)*BQ61+(1-EXP(-LN(2)/25))/(LN(2)/25)*Calculateur!BL62*Calculateur!BN62*VLOOKUP('Données projet'!$B$11,Paramètres!$A$1:$I$89,3,0)*0.475*44/12</f>
        <v>16.518979769820614</v>
      </c>
      <c r="BR62" s="21">
        <f>EXP(-LN(2)/2)*BR61+(1-EXP(-LN(2)/2))/(LN(2)/2)*BL62*BO62*VLOOKUP('Données projet'!$B$11,Paramètres!$A$1:$I$89,3,0)*0.475*44/12</f>
        <v>10.347763997649487</v>
      </c>
      <c r="BS62" s="22">
        <f t="shared" si="9"/>
        <v>35.964813374395519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6.8212102632969618E-13</v>
      </c>
      <c r="O63" s="13">
        <f>N63*VLOOKUP('Données projet'!$B$9,Paramètres!$A$1:$I$89,3,0)*VLOOKUP('Données projet'!$B$9,Paramètres!$A$1:$I$89,5,0)</f>
        <v>3.8130565371830017E-13</v>
      </c>
      <c r="P63" s="13">
        <f t="shared" si="33"/>
        <v>4.9019074112354236E-12</v>
      </c>
      <c r="Q63" s="20">
        <f t="shared" si="53"/>
        <v>9.2015960881277352E-12</v>
      </c>
      <c r="R63" s="59">
        <f t="shared" si="0"/>
        <v>261.25570633148669</v>
      </c>
      <c r="S63" s="59">
        <f ca="1">AVERAGE(OFFSET($R$3,0,0,'Données projet'!$E$9+1,1))-AVERAGE(OFFSET($H$3,0,0,'Données projet'!$E$9+1,1))</f>
        <v>418.8940806978344</v>
      </c>
      <c r="T63" s="59">
        <f t="shared" si="34"/>
        <v>553.49616487922378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219.08245720738836</v>
      </c>
      <c r="AA63" s="21">
        <f>EXP(-LN(2)/25)*AA62+(1-EXP(-LN(2)/25))/(LN(2)/25)*Calculateur!V63*Calculateur!X63*VLOOKUP('Données projet'!$B$9,Paramètres!$A$1:$I$89,3,0)*0.475*44/12</f>
        <v>71.969071910510166</v>
      </c>
      <c r="AB63" s="21">
        <f>EXP(-LN(2)/2)*AB62+(1-EXP(-LN(2)/2))/(LN(2)/2)*V63*Y63*VLOOKUP('Données projet'!$B$9,Paramètres!$A$1:$I$89,3,0)*0.475*44/12</f>
        <v>11.43829136747166</v>
      </c>
      <c r="AC63" s="22">
        <f t="shared" si="3"/>
        <v>302.48982048537022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16.771428571428569</v>
      </c>
      <c r="AI63" s="13">
        <f>IF('Données projet'!$A$62&gt;35,AI62+AH63-AQ62,IF(A63&lt;'Données projet'!$A$62,$AF$205^A63,IF(A63='Données projet'!$A$62,'Données projet'!$B$62,AI62+AH63-AQ62)))</f>
        <v>371.08571428571378</v>
      </c>
      <c r="AJ63" s="13">
        <f>AI63*VLOOKUP('Données projet'!$B$10,Paramètres!$A$1:$I$89,3,0)*VLOOKUP('Données projet'!$B$10,Paramètres!$A$1:$I$89,5,0)</f>
        <v>173.66811428571404</v>
      </c>
      <c r="AK63" s="13">
        <f t="shared" si="35"/>
        <v>43.910535677786527</v>
      </c>
      <c r="AL63" s="20">
        <f t="shared" si="4"/>
        <v>378.94948201976348</v>
      </c>
      <c r="AM63" s="59">
        <f t="shared" si="5"/>
        <v>640.20518835124096</v>
      </c>
      <c r="AN63" s="59">
        <f ca="1">AVERAGE(OFFSET($AM$3,0,0,'Données projet'!$E$10+1,1))-AVERAGE(OFFSET($H$3,0,0,'Données projet'!$E$10+1,1))</f>
        <v>391.61151255507264</v>
      </c>
      <c r="AO63" s="59">
        <f t="shared" si="36"/>
        <v>365.61278905364281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58.419540666790773</v>
      </c>
      <c r="AV63" s="21">
        <f>EXP(-LN(2)/25)*AV62+(1-EXP(-LN(2)/25))/(LN(2)/25)*Calculateur!AQ63*Calculateur!AS63*VLOOKUP('Données projet'!$B$10,Paramètres!$A$1:$I$89,3,0)*0.475*44/12</f>
        <v>17.605178298361039</v>
      </c>
      <c r="AW63" s="21">
        <f>EXP(-LN(2)/2)*AW62+(1-EXP(-LN(2)/2))/(LN(2)/2)*AQ63*AT63*VLOOKUP('Données projet'!$B$10,Paramètres!$A$1:$I$89,3,0)*0.475*44/12</f>
        <v>2.4001598656776189</v>
      </c>
      <c r="AX63" s="21">
        <f t="shared" si="6"/>
        <v>78.424878830829428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9.7499999999999964</v>
      </c>
      <c r="BD63" s="12">
        <f>IF('Données projet'!$A$88&gt;35,BD62+BC63-BL62,IF(A63&lt;'Données projet'!$A$88,$BA$205^A63,IF(A63='Données projet'!$A$88,'Données projet'!$B$88,BD62+BC63-BL62)))</f>
        <v>170.85000000000002</v>
      </c>
      <c r="BE63" s="13">
        <f>BD63*VLOOKUP('Données projet'!$B$11,Paramètres!$A$1:$I$89,3,0)*VLOOKUP('Données projet'!$B$11,Paramètres!$A$1:$I$89,5,0)</f>
        <v>162.58086</v>
      </c>
      <c r="BF63" s="13">
        <f t="shared" si="37"/>
        <v>41.424092349055968</v>
      </c>
      <c r="BG63" s="20">
        <f t="shared" si="7"/>
        <v>355.30862534127249</v>
      </c>
      <c r="BH63" s="59">
        <f t="shared" si="8"/>
        <v>616.56433167274997</v>
      </c>
      <c r="BI63" s="59">
        <f ca="1">AVERAGE(OFFSET($BH$3,0,0,'Données projet'!$E$11+1,1))-AVERAGE(OFFSET($H$3,0,0,'Données projet'!$E$11+1,1))</f>
        <v>486.36809102684492</v>
      </c>
      <c r="BJ63" s="59">
        <f t="shared" si="38"/>
        <v>308.42890859885006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8.9196620112081249</v>
      </c>
      <c r="BQ63" s="21">
        <f>EXP(-LN(2)/25)*BQ62+(1-EXP(-LN(2)/25))/(LN(2)/25)*Calculateur!BL63*Calculateur!BN63*VLOOKUP('Données projet'!$B$11,Paramètres!$A$1:$I$89,3,0)*0.475*44/12</f>
        <v>16.067267399319476</v>
      </c>
      <c r="BR63" s="21">
        <f>EXP(-LN(2)/2)*BR62+(1-EXP(-LN(2)/2))/(LN(2)/2)*BL63*BO63*VLOOKUP('Données projet'!$B$11,Paramètres!$A$1:$I$89,3,0)*0.475*44/12</f>
        <v>7.316974092855971</v>
      </c>
      <c r="BS63" s="22">
        <f t="shared" si="9"/>
        <v>32.303903503383573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6.8212102632969618E-13</v>
      </c>
      <c r="O64" s="13">
        <f>N64*VLOOKUP('Données projet'!$B$9,Paramètres!$A$1:$I$89,3,0)*VLOOKUP('Données projet'!$B$9,Paramètres!$A$1:$I$89,5,0)</f>
        <v>3.8130565371830017E-13</v>
      </c>
      <c r="P64" s="13">
        <f t="shared" si="33"/>
        <v>4.9019074112354236E-12</v>
      </c>
      <c r="Q64" s="20">
        <f t="shared" si="53"/>
        <v>9.2015960881277352E-12</v>
      </c>
      <c r="R64" s="59">
        <f t="shared" si="0"/>
        <v>261.81218144513855</v>
      </c>
      <c r="S64" s="59">
        <f ca="1">AVERAGE(OFFSET($R$3,0,0,'Données projet'!$E$9+1,1))-AVERAGE(OFFSET($H$3,0,0,'Données projet'!$E$9+1,1))</f>
        <v>418.8940806978344</v>
      </c>
      <c r="T64" s="59">
        <f t="shared" si="34"/>
        <v>553.49616487922378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214.78638384865579</v>
      </c>
      <c r="AA64" s="21">
        <f>EXP(-LN(2)/25)*AA63+(1-EXP(-LN(2)/25))/(LN(2)/25)*Calculateur!V64*Calculateur!X64*VLOOKUP('Données projet'!$B$9,Paramètres!$A$1:$I$89,3,0)*0.475*44/12</f>
        <v>70.001073854428256</v>
      </c>
      <c r="AB64" s="21">
        <f>EXP(-LN(2)/2)*AB63+(1-EXP(-LN(2)/2))/(LN(2)/2)*V64*Y64*VLOOKUP('Données projet'!$B$9,Paramètres!$A$1:$I$89,3,0)*0.475*44/12</f>
        <v>8.0880933911267583</v>
      </c>
      <c r="AC64" s="22">
        <f t="shared" si="3"/>
        <v>292.87555109421078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16.771428571428569</v>
      </c>
      <c r="AI64" s="13">
        <f>IF('Données projet'!$A$62&gt;35,AI63+AH64-AQ63,IF(A64&lt;'Données projet'!$A$62,$AF$205^A64,IF(A64='Données projet'!$A$62,'Données projet'!$B$62,AI63+AH64-AQ63)))</f>
        <v>387.85714285714232</v>
      </c>
      <c r="AJ64" s="13">
        <f>AI64*VLOOKUP('Données projet'!$B$10,Paramètres!$A$1:$I$89,3,0)*VLOOKUP('Données projet'!$B$10,Paramètres!$A$1:$I$89,5,0)</f>
        <v>181.5171428571426</v>
      </c>
      <c r="AK64" s="13">
        <f t="shared" si="35"/>
        <v>45.659557441575963</v>
      </c>
      <c r="AL64" s="20">
        <f t="shared" si="4"/>
        <v>395.66608635360149</v>
      </c>
      <c r="AM64" s="59">
        <f t="shared" si="5"/>
        <v>657.47826779873083</v>
      </c>
      <c r="AN64" s="59">
        <f ca="1">AVERAGE(OFFSET($AM$3,0,0,'Données projet'!$E$10+1,1))-AVERAGE(OFFSET($H$3,0,0,'Données projet'!$E$10+1,1))</f>
        <v>391.61151255507264</v>
      </c>
      <c r="AO64" s="59">
        <f t="shared" si="36"/>
        <v>365.61278905364281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57.273969106716407</v>
      </c>
      <c r="AV64" s="21">
        <f>EXP(-LN(2)/25)*AV63+(1-EXP(-LN(2)/25))/(LN(2)/25)*Calculateur!AQ64*Calculateur!AS64*VLOOKUP('Données projet'!$B$10,Paramètres!$A$1:$I$89,3,0)*0.475*44/12</f>
        <v>17.123763771976268</v>
      </c>
      <c r="AW64" s="21">
        <f>EXP(-LN(2)/2)*AW63+(1-EXP(-LN(2)/2))/(LN(2)/2)*AQ64*AT64*VLOOKUP('Données projet'!$B$10,Paramètres!$A$1:$I$89,3,0)*0.475*44/12</f>
        <v>1.6971693169524376</v>
      </c>
      <c r="AX64" s="21">
        <f t="shared" si="6"/>
        <v>76.094902195645119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9.7499999999999964</v>
      </c>
      <c r="BD64" s="12">
        <f>IF('Données projet'!$A$88&gt;35,BD63+BC64-BL63,IF(A64&lt;'Données projet'!$A$88,$BA$205^A64,IF(A64='Données projet'!$A$88,'Données projet'!$B$88,BD63+BC64-BL63)))</f>
        <v>180.60000000000002</v>
      </c>
      <c r="BE64" s="13">
        <f>BD64*VLOOKUP('Données projet'!$B$11,Paramètres!$A$1:$I$89,3,0)*VLOOKUP('Données projet'!$B$11,Paramètres!$A$1:$I$89,5,0)</f>
        <v>171.85896000000002</v>
      </c>
      <c r="BF64" s="13">
        <f t="shared" si="37"/>
        <v>43.506104887264392</v>
      </c>
      <c r="BG64" s="20">
        <f t="shared" si="7"/>
        <v>375.09415467865216</v>
      </c>
      <c r="BH64" s="59">
        <f t="shared" si="8"/>
        <v>636.90633612378156</v>
      </c>
      <c r="BI64" s="59">
        <f ca="1">AVERAGE(OFFSET($BH$3,0,0,'Données projet'!$E$11+1,1))-AVERAGE(OFFSET($H$3,0,0,'Données projet'!$E$11+1,1))</f>
        <v>486.36809102684492</v>
      </c>
      <c r="BJ64" s="59">
        <f t="shared" si="38"/>
        <v>308.42890859885006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8.7447528796249596</v>
      </c>
      <c r="BQ64" s="21">
        <f>EXP(-LN(2)/25)*BQ63+(1-EXP(-LN(2)/25))/(LN(2)/25)*Calculateur!BL64*Calculateur!BN64*VLOOKUP('Données projet'!$B$11,Paramètres!$A$1:$I$89,3,0)*0.475*44/12</f>
        <v>15.627907127344216</v>
      </c>
      <c r="BR64" s="21">
        <f>EXP(-LN(2)/2)*BR63+(1-EXP(-LN(2)/2))/(LN(2)/2)*BL64*BO64*VLOOKUP('Données projet'!$B$11,Paramètres!$A$1:$I$89,3,0)*0.475*44/12</f>
        <v>5.1738819988247444</v>
      </c>
      <c r="BS64" s="22">
        <f t="shared" si="9"/>
        <v>29.546542005793921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6.8212102632969618E-13</v>
      </c>
      <c r="O65" s="13">
        <f>N65*VLOOKUP('Données projet'!$B$9,Paramètres!$A$1:$I$89,3,0)*VLOOKUP('Données projet'!$B$9,Paramètres!$A$1:$I$89,5,0)</f>
        <v>3.8130565371830017E-13</v>
      </c>
      <c r="P65" s="13">
        <f t="shared" si="33"/>
        <v>4.9019074112354236E-12</v>
      </c>
      <c r="Q65" s="20">
        <f t="shared" si="53"/>
        <v>9.2015960881277352E-12</v>
      </c>
      <c r="R65" s="59">
        <f t="shared" si="0"/>
        <v>262.35900295966053</v>
      </c>
      <c r="S65" s="59">
        <f ca="1">AVERAGE(OFFSET($R$3,0,0,'Données projet'!$E$9+1,1))-AVERAGE(OFFSET($H$3,0,0,'Données projet'!$E$9+1,1))</f>
        <v>418.8940806978344</v>
      </c>
      <c r="T65" s="59">
        <f t="shared" si="34"/>
        <v>553.49616487922378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210.57455386814195</v>
      </c>
      <c r="AA65" s="21">
        <f>EXP(-LN(2)/25)*AA64+(1-EXP(-LN(2)/25))/(LN(2)/25)*Calculateur!V65*Calculateur!X65*VLOOKUP('Données projet'!$B$9,Paramètres!$A$1:$I$89,3,0)*0.475*44/12</f>
        <v>68.086890808682426</v>
      </c>
      <c r="AB65" s="21">
        <f>EXP(-LN(2)/2)*AB64+(1-EXP(-LN(2)/2))/(LN(2)/2)*V65*Y65*VLOOKUP('Données projet'!$B$9,Paramètres!$A$1:$I$89,3,0)*0.475*44/12</f>
        <v>5.7191456837358299</v>
      </c>
      <c r="AC65" s="22">
        <f t="shared" si="3"/>
        <v>284.38059036056018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16.771428571428569</v>
      </c>
      <c r="AI65" s="13">
        <f>IF('Données projet'!$A$62&gt;35,AI64+AH65-AQ64,IF(A65&lt;'Données projet'!$A$62,$AF$205^A65,IF(A65='Données projet'!$A$62,'Données projet'!$B$62,AI64+AH65-AQ64)))</f>
        <v>404.62857142857087</v>
      </c>
      <c r="AJ65" s="13">
        <f>AI65*VLOOKUP('Données projet'!$B$10,Paramètres!$A$1:$I$89,3,0)*VLOOKUP('Données projet'!$B$10,Paramètres!$A$1:$I$89,5,0)</f>
        <v>189.36617142857114</v>
      </c>
      <c r="AK65" s="13">
        <f t="shared" si="35"/>
        <v>47.399795112910134</v>
      </c>
      <c r="AL65" s="20">
        <f t="shared" si="4"/>
        <v>412.36739172641319</v>
      </c>
      <c r="AM65" s="59">
        <f t="shared" si="5"/>
        <v>674.72639468606451</v>
      </c>
      <c r="AN65" s="59">
        <f ca="1">AVERAGE(OFFSET($AM$3,0,0,'Données projet'!$E$10+1,1))-AVERAGE(OFFSET($H$3,0,0,'Données projet'!$E$10+1,1))</f>
        <v>391.61151255507264</v>
      </c>
      <c r="AO65" s="59">
        <f t="shared" si="36"/>
        <v>365.61278905364281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56.150861506205437</v>
      </c>
      <c r="AV65" s="21">
        <f>EXP(-LN(2)/25)*AV64+(1-EXP(-LN(2)/25))/(LN(2)/25)*Calculateur!AQ65*Calculateur!AS65*VLOOKUP('Données projet'!$B$10,Paramètres!$A$1:$I$89,3,0)*0.475*44/12</f>
        <v>16.655513551131978</v>
      </c>
      <c r="AW65" s="21">
        <f>EXP(-LN(2)/2)*AW64+(1-EXP(-LN(2)/2))/(LN(2)/2)*AQ65*AT65*VLOOKUP('Données projet'!$B$10,Paramètres!$A$1:$I$89,3,0)*0.475*44/12</f>
        <v>1.2000799328388096</v>
      </c>
      <c r="AX65" s="21">
        <f t="shared" si="6"/>
        <v>74.006454990176223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9.7499999999999964</v>
      </c>
      <c r="BD65" s="12">
        <f>IF('Données projet'!$A$88&gt;35,BD64+BC65-BL64,IF(A65&lt;'Données projet'!$A$88,$BA$205^A65,IF(A65='Données projet'!$A$88,'Données projet'!$B$88,BD64+BC65-BL64)))</f>
        <v>190.35000000000002</v>
      </c>
      <c r="BE65" s="13">
        <f>BD65*VLOOKUP('Données projet'!$B$11,Paramètres!$A$1:$I$89,3,0)*VLOOKUP('Données projet'!$B$11,Paramètres!$A$1:$I$89,5,0)</f>
        <v>181.13706000000002</v>
      </c>
      <c r="BF65" s="13">
        <f t="shared" si="37"/>
        <v>45.575068279313648</v>
      </c>
      <c r="BG65" s="20">
        <f t="shared" si="7"/>
        <v>394.85695675313792</v>
      </c>
      <c r="BH65" s="59">
        <f t="shared" si="8"/>
        <v>657.2159597127893</v>
      </c>
      <c r="BI65" s="59">
        <f ca="1">AVERAGE(OFFSET($BH$3,0,0,'Données projet'!$E$11+1,1))-AVERAGE(OFFSET($H$3,0,0,'Données projet'!$E$11+1,1))</f>
        <v>486.36809102684492</v>
      </c>
      <c r="BJ65" s="59">
        <f t="shared" si="38"/>
        <v>308.42890859885006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8.5732736094281048</v>
      </c>
      <c r="BQ65" s="21">
        <f>EXP(-LN(2)/25)*BQ64+(1-EXP(-LN(2)/25))/(LN(2)/25)*Calculateur!BL65*Calculateur!BN65*VLOOKUP('Données projet'!$B$11,Paramètres!$A$1:$I$89,3,0)*0.475*44/12</f>
        <v>15.20056118511107</v>
      </c>
      <c r="BR65" s="21">
        <f>EXP(-LN(2)/2)*BR64+(1-EXP(-LN(2)/2))/(LN(2)/2)*BL65*BO65*VLOOKUP('Données projet'!$B$11,Paramètres!$A$1:$I$89,3,0)*0.475*44/12</f>
        <v>3.6584870464279859</v>
      </c>
      <c r="BS65" s="22">
        <f t="shared" si="9"/>
        <v>27.432321840967163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6.8212102632969618E-13</v>
      </c>
      <c r="O66" s="13">
        <f>N66*VLOOKUP('Données projet'!$B$9,Paramètres!$A$1:$I$89,3,0)*VLOOKUP('Données projet'!$B$9,Paramètres!$A$1:$I$89,5,0)</f>
        <v>3.8130565371830017E-13</v>
      </c>
      <c r="P66" s="13">
        <f t="shared" si="33"/>
        <v>4.9019074112354236E-12</v>
      </c>
      <c r="Q66" s="20">
        <f t="shared" si="53"/>
        <v>9.2015960881277352E-12</v>
      </c>
      <c r="R66" s="59">
        <f t="shared" si="0"/>
        <v>262.89633834341532</v>
      </c>
      <c r="S66" s="59">
        <f ca="1">AVERAGE(OFFSET($R$3,0,0,'Données projet'!$E$9+1,1))-AVERAGE(OFFSET($H$3,0,0,'Données projet'!$E$9+1,1))</f>
        <v>418.8940806978344</v>
      </c>
      <c r="T66" s="59">
        <f t="shared" si="34"/>
        <v>553.49616487922378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206.44531530458337</v>
      </c>
      <c r="AA66" s="21">
        <f>EXP(-LN(2)/25)*AA65+(1-EXP(-LN(2)/25))/(LN(2)/25)*Calculateur!V66*Calculateur!X66*VLOOKUP('Données projet'!$B$9,Paramètres!$A$1:$I$89,3,0)*0.475*44/12</f>
        <v>66.225051198985028</v>
      </c>
      <c r="AB66" s="21">
        <f>EXP(-LN(2)/2)*AB65+(1-EXP(-LN(2)/2))/(LN(2)/2)*V66*Y66*VLOOKUP('Données projet'!$B$9,Paramètres!$A$1:$I$89,3,0)*0.475*44/12</f>
        <v>4.0440466955633791</v>
      </c>
      <c r="AC66" s="22">
        <f t="shared" si="3"/>
        <v>276.7144131991318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421.4</v>
      </c>
      <c r="AG66" s="12">
        <f>VLOOKUP(A66,'Données projet'!$A$61:$I$81,9,0)</f>
        <v>16.771428571428569</v>
      </c>
      <c r="AH66" s="12">
        <f t="array" ref="AH66">INDEX(AG:AG,MIN(IF(ISNUMBER(AG66:AG262),ROW(AG66:AG262),"")))</f>
        <v>16.771428571428569</v>
      </c>
      <c r="AI66" s="13">
        <f>IF('Données projet'!$A$62&gt;35,AI65+AH66-AQ65,IF(A66&lt;'Données projet'!$A$62,$AF$205^A66,IF(A66='Données projet'!$A$62,'Données projet'!$B$62,AI65+AH66-AQ65)))</f>
        <v>421.39999999999941</v>
      </c>
      <c r="AJ66" s="13">
        <f>AI66*VLOOKUP('Données projet'!$B$10,Paramètres!$A$1:$I$89,3,0)*VLOOKUP('Données projet'!$B$10,Paramètres!$A$1:$I$89,5,0)</f>
        <v>197.21519999999973</v>
      </c>
      <c r="AK66" s="13">
        <f t="shared" si="35"/>
        <v>49.131654421367571</v>
      </c>
      <c r="AL66" s="20">
        <f t="shared" si="4"/>
        <v>429.05410478388143</v>
      </c>
      <c r="AM66" s="59">
        <f t="shared" si="5"/>
        <v>691.9504431272876</v>
      </c>
      <c r="AN66" s="59">
        <f ca="1">AVERAGE(OFFSET($AM$3,0,0,'Données projet'!$E$10+1,1))-AVERAGE(OFFSET($H$3,0,0,'Données projet'!$E$10+1,1))</f>
        <v>391.61151255507264</v>
      </c>
      <c r="AO66" s="59">
        <f t="shared" si="36"/>
        <v>365.61278905364281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79.900000000000006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71.419259059109294</v>
      </c>
      <c r="AV66" s="21">
        <f>EXP(-LN(2)/25)*AV65+(1-EXP(-LN(2)/25))/(LN(2)/25)*Calculateur!AQ66*Calculateur!AS66*VLOOKUP('Données projet'!$B$10,Paramètres!$A$1:$I$89,3,0)*0.475*44/12</f>
        <v>21.635077261097113</v>
      </c>
      <c r="AW66" s="21">
        <f>EXP(-LN(2)/2)*AW65+(1-EXP(-LN(2)/2))/(LN(2)/2)*AQ66*AT66*VLOOKUP('Données projet'!$B$10,Paramètres!$A$1:$I$89,3,0)*0.475*44/12</f>
        <v>9.3161424080495472</v>
      </c>
      <c r="AX66" s="21">
        <f t="shared" si="6"/>
        <v>102.37047872825595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9.7499999999999964</v>
      </c>
      <c r="BD66" s="12">
        <f>IF('Données projet'!$A$88&gt;35,BD65+BC66-BL65,IF(A66&lt;'Données projet'!$A$88,$BA$205^A66,IF(A66='Données projet'!$A$88,'Données projet'!$B$88,BD65+BC66-BL65)))</f>
        <v>200.10000000000002</v>
      </c>
      <c r="BE66" s="13">
        <f>BD66*VLOOKUP('Données projet'!$B$11,Paramètres!$A$1:$I$89,3,0)*VLOOKUP('Données projet'!$B$11,Paramètres!$A$1:$I$89,5,0)</f>
        <v>190.41516000000001</v>
      </c>
      <c r="BF66" s="13">
        <f t="shared" si="37"/>
        <v>47.631727169748729</v>
      </c>
      <c r="BG66" s="20">
        <f t="shared" si="7"/>
        <v>414.59832848731236</v>
      </c>
      <c r="BH66" s="59">
        <f t="shared" si="8"/>
        <v>677.49466683071842</v>
      </c>
      <c r="BI66" s="59">
        <f ca="1">AVERAGE(OFFSET($BH$3,0,0,'Données projet'!$E$11+1,1))-AVERAGE(OFFSET($H$3,0,0,'Données projet'!$E$11+1,1))</f>
        <v>486.36809102684492</v>
      </c>
      <c r="BJ66" s="59">
        <f t="shared" si="38"/>
        <v>308.42890859885006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8.4051569431277819</v>
      </c>
      <c r="BQ66" s="21">
        <f>EXP(-LN(2)/25)*BQ65+(1-EXP(-LN(2)/25))/(LN(2)/25)*Calculateur!BL66*Calculateur!BN66*VLOOKUP('Données projet'!$B$11,Paramètres!$A$1:$I$89,3,0)*0.475*44/12</f>
        <v>14.784901040141436</v>
      </c>
      <c r="BR66" s="21">
        <f>EXP(-LN(2)/2)*BR65+(1-EXP(-LN(2)/2))/(LN(2)/2)*BL66*BO66*VLOOKUP('Données projet'!$B$11,Paramètres!$A$1:$I$89,3,0)*0.475*44/12</f>
        <v>2.5869409994123727</v>
      </c>
      <c r="BS66" s="22">
        <f t="shared" si="9"/>
        <v>25.776998982681594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6.8212102632969618E-13</v>
      </c>
      <c r="O67" s="13">
        <f>N67*VLOOKUP('Données projet'!$B$9,Paramètres!$A$1:$I$89,3,0)*VLOOKUP('Données projet'!$B$9,Paramètres!$A$1:$I$89,5,0)</f>
        <v>3.8130565371830017E-13</v>
      </c>
      <c r="P67" s="13">
        <f t="shared" si="33"/>
        <v>4.9019074112354236E-12</v>
      </c>
      <c r="Q67" s="20">
        <f t="shared" ref="Q67:Q98" si="54">(O67+P67)*0.475*44/12</f>
        <v>9.2015960881277352E-12</v>
      </c>
      <c r="R67" s="59">
        <f t="shared" ref="R67:R130" si="55">Q67+(I67+J67)*44/12</f>
        <v>263.42435215956397</v>
      </c>
      <c r="S67" s="59">
        <f ca="1">AVERAGE(OFFSET($R$3,0,0,'Données projet'!$E$9+1,1))-AVERAGE(OFFSET($H$3,0,0,'Données projet'!$E$9+1,1))</f>
        <v>418.8940806978344</v>
      </c>
      <c r="T67" s="59">
        <f t="shared" si="34"/>
        <v>553.49616487922378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202.39704859066933</v>
      </c>
      <c r="AA67" s="21">
        <f>EXP(-LN(2)/25)*AA66+(1-EXP(-LN(2)/25))/(LN(2)/25)*Calculateur!V67*Calculateur!X67*VLOOKUP('Données projet'!$B$9,Paramètres!$A$1:$I$89,3,0)*0.475*44/12</f>
        <v>64.414123691324704</v>
      </c>
      <c r="AB67" s="21">
        <f>EXP(-LN(2)/2)*AB66+(1-EXP(-LN(2)/2))/(LN(2)/2)*V67*Y67*VLOOKUP('Données projet'!$B$9,Paramètres!$A$1:$I$89,3,0)*0.475*44/12</f>
        <v>2.8595728418679149</v>
      </c>
      <c r="AC67" s="22">
        <f t="shared" si="3"/>
        <v>269.67074512386193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16.237499999999997</v>
      </c>
      <c r="AI67" s="13">
        <f>IF('Données projet'!$A$62&gt;35,AI66+AH67-AQ66,IF(A67&lt;'Données projet'!$A$62,$AF$205^A67,IF(A67='Données projet'!$A$62,'Données projet'!$B$62,AI66+AH67-AQ66)))</f>
        <v>357.73749999999939</v>
      </c>
      <c r="AJ67" s="13">
        <f>AI67*VLOOKUP('Données projet'!$B$10,Paramètres!$A$1:$I$89,3,0)*VLOOKUP('Données projet'!$B$10,Paramètres!$A$1:$I$89,5,0)</f>
        <v>167.42114999999973</v>
      </c>
      <c r="AK67" s="13">
        <f t="shared" si="35"/>
        <v>42.511934141433933</v>
      </c>
      <c r="AL67" s="20">
        <f t="shared" si="4"/>
        <v>365.63345487966359</v>
      </c>
      <c r="AM67" s="59">
        <f t="shared" si="5"/>
        <v>629.05780703921835</v>
      </c>
      <c r="AN67" s="59">
        <f ca="1">AVERAGE(OFFSET($AM$3,0,0,'Données projet'!$E$10+1,1))-AVERAGE(OFFSET($H$3,0,0,'Données projet'!$E$10+1,1))</f>
        <v>391.61151255507264</v>
      </c>
      <c r="AO67" s="59">
        <f t="shared" si="36"/>
        <v>365.61278905364281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70.018770950406847</v>
      </c>
      <c r="AV67" s="21">
        <f>EXP(-LN(2)/25)*AV66+(1-EXP(-LN(2)/25))/(LN(2)/25)*Calculateur!AQ67*Calculateur!AS67*VLOOKUP('Données projet'!$B$10,Paramètres!$A$1:$I$89,3,0)*0.475*44/12</f>
        <v>21.043464935653148</v>
      </c>
      <c r="AW67" s="21">
        <f>EXP(-LN(2)/2)*AW66+(1-EXP(-LN(2)/2))/(LN(2)/2)*AQ67*AT67*VLOOKUP('Données projet'!$B$10,Paramètres!$A$1:$I$89,3,0)*0.475*44/12</f>
        <v>6.5875074712314072</v>
      </c>
      <c r="AX67" s="21">
        <f t="shared" si="6"/>
        <v>97.649743357291399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9.7499999999999964</v>
      </c>
      <c r="BD67" s="12">
        <f>IF('Données projet'!$A$88&gt;35,BD66+BC67-BL66,IF(A67&lt;'Données projet'!$A$88,$BA$205^A67,IF(A67='Données projet'!$A$88,'Données projet'!$B$88,BD66+BC67-BL66)))</f>
        <v>209.85000000000002</v>
      </c>
      <c r="BE67" s="13">
        <f>BD67*VLOOKUP('Données projet'!$B$11,Paramètres!$A$1:$I$89,3,0)*VLOOKUP('Données projet'!$B$11,Paramètres!$A$1:$I$89,5,0)</f>
        <v>199.69326000000001</v>
      </c>
      <c r="BF67" s="13">
        <f t="shared" si="37"/>
        <v>49.676749536741909</v>
      </c>
      <c r="BG67" s="20">
        <f t="shared" si="7"/>
        <v>434.31943327649213</v>
      </c>
      <c r="BH67" s="59">
        <f t="shared" si="8"/>
        <v>697.74378543604689</v>
      </c>
      <c r="BI67" s="59">
        <f ca="1">AVERAGE(OFFSET($BH$3,0,0,'Données projet'!$E$11+1,1))-AVERAGE(OFFSET($H$3,0,0,'Données projet'!$E$11+1,1))</f>
        <v>486.36809102684492</v>
      </c>
      <c r="BJ67" s="59">
        <f t="shared" si="38"/>
        <v>308.42890859885006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8.2403369421125685</v>
      </c>
      <c r="BQ67" s="21">
        <f>EXP(-LN(2)/25)*BQ66+(1-EXP(-LN(2)/25))/(LN(2)/25)*Calculateur!BL67*Calculateur!BN67*VLOOKUP('Données projet'!$B$11,Paramètres!$A$1:$I$89,3,0)*0.475*44/12</f>
        <v>14.380607143694615</v>
      </c>
      <c r="BR67" s="21">
        <f>EXP(-LN(2)/2)*BR66+(1-EXP(-LN(2)/2))/(LN(2)/2)*BL67*BO67*VLOOKUP('Données projet'!$B$11,Paramètres!$A$1:$I$89,3,0)*0.475*44/12</f>
        <v>1.8292435232139932</v>
      </c>
      <c r="BS67" s="22">
        <f t="shared" si="9"/>
        <v>24.450187609021174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6.8212102632969618E-13</v>
      </c>
      <c r="O68" s="13">
        <f>N68*VLOOKUP('Données projet'!$B$9,Paramètres!$A$1:$I$89,3,0)*VLOOKUP('Données projet'!$B$9,Paramètres!$A$1:$I$89,5,0)</f>
        <v>3.8130565371830017E-13</v>
      </c>
      <c r="P68" s="13">
        <f t="shared" si="33"/>
        <v>4.9019074112354236E-12</v>
      </c>
      <c r="Q68" s="20">
        <f t="shared" si="54"/>
        <v>9.2015960881277352E-12</v>
      </c>
      <c r="R68" s="59">
        <f t="shared" si="55"/>
        <v>263.94320611646441</v>
      </c>
      <c r="S68" s="59">
        <f ca="1">AVERAGE(OFFSET($R$3,0,0,'Données projet'!$E$9+1,1))-AVERAGE(OFFSET($H$3,0,0,'Données projet'!$E$9+1,1))</f>
        <v>418.8940806978344</v>
      </c>
      <c r="T68" s="59">
        <f t="shared" si="34"/>
        <v>553.49616487922378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198.42816591781627</v>
      </c>
      <c r="AA68" s="21">
        <f>EXP(-LN(2)/25)*AA67+(1-EXP(-LN(2)/25))/(LN(2)/25)*Calculateur!V68*Calculateur!X68*VLOOKUP('Données projet'!$B$9,Paramètres!$A$1:$I$89,3,0)*0.475*44/12</f>
        <v>62.652716091593888</v>
      </c>
      <c r="AB68" s="21">
        <f>EXP(-LN(2)/2)*AB67+(1-EXP(-LN(2)/2))/(LN(2)/2)*V68*Y68*VLOOKUP('Données projet'!$B$9,Paramètres!$A$1:$I$89,3,0)*0.475*44/12</f>
        <v>2.0220233477816896</v>
      </c>
      <c r="AC68" s="22">
        <f t="shared" ref="AC68:AC131" si="57">SUM(Z68:AB68)</f>
        <v>263.10290535719184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16.237499999999997</v>
      </c>
      <c r="AI68" s="13">
        <f>IF('Données projet'!$A$62&gt;35,AI67+AH68-AQ67,IF(A68&lt;'Données projet'!$A$62,$AF$205^A68,IF(A68='Données projet'!$A$62,'Données projet'!$B$62,AI67+AH68-AQ67)))</f>
        <v>373.9749999999994</v>
      </c>
      <c r="AJ68" s="13">
        <f>AI68*VLOOKUP('Données projet'!$B$10,Paramètres!$A$1:$I$89,3,0)*VLOOKUP('Données projet'!$B$10,Paramètres!$A$1:$I$89,5,0)</f>
        <v>175.02029999999971</v>
      </c>
      <c r="AK68" s="13">
        <f t="shared" si="35"/>
        <v>44.212492204577195</v>
      </c>
      <c r="AL68" s="20">
        <f t="shared" ref="AL68:AL131" si="58">(AJ68+AK68)*0.475*44/12</f>
        <v>381.83044642297142</v>
      </c>
      <c r="AM68" s="59">
        <f t="shared" ref="AM68:AM131" si="59">AL68+(AD68+AE68)*44/12</f>
        <v>645.77365253942662</v>
      </c>
      <c r="AN68" s="59">
        <f ca="1">AVERAGE(OFFSET($AM$3,0,0,'Données projet'!$E$10+1,1))-AVERAGE(OFFSET($H$3,0,0,'Données projet'!$E$10+1,1))</f>
        <v>391.61151255507264</v>
      </c>
      <c r="AO68" s="59">
        <f t="shared" si="36"/>
        <v>365.61278905364281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68.645745559302654</v>
      </c>
      <c r="AV68" s="21">
        <f>EXP(-LN(2)/25)*AV67+(1-EXP(-LN(2)/25))/(LN(2)/25)*Calculateur!AQ68*Calculateur!AS68*VLOOKUP('Données projet'!$B$10,Paramètres!$A$1:$I$89,3,0)*0.475*44/12</f>
        <v>20.468030280359987</v>
      </c>
      <c r="AW68" s="21">
        <f>EXP(-LN(2)/2)*AW67+(1-EXP(-LN(2)/2))/(LN(2)/2)*AQ68*AT68*VLOOKUP('Données projet'!$B$10,Paramètres!$A$1:$I$89,3,0)*0.475*44/12</f>
        <v>4.6580712040247736</v>
      </c>
      <c r="AX68" s="21">
        <f t="shared" ref="AX68:AX131" si="60">SUM(AU68:AW68)</f>
        <v>93.771847043687416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9.7499999999999964</v>
      </c>
      <c r="BD68" s="12">
        <f>IF('Données projet'!$A$88&gt;35,BD67+BC68-BL67,IF(A68&lt;'Données projet'!$A$88,$BA$205^A68,IF(A68='Données projet'!$A$88,'Données projet'!$B$88,BD67+BC68-BL67)))</f>
        <v>219.60000000000002</v>
      </c>
      <c r="BE68" s="13">
        <f>BD68*VLOOKUP('Données projet'!$B$11,Paramètres!$A$1:$I$89,3,0)*VLOOKUP('Données projet'!$B$11,Paramètres!$A$1:$I$89,5,0)</f>
        <v>208.97136000000003</v>
      </c>
      <c r="BF68" s="13">
        <f t="shared" si="37"/>
        <v>51.710737779589067</v>
      </c>
      <c r="BG68" s="20">
        <f t="shared" ref="BG68:BG131" si="61">(BE68+BF68)*0.475*44/12</f>
        <v>454.02132029945096</v>
      </c>
      <c r="BH68" s="59">
        <f t="shared" ref="BH68:BH131" si="62">BG68+(AY68+AZ68)*44/12</f>
        <v>717.96452641590622</v>
      </c>
      <c r="BI68" s="59">
        <f ca="1">AVERAGE(OFFSET($BH$3,0,0,'Données projet'!$E$11+1,1))-AVERAGE(OFFSET($H$3,0,0,'Données projet'!$E$11+1,1))</f>
        <v>486.36809102684492</v>
      </c>
      <c r="BJ68" s="59">
        <f t="shared" si="38"/>
        <v>308.42890859885006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8.0787489607869887</v>
      </c>
      <c r="BQ68" s="21">
        <f>EXP(-LN(2)/25)*BQ67+(1-EXP(-LN(2)/25))/(LN(2)/25)*Calculateur!BL68*Calculateur!BN68*VLOOKUP('Données projet'!$B$11,Paramètres!$A$1:$I$89,3,0)*0.475*44/12</f>
        <v>13.987368685107024</v>
      </c>
      <c r="BR68" s="21">
        <f>EXP(-LN(2)/2)*BR67+(1-EXP(-LN(2)/2))/(LN(2)/2)*BL68*BO68*VLOOKUP('Données projet'!$B$11,Paramètres!$A$1:$I$89,3,0)*0.475*44/12</f>
        <v>1.2934704997061865</v>
      </c>
      <c r="BS68" s="22">
        <f t="shared" ref="BS68:BS131" si="63">SUM(BP68:BR68)</f>
        <v>23.359588145600195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6.8212102632969618E-13</v>
      </c>
      <c r="O69" s="13">
        <f>N69*VLOOKUP('Données projet'!$B$9,Paramètres!$A$1:$I$89,3,0)*VLOOKUP('Données projet'!$B$9,Paramètres!$A$1:$I$89,5,0)</f>
        <v>3.8130565371830017E-13</v>
      </c>
      <c r="P69" s="13">
        <f t="shared" ref="P69:P132" si="87">EXP(-1.0587+0.8836*LN(O69)+0.284)</f>
        <v>4.9019074112354236E-12</v>
      </c>
      <c r="Q69" s="20">
        <f t="shared" si="54"/>
        <v>9.2015960881277352E-12</v>
      </c>
      <c r="R69" s="59">
        <f t="shared" si="55"/>
        <v>264.45305911719629</v>
      </c>
      <c r="S69" s="59">
        <f ca="1">AVERAGE(OFFSET($R$3,0,0,'Données projet'!$E$9+1,1))-AVERAGE(OFFSET($H$3,0,0,'Données projet'!$E$9+1,1))</f>
        <v>418.8940806978344</v>
      </c>
      <c r="T69" s="59">
        <f t="shared" ref="T69:T132" si="88">$T$3</f>
        <v>553.49616487922378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194.53711061339845</v>
      </c>
      <c r="AA69" s="21">
        <f>EXP(-LN(2)/25)*AA68+(1-EXP(-LN(2)/25))/(LN(2)/25)*Calculateur!V69*Calculateur!X69*VLOOKUP('Données projet'!$B$9,Paramètres!$A$1:$I$89,3,0)*0.475*44/12</f>
        <v>60.939474275306111</v>
      </c>
      <c r="AB69" s="21">
        <f>EXP(-LN(2)/2)*AB68+(1-EXP(-LN(2)/2))/(LN(2)/2)*V69*Y69*VLOOKUP('Données projet'!$B$9,Paramètres!$A$1:$I$89,3,0)*0.475*44/12</f>
        <v>1.4297864209339575</v>
      </c>
      <c r="AC69" s="22">
        <f t="shared" si="57"/>
        <v>256.90637130963853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16.237499999999997</v>
      </c>
      <c r="AI69" s="13">
        <f>IF('Données projet'!$A$62&gt;35,AI68+AH69-AQ68,IF(A69&lt;'Données projet'!$A$62,$AF$205^A69,IF(A69='Données projet'!$A$62,'Données projet'!$B$62,AI68+AH69-AQ68)))</f>
        <v>390.21249999999941</v>
      </c>
      <c r="AJ69" s="13">
        <f>AI69*VLOOKUP('Données projet'!$B$10,Paramètres!$A$1:$I$89,3,0)*VLOOKUP('Données projet'!$B$10,Paramètres!$A$1:$I$89,5,0)</f>
        <v>182.61944999999974</v>
      </c>
      <c r="AK69" s="13">
        <f t="shared" ref="AK69:AK132" si="89">EXP(-1.0587+0.8836*LN(AJ69)+0.284)</f>
        <v>45.904474595488807</v>
      </c>
      <c r="AL69" s="20">
        <f t="shared" si="58"/>
        <v>398.01250200380923</v>
      </c>
      <c r="AM69" s="59">
        <f t="shared" si="59"/>
        <v>662.46556112099631</v>
      </c>
      <c r="AN69" s="59">
        <f ca="1">AVERAGE(OFFSET($AM$3,0,0,'Données projet'!$E$10+1,1))-AVERAGE(OFFSET($H$3,0,0,'Données projet'!$E$10+1,1))</f>
        <v>391.61151255507264</v>
      </c>
      <c r="AO69" s="59">
        <f t="shared" ref="AO69:AO132" si="90">$AO$3</f>
        <v>365.61278905364281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67.299644358655229</v>
      </c>
      <c r="AV69" s="21">
        <f>EXP(-LN(2)/25)*AV68+(1-EXP(-LN(2)/25))/(LN(2)/25)*Calculateur!AQ69*Calculateur!AS69*VLOOKUP('Données projet'!$B$10,Paramètres!$A$1:$I$89,3,0)*0.475*44/12</f>
        <v>19.90833091597661</v>
      </c>
      <c r="AW69" s="21">
        <f>EXP(-LN(2)/2)*AW68+(1-EXP(-LN(2)/2))/(LN(2)/2)*AQ69*AT69*VLOOKUP('Données projet'!$B$10,Paramètres!$A$1:$I$89,3,0)*0.475*44/12</f>
        <v>3.2937537356157036</v>
      </c>
      <c r="AX69" s="21">
        <f t="shared" si="60"/>
        <v>90.501729010247544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9.7499999999999964</v>
      </c>
      <c r="BD69" s="12">
        <f>IF('Données projet'!$A$88&gt;35,BD68+BC69-BL68,IF(A69&lt;'Données projet'!$A$88,$BA$205^A69,IF(A69='Données projet'!$A$88,'Données projet'!$B$88,BD68+BC69-BL68)))</f>
        <v>229.35000000000002</v>
      </c>
      <c r="BE69" s="13">
        <f>BD69*VLOOKUP('Données projet'!$B$11,Paramètres!$A$1:$I$89,3,0)*VLOOKUP('Données projet'!$B$11,Paramètres!$A$1:$I$89,5,0)</f>
        <v>218.24946000000003</v>
      </c>
      <c r="BF69" s="13">
        <f t="shared" ref="BF69:BF132" si="91">EXP(-1.0587+0.8836*LN(BE69)+0.284)</f>
        <v>53.734237781508547</v>
      </c>
      <c r="BG69" s="20">
        <f t="shared" si="61"/>
        <v>473.70494030279406</v>
      </c>
      <c r="BH69" s="59">
        <f t="shared" si="62"/>
        <v>738.15799941998114</v>
      </c>
      <c r="BI69" s="59">
        <f ca="1">AVERAGE(OFFSET($BH$3,0,0,'Données projet'!$E$11+1,1))-AVERAGE(OFFSET($H$3,0,0,'Données projet'!$E$11+1,1))</f>
        <v>486.36809102684492</v>
      </c>
      <c r="BJ69" s="59">
        <f t="shared" ref="BJ69:BJ132" si="92">$BJ$3</f>
        <v>308.42890859885006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7.9203296212162666</v>
      </c>
      <c r="BQ69" s="21">
        <f>EXP(-LN(2)/25)*BQ68+(1-EXP(-LN(2)/25))/(LN(2)/25)*Calculateur!BL69*Calculateur!BN69*VLOOKUP('Données projet'!$B$11,Paramètres!$A$1:$I$89,3,0)*0.475*44/12</f>
        <v>13.604883352849022</v>
      </c>
      <c r="BR69" s="21">
        <f>EXP(-LN(2)/2)*BR68+(1-EXP(-LN(2)/2))/(LN(2)/2)*BL69*BO69*VLOOKUP('Données projet'!$B$11,Paramètres!$A$1:$I$89,3,0)*0.475*44/12</f>
        <v>0.91462176160699682</v>
      </c>
      <c r="BS69" s="22">
        <f t="shared" si="63"/>
        <v>22.439834735672289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6.8212102632969618E-13</v>
      </c>
      <c r="O70" s="13">
        <f>N70*VLOOKUP('Données projet'!$B$9,Paramètres!$A$1:$I$89,3,0)*VLOOKUP('Données projet'!$B$9,Paramètres!$A$1:$I$89,5,0)</f>
        <v>3.8130565371830017E-13</v>
      </c>
      <c r="P70" s="13">
        <f t="shared" si="87"/>
        <v>4.9019074112354236E-12</v>
      </c>
      <c r="Q70" s="20">
        <f t="shared" si="54"/>
        <v>9.2015960881277352E-12</v>
      </c>
      <c r="R70" s="59">
        <f t="shared" si="55"/>
        <v>264.95406730822612</v>
      </c>
      <c r="S70" s="59">
        <f ca="1">AVERAGE(OFFSET($R$3,0,0,'Données projet'!$E$9+1,1))-AVERAGE(OFFSET($H$3,0,0,'Données projet'!$E$9+1,1))</f>
        <v>418.8940806978344</v>
      </c>
      <c r="T70" s="59">
        <f t="shared" si="88"/>
        <v>553.49616487922378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190.72235653019089</v>
      </c>
      <c r="AA70" s="21">
        <f>EXP(-LN(2)/25)*AA69+(1-EXP(-LN(2)/25))/(LN(2)/25)*Calculateur!V70*Calculateur!X70*VLOOKUP('Données projet'!$B$9,Paramètres!$A$1:$I$89,3,0)*0.475*44/12</f>
        <v>59.273081146580189</v>
      </c>
      <c r="AB70" s="21">
        <f>EXP(-LN(2)/2)*AB69+(1-EXP(-LN(2)/2))/(LN(2)/2)*V70*Y70*VLOOKUP('Données projet'!$B$9,Paramètres!$A$1:$I$89,3,0)*0.475*44/12</f>
        <v>1.0110116738908448</v>
      </c>
      <c r="AC70" s="22">
        <f t="shared" si="57"/>
        <v>251.00644935066191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16.237499999999997</v>
      </c>
      <c r="AI70" s="13">
        <f>IF('Données projet'!$A$62&gt;35,AI69+AH70-AQ69,IF(A70&lt;'Données projet'!$A$62,$AF$205^A70,IF(A70='Données projet'!$A$62,'Données projet'!$B$62,AI69+AH70-AQ69)))</f>
        <v>406.44999999999942</v>
      </c>
      <c r="AJ70" s="13">
        <f>AI70*VLOOKUP('Données projet'!$B$10,Paramètres!$A$1:$I$89,3,0)*VLOOKUP('Données projet'!$B$10,Paramètres!$A$1:$I$89,5,0)</f>
        <v>190.21859999999973</v>
      </c>
      <c r="AK70" s="13">
        <f t="shared" si="89"/>
        <v>47.588278972718889</v>
      </c>
      <c r="AL70" s="20">
        <f t="shared" si="58"/>
        <v>414.18031421081827</v>
      </c>
      <c r="AM70" s="59">
        <f t="shared" si="59"/>
        <v>679.13438151903517</v>
      </c>
      <c r="AN70" s="59">
        <f ca="1">AVERAGE(OFFSET($AM$3,0,0,'Données projet'!$E$10+1,1))-AVERAGE(OFFSET($H$3,0,0,'Données projet'!$E$10+1,1))</f>
        <v>391.61151255507264</v>
      </c>
      <c r="AO70" s="59">
        <f t="shared" si="90"/>
        <v>365.61278905364281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65.979939381511826</v>
      </c>
      <c r="AV70" s="21">
        <f>EXP(-LN(2)/25)*AV69+(1-EXP(-LN(2)/25))/(LN(2)/25)*Calculateur!AQ70*Calculateur!AS70*VLOOKUP('Données projet'!$B$10,Paramètres!$A$1:$I$89,3,0)*0.475*44/12</f>
        <v>19.363936560145607</v>
      </c>
      <c r="AW70" s="21">
        <f>EXP(-LN(2)/2)*AW69+(1-EXP(-LN(2)/2))/(LN(2)/2)*AQ70*AT70*VLOOKUP('Données projet'!$B$10,Paramètres!$A$1:$I$89,3,0)*0.475*44/12</f>
        <v>2.3290356020123868</v>
      </c>
      <c r="AX70" s="21">
        <f t="shared" si="60"/>
        <v>87.672911543669812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239.1</v>
      </c>
      <c r="BB70" s="12">
        <f>VLOOKUP(A70,'Données projet'!$A$87:$I$107,9,0)</f>
        <v>9.7499999999999964</v>
      </c>
      <c r="BC70" s="12">
        <f t="array" ref="BC70">INDEX(BB:BB,MIN(IF(ISNUMBER(BB70:BB266),ROW(BB70:BB266),"")))</f>
        <v>9.7499999999999964</v>
      </c>
      <c r="BD70" s="12">
        <f>IF('Données projet'!$A$88&gt;35,BD69+BC70-BL69,IF(A70&lt;'Données projet'!$A$88,$BA$205^A70,IF(A70='Données projet'!$A$88,'Données projet'!$B$88,BD69+BC70-BL69)))</f>
        <v>239.10000000000002</v>
      </c>
      <c r="BE70" s="13">
        <f>BD70*VLOOKUP('Données projet'!$B$11,Paramètres!$A$1:$I$89,3,0)*VLOOKUP('Données projet'!$B$11,Paramètres!$A$1:$I$89,5,0)</f>
        <v>227.52755999999999</v>
      </c>
      <c r="BF70" s="13">
        <f t="shared" si="91"/>
        <v>55.747746387897841</v>
      </c>
      <c r="BG70" s="20">
        <f t="shared" si="61"/>
        <v>493.37115862558875</v>
      </c>
      <c r="BH70" s="59">
        <f t="shared" si="62"/>
        <v>758.32522593380565</v>
      </c>
      <c r="BI70" s="59">
        <f ca="1">AVERAGE(OFFSET($BH$3,0,0,'Données projet'!$E$11+1,1))-AVERAGE(OFFSET($H$3,0,0,'Données projet'!$E$11+1,1))</f>
        <v>486.36809102684492</v>
      </c>
      <c r="BJ70" s="59">
        <f t="shared" si="92"/>
        <v>308.42890859885006</v>
      </c>
      <c r="BK70" s="15">
        <f>IF(ISNA(VLOOKUP(A70,'Données projet'!$A$87:$I$107,3,0)),0,VLOOKUP(A70,'Données projet'!$A$87:$I$107,3,0))</f>
        <v>5</v>
      </c>
      <c r="BL70" s="15">
        <f>IF(ISNA(VLOOKUP(A70,'Données projet'!$A$87:$I$107,4,0)),0,VLOOKUP(A70,'Données projet'!$A$87:$I$107,4,0))</f>
        <v>42.6</v>
      </c>
      <c r="BM70" s="16">
        <f>IF(ISNA(VLOOKUP(A70,'Données projet'!$A$87:$I$107,5,0)),0%,VLOOKUP(A70,'Données projet'!$A$87:$I$107,5,0)*VLOOKUP('Données projet'!$B$11,Paramètres!$A$1:$I$89,7,0))</f>
        <v>0.1075</v>
      </c>
      <c r="BN70" s="16">
        <f>IF(ISNA(VLOOKUP(A70,'Données projet'!$A$87:$I$107,6,0)),0%,VLOOKUP(A70,'Données projet'!$A$87:$I$107,6,0)*VLOOKUP('Données projet'!$B$11,Paramètres!$A$1:$I$89,7,0))</f>
        <v>0.1075</v>
      </c>
      <c r="BO70" s="16">
        <f>IF(ISNA(VLOOKUP(A70,'Données projet'!$A$87:$I$107,7,0)),0%,VLOOKUP(A70,'Données projet'!$A$87:$I$107,7,0))</f>
        <v>0.25</v>
      </c>
      <c r="BP70" s="21">
        <f>EXP(-LN(2)/35)*BP69+(1-EXP(-LN(2)/35))/(LN(2)/35)*BL70*BM70*VLOOKUP('Données projet'!$B$11,Paramètres!$A$1:$I$89,3,0)*0.475*44/12</f>
        <v>12.582493313750774</v>
      </c>
      <c r="BQ70" s="21">
        <f>EXP(-LN(2)/25)*BQ69+(1-EXP(-LN(2)/25))/(LN(2)/25)*Calculateur!BL70*Calculateur!BN70*VLOOKUP('Données projet'!$B$11,Paramètres!$A$1:$I$89,3,0)*0.475*44/12</f>
        <v>18.031365386914857</v>
      </c>
      <c r="BR70" s="21">
        <f>EXP(-LN(2)/2)*BR69+(1-EXP(-LN(2)/2))/(LN(2)/2)*BL70*BO70*VLOOKUP('Données projet'!$B$11,Paramètres!$A$1:$I$89,3,0)*0.475*44/12</f>
        <v>10.208946506997982</v>
      </c>
      <c r="BS70" s="22">
        <f t="shared" si="63"/>
        <v>40.822805207663613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6.8212102632969618E-13</v>
      </c>
      <c r="O71" s="13">
        <f>N71*VLOOKUP('Données projet'!$B$9,Paramètres!$A$1:$I$89,3,0)*VLOOKUP('Données projet'!$B$9,Paramètres!$A$1:$I$89,5,0)</f>
        <v>3.8130565371830017E-13</v>
      </c>
      <c r="P71" s="13">
        <f t="shared" si="87"/>
        <v>4.9019074112354236E-12</v>
      </c>
      <c r="Q71" s="20">
        <f t="shared" si="54"/>
        <v>9.2015960881277352E-12</v>
      </c>
      <c r="R71" s="59">
        <f t="shared" si="55"/>
        <v>265.44638412722804</v>
      </c>
      <c r="S71" s="59">
        <f ca="1">AVERAGE(OFFSET($R$3,0,0,'Données projet'!$E$9+1,1))-AVERAGE(OFFSET($H$3,0,0,'Données projet'!$E$9+1,1))</f>
        <v>418.8940806978344</v>
      </c>
      <c r="T71" s="59">
        <f t="shared" si="88"/>
        <v>553.49616487922378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186.98240744778479</v>
      </c>
      <c r="AA71" s="21">
        <f>EXP(-LN(2)/25)*AA70+(1-EXP(-LN(2)/25))/(LN(2)/25)*Calculateur!V71*Calculateur!X71*VLOOKUP('Données projet'!$B$9,Paramètres!$A$1:$I$89,3,0)*0.475*44/12</f>
        <v>57.652255625591089</v>
      </c>
      <c r="AB71" s="21">
        <f>EXP(-LN(2)/2)*AB70+(1-EXP(-LN(2)/2))/(LN(2)/2)*V71*Y71*VLOOKUP('Données projet'!$B$9,Paramètres!$A$1:$I$89,3,0)*0.475*44/12</f>
        <v>0.71489321046697873</v>
      </c>
      <c r="AC71" s="22">
        <f t="shared" si="57"/>
        <v>245.34955628384287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16.237499999999997</v>
      </c>
      <c r="AI71" s="13">
        <f>IF('Données projet'!$A$62&gt;35,AI70+AH71-AQ70,IF(A71&lt;'Données projet'!$A$62,$AF$205^A71,IF(A71='Données projet'!$A$62,'Données projet'!$B$62,AI70+AH71-AQ70)))</f>
        <v>422.68749999999943</v>
      </c>
      <c r="AJ71" s="13">
        <f>AI71*VLOOKUP('Données projet'!$B$10,Paramètres!$A$1:$I$89,3,0)*VLOOKUP('Données projet'!$B$10,Paramètres!$A$1:$I$89,5,0)</f>
        <v>197.81774999999973</v>
      </c>
      <c r="AK71" s="13">
        <f t="shared" si="89"/>
        <v>49.264269423789905</v>
      </c>
      <c r="AL71" s="20">
        <f t="shared" si="58"/>
        <v>430.3345171631002</v>
      </c>
      <c r="AM71" s="59">
        <f t="shared" si="59"/>
        <v>695.78090129031898</v>
      </c>
      <c r="AN71" s="59">
        <f ca="1">AVERAGE(OFFSET($AM$3,0,0,'Données projet'!$E$10+1,1))-AVERAGE(OFFSET($H$3,0,0,'Données projet'!$E$10+1,1))</f>
        <v>391.61151255507264</v>
      </c>
      <c r="AO71" s="59">
        <f t="shared" si="90"/>
        <v>365.61278905364281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64.686113014029658</v>
      </c>
      <c r="AV71" s="21">
        <f>EXP(-LN(2)/25)*AV70+(1-EXP(-LN(2)/25))/(LN(2)/25)*Calculateur!AQ71*Calculateur!AS71*VLOOKUP('Données projet'!$B$10,Paramètres!$A$1:$I$89,3,0)*0.475*44/12</f>
        <v>18.834428696603258</v>
      </c>
      <c r="AW71" s="21">
        <f>EXP(-LN(2)/2)*AW70+(1-EXP(-LN(2)/2))/(LN(2)/2)*AQ71*AT71*VLOOKUP('Données projet'!$B$10,Paramètres!$A$1:$I$89,3,0)*0.475*44/12</f>
        <v>1.6468768678078518</v>
      </c>
      <c r="AX71" s="21">
        <f t="shared" si="60"/>
        <v>85.16741857844076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9.6625000000000014</v>
      </c>
      <c r="BD71" s="12">
        <f>IF('Données projet'!$A$88&gt;35,BD70+BC71-BL70,IF(A71&lt;'Données projet'!$A$88,$BA$205^A71,IF(A71='Données projet'!$A$88,'Données projet'!$B$88,BD70+BC71-BL70)))</f>
        <v>206.16250000000002</v>
      </c>
      <c r="BE71" s="13">
        <f>BD71*VLOOKUP('Données projet'!$B$11,Paramètres!$A$1:$I$89,3,0)*VLOOKUP('Données projet'!$B$11,Paramètres!$A$1:$I$89,5,0)</f>
        <v>196.18423500000003</v>
      </c>
      <c r="BF71" s="13">
        <f t="shared" si="91"/>
        <v>48.904640231884656</v>
      </c>
      <c r="BG71" s="20">
        <f t="shared" si="61"/>
        <v>426.86312436219913</v>
      </c>
      <c r="BH71" s="59">
        <f t="shared" si="62"/>
        <v>692.30950848941802</v>
      </c>
      <c r="BI71" s="59">
        <f ca="1">AVERAGE(OFFSET($BH$3,0,0,'Données projet'!$E$11+1,1))-AVERAGE(OFFSET($H$3,0,0,'Données projet'!$E$11+1,1))</f>
        <v>486.36809102684492</v>
      </c>
      <c r="BJ71" s="59">
        <f t="shared" si="92"/>
        <v>308.42890859885006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12.335758294431242</v>
      </c>
      <c r="BQ71" s="21">
        <f>EXP(-LN(2)/25)*BQ70+(1-EXP(-LN(2)/25))/(LN(2)/25)*Calculateur!BL71*Calculateur!BN71*VLOOKUP('Données projet'!$B$11,Paramètres!$A$1:$I$89,3,0)*0.475*44/12</f>
        <v>17.538296752181374</v>
      </c>
      <c r="BR71" s="21">
        <f>EXP(-LN(2)/2)*BR70+(1-EXP(-LN(2)/2))/(LN(2)/2)*BL71*BO71*VLOOKUP('Données projet'!$B$11,Paramètres!$A$1:$I$89,3,0)*0.475*44/12</f>
        <v>7.2188153038689915</v>
      </c>
      <c r="BS71" s="22">
        <f t="shared" si="63"/>
        <v>37.092870350481611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6.8212102632969618E-13</v>
      </c>
      <c r="O72" s="13">
        <f>N72*VLOOKUP('Données projet'!$B$9,Paramètres!$A$1:$I$89,3,0)*VLOOKUP('Données projet'!$B$9,Paramètres!$A$1:$I$89,5,0)</f>
        <v>3.8130565371830017E-13</v>
      </c>
      <c r="P72" s="13">
        <f t="shared" si="87"/>
        <v>4.9019074112354236E-12</v>
      </c>
      <c r="Q72" s="20">
        <f t="shared" si="54"/>
        <v>9.2015960881277352E-12</v>
      </c>
      <c r="R72" s="59">
        <f t="shared" si="55"/>
        <v>265.93016035007577</v>
      </c>
      <c r="S72" s="59">
        <f ca="1">AVERAGE(OFFSET($R$3,0,0,'Données projet'!$E$9+1,1))-AVERAGE(OFFSET($H$3,0,0,'Données projet'!$E$9+1,1))</f>
        <v>418.8940806978344</v>
      </c>
      <c r="T72" s="59">
        <f t="shared" si="88"/>
        <v>553.49616487922378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183.31579648574098</v>
      </c>
      <c r="AA72" s="21">
        <f>EXP(-LN(2)/25)*AA71+(1-EXP(-LN(2)/25))/(LN(2)/25)*Calculateur!V72*Calculateur!X72*VLOOKUP('Données projet'!$B$9,Paramètres!$A$1:$I$89,3,0)*0.475*44/12</f>
        <v>56.075751663708942</v>
      </c>
      <c r="AB72" s="21">
        <f>EXP(-LN(2)/2)*AB71+(1-EXP(-LN(2)/2))/(LN(2)/2)*V72*Y72*VLOOKUP('Données projet'!$B$9,Paramètres!$A$1:$I$89,3,0)*0.475*44/12</f>
        <v>0.50550583694542239</v>
      </c>
      <c r="AC72" s="22">
        <f t="shared" si="57"/>
        <v>239.89705398639535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16.237499999999997</v>
      </c>
      <c r="AI72" s="13">
        <f>IF('Données projet'!$A$62&gt;35,AI71+AH72-AQ71,IF(A72&lt;'Données projet'!$A$62,$AF$205^A72,IF(A72='Données projet'!$A$62,'Données projet'!$B$62,AI71+AH72-AQ71)))</f>
        <v>438.92499999999944</v>
      </c>
      <c r="AJ72" s="13">
        <f>AI72*VLOOKUP('Données projet'!$B$10,Paramètres!$A$1:$I$89,3,0)*VLOOKUP('Données projet'!$B$10,Paramètres!$A$1:$I$89,5,0)</f>
        <v>205.41689999999974</v>
      </c>
      <c r="AK72" s="13">
        <f t="shared" si="89"/>
        <v>50.93278047929077</v>
      </c>
      <c r="AL72" s="20">
        <f t="shared" si="58"/>
        <v>446.4756935014309</v>
      </c>
      <c r="AM72" s="59">
        <f t="shared" si="59"/>
        <v>712.40585385149745</v>
      </c>
      <c r="AN72" s="59">
        <f ca="1">AVERAGE(OFFSET($AM$3,0,0,'Données projet'!$E$10+1,1))-AVERAGE(OFFSET($H$3,0,0,'Données projet'!$E$10+1,1))</f>
        <v>391.61151255507264</v>
      </c>
      <c r="AO72" s="59">
        <f t="shared" si="90"/>
        <v>365.61278905364281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63.417657792457653</v>
      </c>
      <c r="AV72" s="21">
        <f>EXP(-LN(2)/25)*AV71+(1-EXP(-LN(2)/25))/(LN(2)/25)*Calculateur!AQ72*Calculateur!AS72*VLOOKUP('Données projet'!$B$10,Paramètres!$A$1:$I$89,3,0)*0.475*44/12</f>
        <v>18.319400253435084</v>
      </c>
      <c r="AW72" s="21">
        <f>EXP(-LN(2)/2)*AW71+(1-EXP(-LN(2)/2))/(LN(2)/2)*AQ72*AT72*VLOOKUP('Données projet'!$B$10,Paramètres!$A$1:$I$89,3,0)*0.475*44/12</f>
        <v>1.1645178010061934</v>
      </c>
      <c r="AX72" s="21">
        <f t="shared" si="60"/>
        <v>82.901575846898936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9.6625000000000014</v>
      </c>
      <c r="BD72" s="12">
        <f>IF('Données projet'!$A$88&gt;35,BD71+BC72-BL71,IF(A72&lt;'Données projet'!$A$88,$BA$205^A72,IF(A72='Données projet'!$A$88,'Données projet'!$B$88,BD71+BC72-BL71)))</f>
        <v>215.82500000000002</v>
      </c>
      <c r="BE72" s="13">
        <f>BD72*VLOOKUP('Données projet'!$B$11,Paramètres!$A$1:$I$89,3,0)*VLOOKUP('Données projet'!$B$11,Paramètres!$A$1:$I$89,5,0)</f>
        <v>205.37907000000004</v>
      </c>
      <c r="BF72" s="13">
        <f t="shared" si="91"/>
        <v>50.924492323263195</v>
      </c>
      <c r="BG72" s="20">
        <f t="shared" si="61"/>
        <v>446.39537104635014</v>
      </c>
      <c r="BH72" s="59">
        <f t="shared" si="62"/>
        <v>712.32553139641664</v>
      </c>
      <c r="BI72" s="59">
        <f ca="1">AVERAGE(OFFSET($BH$3,0,0,'Données projet'!$E$11+1,1))-AVERAGE(OFFSET($H$3,0,0,'Données projet'!$E$11+1,1))</f>
        <v>486.36809102684492</v>
      </c>
      <c r="BJ72" s="59">
        <f t="shared" si="92"/>
        <v>308.42890859885006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12.093861598347065</v>
      </c>
      <c r="BQ72" s="21">
        <f>EXP(-LN(2)/25)*BQ71+(1-EXP(-LN(2)/25))/(LN(2)/25)*Calculateur!BL72*Calculateur!BN72*VLOOKUP('Données projet'!$B$11,Paramètres!$A$1:$I$89,3,0)*0.475*44/12</f>
        <v>17.058711105194032</v>
      </c>
      <c r="BR72" s="21">
        <f>EXP(-LN(2)/2)*BR71+(1-EXP(-LN(2)/2))/(LN(2)/2)*BL72*BO72*VLOOKUP('Données projet'!$B$11,Paramètres!$A$1:$I$89,3,0)*0.475*44/12</f>
        <v>5.1044732534989921</v>
      </c>
      <c r="BS72" s="22">
        <f t="shared" si="63"/>
        <v>34.257045957040091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6.8212102632969618E-13</v>
      </c>
      <c r="O73" s="13">
        <f>N73*VLOOKUP('Données projet'!$B$9,Paramètres!$A$1:$I$89,3,0)*VLOOKUP('Données projet'!$B$9,Paramètres!$A$1:$I$89,5,0)</f>
        <v>3.8130565371830017E-13</v>
      </c>
      <c r="P73" s="13">
        <f t="shared" si="87"/>
        <v>4.9019074112354236E-12</v>
      </c>
      <c r="Q73" s="20">
        <f t="shared" si="54"/>
        <v>9.2015960881277352E-12</v>
      </c>
      <c r="R73" s="59">
        <f t="shared" si="55"/>
        <v>266.40554413701869</v>
      </c>
      <c r="S73" s="59">
        <f ca="1">AVERAGE(OFFSET($R$3,0,0,'Données projet'!$E$9+1,1))-AVERAGE(OFFSET($H$3,0,0,'Données projet'!$E$9+1,1))</f>
        <v>418.8940806978344</v>
      </c>
      <c r="T73" s="59">
        <f t="shared" si="88"/>
        <v>553.49616487922378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179.72108552825097</v>
      </c>
      <c r="AA73" s="21">
        <f>EXP(-LN(2)/25)*AA72+(1-EXP(-LN(2)/25))/(LN(2)/25)*Calculateur!V73*Calculateur!X73*VLOOKUP('Données projet'!$B$9,Paramètres!$A$1:$I$89,3,0)*0.475*44/12</f>
        <v>54.542357285569203</v>
      </c>
      <c r="AB73" s="21">
        <f>EXP(-LN(2)/2)*AB72+(1-EXP(-LN(2)/2))/(LN(2)/2)*V73*Y73*VLOOKUP('Données projet'!$B$9,Paramètres!$A$1:$I$89,3,0)*0.475*44/12</f>
        <v>0.35744660523348937</v>
      </c>
      <c r="AC73" s="22">
        <f t="shared" si="57"/>
        <v>234.62088941905367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16.237499999999997</v>
      </c>
      <c r="AI73" s="13">
        <f>IF('Données projet'!$A$62&gt;35,AI72+AH73-AQ72,IF(A73&lt;'Données projet'!$A$62,$AF$205^A73,IF(A73='Données projet'!$A$62,'Données projet'!$B$62,AI72+AH73-AQ72)))</f>
        <v>455.16249999999945</v>
      </c>
      <c r="AJ73" s="13">
        <f>AI73*VLOOKUP('Données projet'!$B$10,Paramètres!$A$1:$I$89,3,0)*VLOOKUP('Données projet'!$B$10,Paramètres!$A$1:$I$89,5,0)</f>
        <v>213.01604999999975</v>
      </c>
      <c r="AK73" s="13">
        <f t="shared" si="89"/>
        <v>52.594120516286971</v>
      </c>
      <c r="AL73" s="20">
        <f t="shared" si="58"/>
        <v>462.60438031586597</v>
      </c>
      <c r="AM73" s="59">
        <f t="shared" si="59"/>
        <v>729.00992445287545</v>
      </c>
      <c r="AN73" s="59">
        <f ca="1">AVERAGE(OFFSET($AM$3,0,0,'Données projet'!$E$10+1,1))-AVERAGE(OFFSET($H$3,0,0,'Données projet'!$E$10+1,1))</f>
        <v>391.61151255507264</v>
      </c>
      <c r="AO73" s="59">
        <f t="shared" si="90"/>
        <v>365.61278905364281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62.174076204099386</v>
      </c>
      <c r="AV73" s="21">
        <f>EXP(-LN(2)/25)*AV72+(1-EXP(-LN(2)/25))/(LN(2)/25)*Calculateur!AQ73*Calculateur!AS73*VLOOKUP('Données projet'!$B$10,Paramètres!$A$1:$I$89,3,0)*0.475*44/12</f>
        <v>17.818455290129513</v>
      </c>
      <c r="AW73" s="21">
        <f>EXP(-LN(2)/2)*AW72+(1-EXP(-LN(2)/2))/(LN(2)/2)*AQ73*AT73*VLOOKUP('Données projet'!$B$10,Paramètres!$A$1:$I$89,3,0)*0.475*44/12</f>
        <v>0.8234384339039259</v>
      </c>
      <c r="AX73" s="21">
        <f t="shared" si="60"/>
        <v>80.81596992813283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9.6625000000000014</v>
      </c>
      <c r="BD73" s="12">
        <f>IF('Données projet'!$A$88&gt;35,BD72+BC73-BL72,IF(A73&lt;'Données projet'!$A$88,$BA$205^A73,IF(A73='Données projet'!$A$88,'Données projet'!$B$88,BD72+BC73-BL72)))</f>
        <v>225.48750000000001</v>
      </c>
      <c r="BE73" s="13">
        <f>BD73*VLOOKUP('Données projet'!$B$11,Paramètres!$A$1:$I$89,3,0)*VLOOKUP('Données projet'!$B$11,Paramètres!$A$1:$I$89,5,0)</f>
        <v>214.57390500000002</v>
      </c>
      <c r="BF73" s="13">
        <f t="shared" si="91"/>
        <v>52.933842163057086</v>
      </c>
      <c r="BG73" s="20">
        <f t="shared" si="61"/>
        <v>465.90932630899107</v>
      </c>
      <c r="BH73" s="59">
        <f t="shared" si="62"/>
        <v>732.31487044600055</v>
      </c>
      <c r="BI73" s="59">
        <f ca="1">AVERAGE(OFFSET($BH$3,0,0,'Données projet'!$E$11+1,1))-AVERAGE(OFFSET($H$3,0,0,'Données projet'!$E$11+1,1))</f>
        <v>486.36809102684492</v>
      </c>
      <c r="BJ73" s="59">
        <f t="shared" si="92"/>
        <v>308.42890859885006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11.856708348930683</v>
      </c>
      <c r="BQ73" s="21">
        <f>EXP(-LN(2)/25)*BQ72+(1-EXP(-LN(2)/25))/(LN(2)/25)*Calculateur!BL73*Calculateur!BN73*VLOOKUP('Données projet'!$B$11,Paramètres!$A$1:$I$89,3,0)*0.475*44/12</f>
        <v>16.592239752943872</v>
      </c>
      <c r="BR73" s="21">
        <f>EXP(-LN(2)/2)*BR72+(1-EXP(-LN(2)/2))/(LN(2)/2)*BL73*BO73*VLOOKUP('Données projet'!$B$11,Paramètres!$A$1:$I$89,3,0)*0.475*44/12</f>
        <v>3.6094076519344962</v>
      </c>
      <c r="BS73" s="22">
        <f t="shared" si="63"/>
        <v>32.058355753809053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6.8212102632969618E-13</v>
      </c>
      <c r="O74" s="13">
        <f>N74*VLOOKUP('Données projet'!$B$9,Paramètres!$A$1:$I$89,3,0)*VLOOKUP('Données projet'!$B$9,Paramètres!$A$1:$I$89,5,0)</f>
        <v>3.8130565371830017E-13</v>
      </c>
      <c r="P74" s="13">
        <f t="shared" si="87"/>
        <v>4.9019074112354236E-12</v>
      </c>
      <c r="Q74" s="20">
        <f t="shared" si="54"/>
        <v>9.2015960881277352E-12</v>
      </c>
      <c r="R74" s="59">
        <f t="shared" si="55"/>
        <v>266.87268107805716</v>
      </c>
      <c r="S74" s="59">
        <f ca="1">AVERAGE(OFFSET($R$3,0,0,'Données projet'!$E$9+1,1))-AVERAGE(OFFSET($H$3,0,0,'Données projet'!$E$9+1,1))</f>
        <v>418.8940806978344</v>
      </c>
      <c r="T74" s="59">
        <f t="shared" si="88"/>
        <v>553.49616487922378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176.19686466008017</v>
      </c>
      <c r="AA74" s="21">
        <f>EXP(-LN(2)/25)*AA73+(1-EXP(-LN(2)/25))/(LN(2)/25)*Calculateur!V74*Calculateur!X74*VLOOKUP('Données projet'!$B$9,Paramètres!$A$1:$I$89,3,0)*0.475*44/12</f>
        <v>53.050893657337404</v>
      </c>
      <c r="AB74" s="21">
        <f>EXP(-LN(2)/2)*AB73+(1-EXP(-LN(2)/2))/(LN(2)/2)*V74*Y74*VLOOKUP('Données projet'!$B$9,Paramètres!$A$1:$I$89,3,0)*0.475*44/12</f>
        <v>0.2527529184727112</v>
      </c>
      <c r="AC74" s="22">
        <f t="shared" si="57"/>
        <v>229.50051123589029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471.4</v>
      </c>
      <c r="AG74" s="12">
        <f>VLOOKUP(A74,'Données projet'!$A$61:$I$81,9,0)</f>
        <v>16.237499999999997</v>
      </c>
      <c r="AH74" s="12">
        <f t="array" ref="AH74">INDEX(AG:AG,MIN(IF(ISNUMBER(AG74:AG270),ROW(AG74:AG270),"")))</f>
        <v>16.237499999999997</v>
      </c>
      <c r="AI74" s="13">
        <f>IF('Données projet'!$A$62&gt;35,AI73+AH74-AQ73,IF(A74&lt;'Données projet'!$A$62,$AF$205^A74,IF(A74='Données projet'!$A$62,'Données projet'!$B$62,AI73+AH74-AQ73)))</f>
        <v>471.39999999999947</v>
      </c>
      <c r="AJ74" s="13">
        <f>AI74*VLOOKUP('Données projet'!$B$10,Paramètres!$A$1:$I$89,3,0)*VLOOKUP('Données projet'!$B$10,Paramètres!$A$1:$I$89,5,0)</f>
        <v>220.61519999999976</v>
      </c>
      <c r="AK74" s="13">
        <f t="shared" si="89"/>
        <v>54.248574662429462</v>
      </c>
      <c r="AL74" s="20">
        <f t="shared" si="58"/>
        <v>478.72107420373089</v>
      </c>
      <c r="AM74" s="59">
        <f t="shared" si="59"/>
        <v>745.59375528177884</v>
      </c>
      <c r="AN74" s="59">
        <f ca="1">AVERAGE(OFFSET($AM$3,0,0,'Données projet'!$E$10+1,1))-AVERAGE(OFFSET($H$3,0,0,'Données projet'!$E$10+1,1))</f>
        <v>391.61151255507264</v>
      </c>
      <c r="AO74" s="59">
        <f t="shared" si="90"/>
        <v>365.61278905364281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91.7</v>
      </c>
      <c r="AR74" s="16">
        <f>IF(ISNA(VLOOKUP(A74,'Données projet'!$A$61:$I$81,5,0)),0%,VLOOKUP(A74,'Données projet'!$A$61:$I$81,5,0)*VLOOKUP('Données projet'!$B$10,Paramètres!$A$1:$I$89,7,0))</f>
        <v>0.33</v>
      </c>
      <c r="AS74" s="16">
        <f>IF(ISNA(VLOOKUP(A74,'Données projet'!$A$61:$I$81,6,0)),0%,VLOOKUP(A74,'Données projet'!$A$61:$I$81,6,0)*VLOOKUP('Données projet'!$B$10,Paramètres!$A$1:$I$89,7,0))</f>
        <v>0.11000000000000001</v>
      </c>
      <c r="AT74" s="16">
        <f>IF(ISNA(VLOOKUP(A74,'Données projet'!$A$61:$I$81,7,0)),0%,VLOOKUP(A74,'Données projet'!$A$61:$I$81,7,0))</f>
        <v>0.2</v>
      </c>
      <c r="AU74" s="21">
        <f>EXP(-LN(2)/35)*AU73+(1-EXP(-LN(2)/35))/(LN(2)/35)*AQ74*AR74*VLOOKUP('Données projet'!$B$10,Paramètres!$A$1:$I$89,3,0)*0.475*44/12</f>
        <v>79.74188264165312</v>
      </c>
      <c r="AV74" s="21">
        <f>EXP(-LN(2)/25)*AV73+(1-EXP(-LN(2)/25))/(LN(2)/25)*Calculateur!AQ74*Calculateur!AS74*VLOOKUP('Données projet'!$B$10,Paramètres!$A$1:$I$89,3,0)*0.475*44/12</f>
        <v>23.568885547723305</v>
      </c>
      <c r="AW74" s="21">
        <f>EXP(-LN(2)/2)*AW73+(1-EXP(-LN(2)/2))/(LN(2)/2)*AQ74*AT74*VLOOKUP('Données projet'!$B$10,Paramètres!$A$1:$I$89,3,0)*0.475*44/12</f>
        <v>10.300344578048456</v>
      </c>
      <c r="AX74" s="21">
        <f t="shared" si="60"/>
        <v>113.61111276742488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9.6625000000000014</v>
      </c>
      <c r="BD74" s="12">
        <f>IF('Données projet'!$A$88&gt;35,BD73+BC74-BL73,IF(A74&lt;'Données projet'!$A$88,$BA$205^A74,IF(A74='Données projet'!$A$88,'Données projet'!$B$88,BD73+BC74-BL73)))</f>
        <v>235.15</v>
      </c>
      <c r="BE74" s="13">
        <f>BD74*VLOOKUP('Données projet'!$B$11,Paramètres!$A$1:$I$89,3,0)*VLOOKUP('Données projet'!$B$11,Paramètres!$A$1:$I$89,5,0)</f>
        <v>223.76873999999998</v>
      </c>
      <c r="BF74" s="13">
        <f t="shared" si="91"/>
        <v>54.933191236263482</v>
      </c>
      <c r="BG74" s="20">
        <f t="shared" si="61"/>
        <v>485.40586356982561</v>
      </c>
      <c r="BH74" s="59">
        <f t="shared" si="62"/>
        <v>752.27854464787356</v>
      </c>
      <c r="BI74" s="59">
        <f ca="1">AVERAGE(OFFSET($BH$3,0,0,'Données projet'!$E$11+1,1))-AVERAGE(OFFSET($H$3,0,0,'Données projet'!$E$11+1,1))</f>
        <v>486.36809102684492</v>
      </c>
      <c r="BJ74" s="59">
        <f t="shared" si="92"/>
        <v>308.42890859885006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11.624205530086156</v>
      </c>
      <c r="BQ74" s="21">
        <f>EXP(-LN(2)/25)*BQ73+(1-EXP(-LN(2)/25))/(LN(2)/25)*Calculateur!BL74*Calculateur!BN74*VLOOKUP('Données projet'!$B$11,Paramètres!$A$1:$I$89,3,0)*0.475*44/12</f>
        <v>16.138524084351655</v>
      </c>
      <c r="BR74" s="21">
        <f>EXP(-LN(2)/2)*BR73+(1-EXP(-LN(2)/2))/(LN(2)/2)*BL74*BO74*VLOOKUP('Données projet'!$B$11,Paramètres!$A$1:$I$89,3,0)*0.475*44/12</f>
        <v>2.5522366267494965</v>
      </c>
      <c r="BS74" s="22">
        <f t="shared" si="63"/>
        <v>30.314966241187307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6.8212102632969618E-13</v>
      </c>
      <c r="O75" s="13">
        <f>N75*VLOOKUP('Données projet'!$B$9,Paramètres!$A$1:$I$89,3,0)*VLOOKUP('Données projet'!$B$9,Paramètres!$A$1:$I$89,5,0)</f>
        <v>3.8130565371830017E-13</v>
      </c>
      <c r="P75" s="13">
        <f t="shared" si="87"/>
        <v>4.9019074112354236E-12</v>
      </c>
      <c r="Q75" s="20">
        <f t="shared" si="54"/>
        <v>9.2015960881277352E-12</v>
      </c>
      <c r="R75" s="59">
        <f t="shared" si="55"/>
        <v>267.33171423753032</v>
      </c>
      <c r="S75" s="59">
        <f ca="1">AVERAGE(OFFSET($R$3,0,0,'Données projet'!$E$9+1,1))-AVERAGE(OFFSET($H$3,0,0,'Données projet'!$E$9+1,1))</f>
        <v>418.8940806978344</v>
      </c>
      <c r="T75" s="59">
        <f t="shared" si="88"/>
        <v>553.49616487922378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172.74175161357169</v>
      </c>
      <c r="AA75" s="21">
        <f>EXP(-LN(2)/25)*AA74+(1-EXP(-LN(2)/25))/(LN(2)/25)*Calculateur!V75*Calculateur!X75*VLOOKUP('Données projet'!$B$9,Paramètres!$A$1:$I$89,3,0)*0.475*44/12</f>
        <v>51.600214180452262</v>
      </c>
      <c r="AB75" s="21">
        <f>EXP(-LN(2)/2)*AB74+(1-EXP(-LN(2)/2))/(LN(2)/2)*V75*Y75*VLOOKUP('Données projet'!$B$9,Paramètres!$A$1:$I$89,3,0)*0.475*44/12</f>
        <v>0.17872330261674468</v>
      </c>
      <c r="AC75" s="22">
        <f t="shared" si="57"/>
        <v>224.52068909664069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15.287500000000001</v>
      </c>
      <c r="AI75" s="13">
        <f>IF('Données projet'!$A$62&gt;35,AI74+AH75-AQ74,IF(A75&lt;'Données projet'!$A$62,$AF$205^A75,IF(A75='Données projet'!$A$62,'Données projet'!$B$62,AI74+AH75-AQ74)))</f>
        <v>394.9874999999995</v>
      </c>
      <c r="AJ75" s="13">
        <f>AI75*VLOOKUP('Données projet'!$B$10,Paramètres!$A$1:$I$89,3,0)*VLOOKUP('Données projet'!$B$10,Paramètres!$A$1:$I$89,5,0)</f>
        <v>184.85414999999975</v>
      </c>
      <c r="AK75" s="13">
        <f t="shared" si="89"/>
        <v>46.40046687594139</v>
      </c>
      <c r="AL75" s="20">
        <f t="shared" si="58"/>
        <v>402.7684577255975</v>
      </c>
      <c r="AM75" s="59">
        <f t="shared" si="59"/>
        <v>670.10017196311856</v>
      </c>
      <c r="AN75" s="59">
        <f ca="1">AVERAGE(OFFSET($AM$3,0,0,'Données projet'!$E$10+1,1))-AVERAGE(OFFSET($H$3,0,0,'Données projet'!$E$10+1,1))</f>
        <v>391.61151255507264</v>
      </c>
      <c r="AO75" s="59">
        <f t="shared" si="90"/>
        <v>365.61278905364281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78.178192960796139</v>
      </c>
      <c r="AV75" s="21">
        <f>EXP(-LN(2)/25)*AV74+(1-EXP(-LN(2)/25))/(LN(2)/25)*Calculateur!AQ75*Calculateur!AS75*VLOOKUP('Données projet'!$B$10,Paramètres!$A$1:$I$89,3,0)*0.475*44/12</f>
        <v>22.924393132986989</v>
      </c>
      <c r="AW75" s="21">
        <f>EXP(-LN(2)/2)*AW74+(1-EXP(-LN(2)/2))/(LN(2)/2)*AQ75*AT75*VLOOKUP('Données projet'!$B$10,Paramètres!$A$1:$I$89,3,0)*0.475*44/12</f>
        <v>7.2834434996961512</v>
      </c>
      <c r="AX75" s="21">
        <f t="shared" si="60"/>
        <v>108.38602959347928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9.6625000000000014</v>
      </c>
      <c r="BD75" s="12">
        <f>IF('Données projet'!$A$88&gt;35,BD74+BC75-BL74,IF(A75&lt;'Données projet'!$A$88,$BA$205^A75,IF(A75='Données projet'!$A$88,'Données projet'!$B$88,BD74+BC75-BL74)))</f>
        <v>244.8125</v>
      </c>
      <c r="BE75" s="13">
        <f>BD75*VLOOKUP('Données projet'!$B$11,Paramètres!$A$1:$I$89,3,0)*VLOOKUP('Données projet'!$B$11,Paramètres!$A$1:$I$89,5,0)</f>
        <v>232.96357499999999</v>
      </c>
      <c r="BF75" s="13">
        <f t="shared" si="91"/>
        <v>56.922997483019692</v>
      </c>
      <c r="BG75" s="20">
        <f t="shared" si="61"/>
        <v>504.88578040792589</v>
      </c>
      <c r="BH75" s="59">
        <f t="shared" si="62"/>
        <v>772.217494645447</v>
      </c>
      <c r="BI75" s="59">
        <f ca="1">AVERAGE(OFFSET($BH$3,0,0,'Données projet'!$E$11+1,1))-AVERAGE(OFFSET($H$3,0,0,'Données projet'!$E$11+1,1))</f>
        <v>486.36809102684492</v>
      </c>
      <c r="BJ75" s="59">
        <f t="shared" si="92"/>
        <v>308.42890859885006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11.396261949706455</v>
      </c>
      <c r="BQ75" s="21">
        <f>EXP(-LN(2)/25)*BQ74+(1-EXP(-LN(2)/25))/(LN(2)/25)*Calculateur!BL75*Calculateur!BN75*VLOOKUP('Données projet'!$B$11,Paramètres!$A$1:$I$89,3,0)*0.475*44/12</f>
        <v>15.697215294576962</v>
      </c>
      <c r="BR75" s="21">
        <f>EXP(-LN(2)/2)*BR74+(1-EXP(-LN(2)/2))/(LN(2)/2)*BL75*BO75*VLOOKUP('Données projet'!$B$11,Paramètres!$A$1:$I$89,3,0)*0.475*44/12</f>
        <v>1.8047038259672485</v>
      </c>
      <c r="BS75" s="22">
        <f t="shared" si="63"/>
        <v>28.898181070250665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6.8212102632969618E-13</v>
      </c>
      <c r="O76" s="13">
        <f>N76*VLOOKUP('Données projet'!$B$9,Paramètres!$A$1:$I$89,3,0)*VLOOKUP('Données projet'!$B$9,Paramètres!$A$1:$I$89,5,0)</f>
        <v>3.8130565371830017E-13</v>
      </c>
      <c r="P76" s="13">
        <f t="shared" si="87"/>
        <v>4.9019074112354236E-12</v>
      </c>
      <c r="Q76" s="20">
        <f t="shared" si="54"/>
        <v>9.2015960881277352E-12</v>
      </c>
      <c r="R76" s="59">
        <f t="shared" si="55"/>
        <v>267.78278419793099</v>
      </c>
      <c r="S76" s="59">
        <f ca="1">AVERAGE(OFFSET($R$3,0,0,'Données projet'!$E$9+1,1))-AVERAGE(OFFSET($H$3,0,0,'Données projet'!$E$9+1,1))</f>
        <v>418.8940806978344</v>
      </c>
      <c r="T76" s="59">
        <f t="shared" si="88"/>
        <v>553.49616487922378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169.35439122649439</v>
      </c>
      <c r="AA76" s="21">
        <f>EXP(-LN(2)/25)*AA75+(1-EXP(-LN(2)/25))/(LN(2)/25)*Calculateur!V76*Calculateur!X76*VLOOKUP('Données projet'!$B$9,Paramètres!$A$1:$I$89,3,0)*0.475*44/12</f>
        <v>50.189203610150464</v>
      </c>
      <c r="AB76" s="21">
        <f>EXP(-LN(2)/2)*AB75+(1-EXP(-LN(2)/2))/(LN(2)/2)*V76*Y76*VLOOKUP('Données projet'!$B$9,Paramètres!$A$1:$I$89,3,0)*0.475*44/12</f>
        <v>0.1263764592363556</v>
      </c>
      <c r="AC76" s="22">
        <f t="shared" si="57"/>
        <v>219.6699712958812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15.287500000000001</v>
      </c>
      <c r="AI76" s="13">
        <f>IF('Données projet'!$A$62&gt;35,AI75+AH76-AQ75,IF(A76&lt;'Données projet'!$A$62,$AF$205^A76,IF(A76='Données projet'!$A$62,'Données projet'!$B$62,AI75+AH76-AQ75)))</f>
        <v>410.27499999999952</v>
      </c>
      <c r="AJ76" s="13">
        <f>AI76*VLOOKUP('Données projet'!$B$10,Paramètres!$A$1:$I$89,3,0)*VLOOKUP('Données projet'!$B$10,Paramètres!$A$1:$I$89,5,0)</f>
        <v>192.00869999999978</v>
      </c>
      <c r="AK76" s="13">
        <f t="shared" si="89"/>
        <v>47.983775720189556</v>
      </c>
      <c r="AL76" s="20">
        <f t="shared" si="58"/>
        <v>417.98689521266306</v>
      </c>
      <c r="AM76" s="59">
        <f t="shared" si="59"/>
        <v>685.76967941058479</v>
      </c>
      <c r="AN76" s="59">
        <f ca="1">AVERAGE(OFFSET($AM$3,0,0,'Données projet'!$E$10+1,1))-AVERAGE(OFFSET($H$3,0,0,'Données projet'!$E$10+1,1))</f>
        <v>391.61151255507264</v>
      </c>
      <c r="AO76" s="59">
        <f t="shared" si="90"/>
        <v>365.61278905364281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76.645166280824228</v>
      </c>
      <c r="AV76" s="21">
        <f>EXP(-LN(2)/25)*AV75+(1-EXP(-LN(2)/25))/(LN(2)/25)*Calculateur!AQ76*Calculateur!AS76*VLOOKUP('Données projet'!$B$10,Paramètres!$A$1:$I$89,3,0)*0.475*44/12</f>
        <v>22.29752439722402</v>
      </c>
      <c r="AW76" s="21">
        <f>EXP(-LN(2)/2)*AW75+(1-EXP(-LN(2)/2))/(LN(2)/2)*AQ76*AT76*VLOOKUP('Données projet'!$B$10,Paramètres!$A$1:$I$89,3,0)*0.475*44/12</f>
        <v>5.150172289024229</v>
      </c>
      <c r="AX76" s="21">
        <f t="shared" si="60"/>
        <v>104.09286296707248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9.6625000000000014</v>
      </c>
      <c r="BD76" s="12">
        <f>IF('Données projet'!$A$88&gt;35,BD75+BC76-BL75,IF(A76&lt;'Données projet'!$A$88,$BA$205^A76,IF(A76='Données projet'!$A$88,'Données projet'!$B$88,BD75+BC76-BL75)))</f>
        <v>254.47499999999999</v>
      </c>
      <c r="BE76" s="13">
        <f>BD76*VLOOKUP('Données projet'!$B$11,Paramètres!$A$1:$I$89,3,0)*VLOOKUP('Données projet'!$B$11,Paramètres!$A$1:$I$89,5,0)</f>
        <v>242.15841</v>
      </c>
      <c r="BF76" s="13">
        <f t="shared" si="91"/>
        <v>58.9036806481216</v>
      </c>
      <c r="BG76" s="20">
        <f t="shared" si="61"/>
        <v>524.3498078788117</v>
      </c>
      <c r="BH76" s="59">
        <f t="shared" si="62"/>
        <v>792.13259207673354</v>
      </c>
      <c r="BI76" s="59">
        <f ca="1">AVERAGE(OFFSET($BH$3,0,0,'Données projet'!$E$11+1,1))-AVERAGE(OFFSET($H$3,0,0,'Données projet'!$E$11+1,1))</f>
        <v>486.36809102684492</v>
      </c>
      <c r="BJ76" s="59">
        <f t="shared" si="92"/>
        <v>308.42890859885006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11.172788203906142</v>
      </c>
      <c r="BQ76" s="21">
        <f>EXP(-LN(2)/25)*BQ75+(1-EXP(-LN(2)/25))/(LN(2)/25)*Calculateur!BL76*Calculateur!BN76*VLOOKUP('Données projet'!$B$11,Paramètres!$A$1:$I$89,3,0)*0.475*44/12</f>
        <v>15.267974116866078</v>
      </c>
      <c r="BR76" s="21">
        <f>EXP(-LN(2)/2)*BR75+(1-EXP(-LN(2)/2))/(LN(2)/2)*BL76*BO76*VLOOKUP('Données projet'!$B$11,Paramètres!$A$1:$I$89,3,0)*0.475*44/12</f>
        <v>1.2761183133747485</v>
      </c>
      <c r="BS76" s="22">
        <f t="shared" si="63"/>
        <v>27.716880634146971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6.8212102632969618E-13</v>
      </c>
      <c r="O77" s="13">
        <f>N77*VLOOKUP('Données projet'!$B$9,Paramètres!$A$1:$I$89,3,0)*VLOOKUP('Données projet'!$B$9,Paramètres!$A$1:$I$89,5,0)</f>
        <v>3.8130565371830017E-13</v>
      </c>
      <c r="P77" s="13">
        <f t="shared" si="87"/>
        <v>4.9019074112354236E-12</v>
      </c>
      <c r="Q77" s="20">
        <f t="shared" si="54"/>
        <v>9.2015960881277352E-12</v>
      </c>
      <c r="R77" s="59">
        <f t="shared" si="55"/>
        <v>268.22602910296007</v>
      </c>
      <c r="S77" s="59">
        <f ca="1">AVERAGE(OFFSET($R$3,0,0,'Données projet'!$E$9+1,1))-AVERAGE(OFFSET($H$3,0,0,'Données projet'!$E$9+1,1))</f>
        <v>418.8940806978344</v>
      </c>
      <c r="T77" s="59">
        <f t="shared" si="88"/>
        <v>553.49616487922378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166.03345491052184</v>
      </c>
      <c r="AA77" s="21">
        <f>EXP(-LN(2)/25)*AA76+(1-EXP(-LN(2)/25))/(LN(2)/25)*Calculateur!V77*Calculateur!X77*VLOOKUP('Données projet'!$B$9,Paramètres!$A$1:$I$89,3,0)*0.475*44/12</f>
        <v>48.816777198095394</v>
      </c>
      <c r="AB77" s="21">
        <f>EXP(-LN(2)/2)*AB76+(1-EXP(-LN(2)/2))/(LN(2)/2)*V77*Y77*VLOOKUP('Données projet'!$B$9,Paramètres!$A$1:$I$89,3,0)*0.475*44/12</f>
        <v>8.9361651308372342E-2</v>
      </c>
      <c r="AC77" s="22">
        <f t="shared" si="57"/>
        <v>214.9395937599256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15.287500000000001</v>
      </c>
      <c r="AI77" s="13">
        <f>IF('Données projet'!$A$62&gt;35,AI76+AH77-AQ76,IF(A77&lt;'Données projet'!$A$62,$AF$205^A77,IF(A77='Données projet'!$A$62,'Données projet'!$B$62,AI76+AH77-AQ76)))</f>
        <v>425.56249999999955</v>
      </c>
      <c r="AJ77" s="13">
        <f>AI77*VLOOKUP('Données projet'!$B$10,Paramètres!$A$1:$I$89,3,0)*VLOOKUP('Données projet'!$B$10,Paramètres!$A$1:$I$89,5,0)</f>
        <v>199.16324999999981</v>
      </c>
      <c r="AK77" s="13">
        <f t="shared" si="89"/>
        <v>49.560230554694655</v>
      </c>
      <c r="AL77" s="20">
        <f t="shared" si="58"/>
        <v>433.19339529942613</v>
      </c>
      <c r="AM77" s="59">
        <f t="shared" si="59"/>
        <v>701.41942440237699</v>
      </c>
      <c r="AN77" s="59">
        <f ca="1">AVERAGE(OFFSET($AM$3,0,0,'Données projet'!$E$10+1,1))-AVERAGE(OFFSET($H$3,0,0,'Données projet'!$E$10+1,1))</f>
        <v>391.61151255507264</v>
      </c>
      <c r="AO77" s="59">
        <f t="shared" si="90"/>
        <v>365.61278905364281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75.142201318992619</v>
      </c>
      <c r="AV77" s="21">
        <f>EXP(-LN(2)/25)*AV76+(1-EXP(-LN(2)/25))/(LN(2)/25)*Calculateur!AQ77*Calculateur!AS77*VLOOKUP('Données projet'!$B$10,Paramètres!$A$1:$I$89,3,0)*0.475*44/12</f>
        <v>21.687797420006081</v>
      </c>
      <c r="AW77" s="21">
        <f>EXP(-LN(2)/2)*AW76+(1-EXP(-LN(2)/2))/(LN(2)/2)*AQ77*AT77*VLOOKUP('Données projet'!$B$10,Paramètres!$A$1:$I$89,3,0)*0.475*44/12</f>
        <v>3.6417217498480765</v>
      </c>
      <c r="AX77" s="21">
        <f t="shared" si="60"/>
        <v>100.47172048884677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9.6625000000000014</v>
      </c>
      <c r="BD77" s="12">
        <f>IF('Données projet'!$A$88&gt;35,BD76+BC77-BL76,IF(A77&lt;'Données projet'!$A$88,$BA$205^A77,IF(A77='Données projet'!$A$88,'Données projet'!$B$88,BD76+BC77-BL76)))</f>
        <v>264.13749999999999</v>
      </c>
      <c r="BE77" s="13">
        <f>BD77*VLOOKUP('Données projet'!$B$11,Paramètres!$A$1:$I$89,3,0)*VLOOKUP('Données projet'!$B$11,Paramètres!$A$1:$I$89,5,0)</f>
        <v>251.35324500000002</v>
      </c>
      <c r="BF77" s="13">
        <f t="shared" si="91"/>
        <v>60.875626795202002</v>
      </c>
      <c r="BG77" s="20">
        <f t="shared" si="61"/>
        <v>543.7986183766435</v>
      </c>
      <c r="BH77" s="59">
        <f t="shared" si="62"/>
        <v>812.02464747959436</v>
      </c>
      <c r="BI77" s="59">
        <f ca="1">AVERAGE(OFFSET($BH$3,0,0,'Données projet'!$E$11+1,1))-AVERAGE(OFFSET($H$3,0,0,'Données projet'!$E$11+1,1))</f>
        <v>486.36809102684492</v>
      </c>
      <c r="BJ77" s="59">
        <f t="shared" si="92"/>
        <v>308.42890859885006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10.95369664195545</v>
      </c>
      <c r="BQ77" s="21">
        <f>EXP(-LN(2)/25)*BQ76+(1-EXP(-LN(2)/25))/(LN(2)/25)*Calculateur!BL77*Calculateur!BN77*VLOOKUP('Données projet'!$B$11,Paramètres!$A$1:$I$89,3,0)*0.475*44/12</f>
        <v>14.850470561732513</v>
      </c>
      <c r="BR77" s="21">
        <f>EXP(-LN(2)/2)*BR76+(1-EXP(-LN(2)/2))/(LN(2)/2)*BL77*BO77*VLOOKUP('Données projet'!$B$11,Paramètres!$A$1:$I$89,3,0)*0.475*44/12</f>
        <v>0.90235191298362438</v>
      </c>
      <c r="BS77" s="22">
        <f t="shared" si="63"/>
        <v>26.706519116671586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6.8212102632969618E-13</v>
      </c>
      <c r="O78" s="13">
        <f>N78*VLOOKUP('Données projet'!$B$9,Paramètres!$A$1:$I$89,3,0)*VLOOKUP('Données projet'!$B$9,Paramètres!$A$1:$I$89,5,0)</f>
        <v>3.8130565371830017E-13</v>
      </c>
      <c r="P78" s="13">
        <f t="shared" si="87"/>
        <v>4.9019074112354236E-12</v>
      </c>
      <c r="Q78" s="20">
        <f t="shared" si="54"/>
        <v>9.2015960881277352E-12</v>
      </c>
      <c r="R78" s="59">
        <f t="shared" si="55"/>
        <v>268.66158469983401</v>
      </c>
      <c r="S78" s="59">
        <f ca="1">AVERAGE(OFFSET($R$3,0,0,'Données projet'!$E$9+1,1))-AVERAGE(OFFSET($H$3,0,0,'Données projet'!$E$9+1,1))</f>
        <v>418.8940806978344</v>
      </c>
      <c r="T78" s="59">
        <f t="shared" si="88"/>
        <v>553.49616487922378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162.77764013013439</v>
      </c>
      <c r="AA78" s="21">
        <f>EXP(-LN(2)/25)*AA77+(1-EXP(-LN(2)/25))/(LN(2)/25)*Calculateur!V78*Calculateur!X78*VLOOKUP('Données projet'!$B$9,Paramètres!$A$1:$I$89,3,0)*0.475*44/12</f>
        <v>47.481879858450732</v>
      </c>
      <c r="AB78" s="21">
        <f>EXP(-LN(2)/2)*AB77+(1-EXP(-LN(2)/2))/(LN(2)/2)*V78*Y78*VLOOKUP('Données projet'!$B$9,Paramètres!$A$1:$I$89,3,0)*0.475*44/12</f>
        <v>6.3188229618177799E-2</v>
      </c>
      <c r="AC78" s="22">
        <f t="shared" si="57"/>
        <v>210.3227082182033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15.287500000000001</v>
      </c>
      <c r="AI78" s="13">
        <f>IF('Données projet'!$A$62&gt;35,AI77+AH78-AQ77,IF(A78&lt;'Données projet'!$A$62,$AF$205^A78,IF(A78='Données projet'!$A$62,'Données projet'!$B$62,AI77+AH78-AQ77)))</f>
        <v>440.84999999999957</v>
      </c>
      <c r="AJ78" s="13">
        <f>AI78*VLOOKUP('Données projet'!$B$10,Paramètres!$A$1:$I$89,3,0)*VLOOKUP('Données projet'!$B$10,Paramètres!$A$1:$I$89,5,0)</f>
        <v>206.31779999999981</v>
      </c>
      <c r="AK78" s="13">
        <f t="shared" si="89"/>
        <v>51.130105802135034</v>
      </c>
      <c r="AL78" s="20">
        <f t="shared" si="58"/>
        <v>448.3884359387182</v>
      </c>
      <c r="AM78" s="59">
        <f t="shared" si="59"/>
        <v>717.05002063854295</v>
      </c>
      <c r="AN78" s="59">
        <f ca="1">AVERAGE(OFFSET($AM$3,0,0,'Données projet'!$E$10+1,1))-AVERAGE(OFFSET($H$3,0,0,'Données projet'!$E$10+1,1))</f>
        <v>391.61151255507264</v>
      </c>
      <c r="AO78" s="59">
        <f t="shared" si="90"/>
        <v>365.61278905364281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73.668708583344426</v>
      </c>
      <c r="AV78" s="21">
        <f>EXP(-LN(2)/25)*AV77+(1-EXP(-LN(2)/25))/(LN(2)/25)*Calculateur!AQ78*Calculateur!AS78*VLOOKUP('Données projet'!$B$10,Paramètres!$A$1:$I$89,3,0)*0.475*44/12</f>
        <v>21.094743459044317</v>
      </c>
      <c r="AW78" s="21">
        <f>EXP(-LN(2)/2)*AW77+(1-EXP(-LN(2)/2))/(LN(2)/2)*AQ78*AT78*VLOOKUP('Données projet'!$B$10,Paramètres!$A$1:$I$89,3,0)*0.475*44/12</f>
        <v>2.5750861445121149</v>
      </c>
      <c r="AX78" s="21">
        <f t="shared" si="60"/>
        <v>97.338538186900848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273.8</v>
      </c>
      <c r="BB78" s="12">
        <f>VLOOKUP(A78,'Données projet'!$A$87:$I$107,9,0)</f>
        <v>9.6625000000000014</v>
      </c>
      <c r="BC78" s="12">
        <f t="array" ref="BC78">INDEX(BB:BB,MIN(IF(ISNUMBER(BB78:BB274),ROW(BB78:BB274),"")))</f>
        <v>9.6625000000000014</v>
      </c>
      <c r="BD78" s="12">
        <f>IF('Données projet'!$A$88&gt;35,BD77+BC78-BL77,IF(A78&lt;'Données projet'!$A$88,$BA$205^A78,IF(A78='Données projet'!$A$88,'Données projet'!$B$88,BD77+BC78-BL77)))</f>
        <v>273.8</v>
      </c>
      <c r="BE78" s="13">
        <f>BD78*VLOOKUP('Données projet'!$B$11,Paramètres!$A$1:$I$89,3,0)*VLOOKUP('Données projet'!$B$11,Paramètres!$A$1:$I$89,5,0)</f>
        <v>260.54808000000003</v>
      </c>
      <c r="BF78" s="13">
        <f t="shared" si="91"/>
        <v>62.83919214180397</v>
      </c>
      <c r="BG78" s="20">
        <f t="shared" si="61"/>
        <v>563.23283231364201</v>
      </c>
      <c r="BH78" s="59">
        <f t="shared" si="62"/>
        <v>831.89441701346686</v>
      </c>
      <c r="BI78" s="59">
        <f ca="1">AVERAGE(OFFSET($BH$3,0,0,'Données projet'!$E$11+1,1))-AVERAGE(OFFSET($H$3,0,0,'Données projet'!$E$11+1,1))</f>
        <v>486.36809102684492</v>
      </c>
      <c r="BJ78" s="59">
        <f t="shared" si="92"/>
        <v>308.42890859885006</v>
      </c>
      <c r="BK78" s="15">
        <f>IF(ISNA(VLOOKUP(A78,'Données projet'!$A$87:$I$107,3,0)),0,VLOOKUP(A78,'Données projet'!$A$87:$I$107,3,0))</f>
        <v>6</v>
      </c>
      <c r="BL78" s="15">
        <f>IF(ISNA(VLOOKUP(A78,'Données projet'!$A$87:$I$107,4,0)),0,VLOOKUP(A78,'Données projet'!$A$87:$I$107,4,0))</f>
        <v>43.5</v>
      </c>
      <c r="BM78" s="16">
        <f>IF(ISNA(VLOOKUP(A78,'Données projet'!$A$87:$I$107,5,0)),0%,VLOOKUP(A78,'Données projet'!$A$87:$I$107,5,0)*VLOOKUP('Données projet'!$B$11,Paramètres!$A$1:$I$89,7,0))</f>
        <v>0.1075</v>
      </c>
      <c r="BN78" s="16">
        <f>IF(ISNA(VLOOKUP(A78,'Données projet'!$A$87:$I$107,6,0)),0%,VLOOKUP(A78,'Données projet'!$A$87:$I$107,6,0)*VLOOKUP('Données projet'!$B$11,Paramètres!$A$1:$I$89,7,0))</f>
        <v>0.1075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15.658155530458028</v>
      </c>
      <c r="BQ78" s="21">
        <f>EXP(-LN(2)/25)*BQ77+(1-EXP(-LN(2)/25))/(LN(2)/25)*Calculateur!BL78*Calculateur!BN78*VLOOKUP('Données projet'!$B$11,Paramètres!$A$1:$I$89,3,0)*0.475*44/12</f>
        <v>19.344268883663194</v>
      </c>
      <c r="BR78" s="21">
        <f>EXP(-LN(2)/2)*BR77+(1-EXP(-LN(2)/2))/(LN(2)/2)*BL78*BO78*VLOOKUP('Données projet'!$B$11,Paramètres!$A$1:$I$89,3,0)*0.475*44/12</f>
        <v>10.402288961518426</v>
      </c>
      <c r="BS78" s="22">
        <f t="shared" si="63"/>
        <v>45.404713375639645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6.8212102632969618E-13</v>
      </c>
      <c r="O79" s="13">
        <f>N79*VLOOKUP('Données projet'!$B$9,Paramètres!$A$1:$I$89,3,0)*VLOOKUP('Données projet'!$B$9,Paramètres!$A$1:$I$89,5,0)</f>
        <v>3.8130565371830017E-13</v>
      </c>
      <c r="P79" s="13">
        <f t="shared" si="87"/>
        <v>4.9019074112354236E-12</v>
      </c>
      <c r="Q79" s="20">
        <f t="shared" si="54"/>
        <v>9.2015960881277352E-12</v>
      </c>
      <c r="R79" s="59">
        <f t="shared" si="55"/>
        <v>269.08958438085864</v>
      </c>
      <c r="S79" s="59">
        <f ca="1">AVERAGE(OFFSET($R$3,0,0,'Données projet'!$E$9+1,1))-AVERAGE(OFFSET($H$3,0,0,'Données projet'!$E$9+1,1))</f>
        <v>418.8940806978344</v>
      </c>
      <c r="T79" s="59">
        <f t="shared" si="88"/>
        <v>553.49616487922378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159.5856698917394</v>
      </c>
      <c r="AA79" s="21">
        <f>EXP(-LN(2)/25)*AA78+(1-EXP(-LN(2)/25))/(LN(2)/25)*Calculateur!V79*Calculateur!X79*VLOOKUP('Données projet'!$B$9,Paramètres!$A$1:$I$89,3,0)*0.475*44/12</f>
        <v>46.183485356757856</v>
      </c>
      <c r="AB79" s="21">
        <f>EXP(-LN(2)/2)*AB78+(1-EXP(-LN(2)/2))/(LN(2)/2)*V79*Y79*VLOOKUP('Données projet'!$B$9,Paramètres!$A$1:$I$89,3,0)*0.475*44/12</f>
        <v>4.4680825654186171E-2</v>
      </c>
      <c r="AC79" s="22">
        <f t="shared" si="57"/>
        <v>205.81383607415145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15.287500000000001</v>
      </c>
      <c r="AI79" s="13">
        <f>IF('Données projet'!$A$62&gt;35,AI78+AH79-AQ78,IF(A79&lt;'Données projet'!$A$62,$AF$205^A79,IF(A79='Données projet'!$A$62,'Données projet'!$B$62,AI78+AH79-AQ78)))</f>
        <v>456.13749999999959</v>
      </c>
      <c r="AJ79" s="13">
        <f>AI79*VLOOKUP('Données projet'!$B$10,Paramètres!$A$1:$I$89,3,0)*VLOOKUP('Données projet'!$B$10,Paramètres!$A$1:$I$89,5,0)</f>
        <v>213.47234999999981</v>
      </c>
      <c r="AK79" s="13">
        <f t="shared" si="89"/>
        <v>52.693655773325936</v>
      </c>
      <c r="AL79" s="20">
        <f t="shared" si="58"/>
        <v>463.57246005520909</v>
      </c>
      <c r="AM79" s="59">
        <f t="shared" si="59"/>
        <v>732.66204443605852</v>
      </c>
      <c r="AN79" s="59">
        <f ca="1">AVERAGE(OFFSET($AM$3,0,0,'Données projet'!$E$10+1,1))-AVERAGE(OFFSET($H$3,0,0,'Données projet'!$E$10+1,1))</f>
        <v>391.61151255507264</v>
      </c>
      <c r="AO79" s="59">
        <f t="shared" si="90"/>
        <v>365.61278905364281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72.224110141500461</v>
      </c>
      <c r="AV79" s="21">
        <f>EXP(-LN(2)/25)*AV78+(1-EXP(-LN(2)/25))/(LN(2)/25)*Calculateur!AQ79*Calculateur!AS79*VLOOKUP('Données projet'!$B$10,Paramètres!$A$1:$I$89,3,0)*0.475*44/12</f>
        <v>20.517906589832403</v>
      </c>
      <c r="AW79" s="21">
        <f>EXP(-LN(2)/2)*AW78+(1-EXP(-LN(2)/2))/(LN(2)/2)*AQ79*AT79*VLOOKUP('Données projet'!$B$10,Paramètres!$A$1:$I$89,3,0)*0.475*44/12</f>
        <v>1.8208608749240385</v>
      </c>
      <c r="AX79" s="21">
        <f t="shared" si="60"/>
        <v>94.562877606256905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9.4750000000000014</v>
      </c>
      <c r="BD79" s="12">
        <f>IF('Données projet'!$A$88&gt;35,BD78+BC79-BL78,IF(A79&lt;'Données projet'!$A$88,$BA$205^A79,IF(A79='Données projet'!$A$88,'Données projet'!$B$88,BD78+BC79-BL78)))</f>
        <v>239.77500000000003</v>
      </c>
      <c r="BE79" s="13">
        <f>BD79*VLOOKUP('Données projet'!$B$11,Paramètres!$A$1:$I$89,3,0)*VLOOKUP('Données projet'!$B$11,Paramètres!$A$1:$I$89,5,0)</f>
        <v>228.16989000000004</v>
      </c>
      <c r="BF79" s="13">
        <f t="shared" si="91"/>
        <v>55.886785162778345</v>
      </c>
      <c r="BG79" s="20">
        <f t="shared" si="61"/>
        <v>494.73204257517233</v>
      </c>
      <c r="BH79" s="59">
        <f t="shared" si="62"/>
        <v>763.82162695602176</v>
      </c>
      <c r="BI79" s="59">
        <f ca="1">AVERAGE(OFFSET($BH$3,0,0,'Données projet'!$E$11+1,1))-AVERAGE(OFFSET($H$3,0,0,'Données projet'!$E$11+1,1))</f>
        <v>486.36809102684492</v>
      </c>
      <c r="BJ79" s="59">
        <f t="shared" si="92"/>
        <v>308.42890859885006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15.351108651037583</v>
      </c>
      <c r="BQ79" s="21">
        <f>EXP(-LN(2)/25)*BQ78+(1-EXP(-LN(2)/25))/(LN(2)/25)*Calculateur!BL79*Calculateur!BN79*VLOOKUP('Données projet'!$B$11,Paramètres!$A$1:$I$89,3,0)*0.475*44/12</f>
        <v>18.815298833768534</v>
      </c>
      <c r="BR79" s="21">
        <f>EXP(-LN(2)/2)*BR78+(1-EXP(-LN(2)/2))/(LN(2)/2)*BL79*BO79*VLOOKUP('Données projet'!$B$11,Paramètres!$A$1:$I$89,3,0)*0.475*44/12</f>
        <v>7.3555290645516491</v>
      </c>
      <c r="BS79" s="22">
        <f t="shared" si="63"/>
        <v>41.521936549357761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6.8212102632969618E-13</v>
      </c>
      <c r="O80" s="13">
        <f>N80*VLOOKUP('Données projet'!$B$9,Paramètres!$A$1:$I$89,3,0)*VLOOKUP('Données projet'!$B$9,Paramètres!$A$1:$I$89,5,0)</f>
        <v>3.8130565371830017E-13</v>
      </c>
      <c r="P80" s="13">
        <f t="shared" si="87"/>
        <v>4.9019074112354236E-12</v>
      </c>
      <c r="Q80" s="20">
        <f t="shared" si="54"/>
        <v>9.2015960881277352E-12</v>
      </c>
      <c r="R80" s="59">
        <f t="shared" si="55"/>
        <v>269.51015922428149</v>
      </c>
      <c r="S80" s="59">
        <f ca="1">AVERAGE(OFFSET($R$3,0,0,'Données projet'!$E$9+1,1))-AVERAGE(OFFSET($H$3,0,0,'Données projet'!$E$9+1,1))</f>
        <v>418.8940806978344</v>
      </c>
      <c r="T80" s="59">
        <f t="shared" si="88"/>
        <v>553.49616487922378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156.45629224280972</v>
      </c>
      <c r="AA80" s="21">
        <f>EXP(-LN(2)/25)*AA79+(1-EXP(-LN(2)/25))/(LN(2)/25)*Calculateur!V80*Calculateur!X80*VLOOKUP('Données projet'!$B$9,Paramètres!$A$1:$I$89,3,0)*0.475*44/12</f>
        <v>44.920595520993373</v>
      </c>
      <c r="AB80" s="21">
        <f>EXP(-LN(2)/2)*AB79+(1-EXP(-LN(2)/2))/(LN(2)/2)*V80*Y80*VLOOKUP('Données projet'!$B$9,Paramètres!$A$1:$I$89,3,0)*0.475*44/12</f>
        <v>3.15941148090889E-2</v>
      </c>
      <c r="AC80" s="22">
        <f t="shared" si="57"/>
        <v>201.40848187861218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15.287500000000001</v>
      </c>
      <c r="AI80" s="13">
        <f>IF('Données projet'!$A$62&gt;35,AI79+AH80-AQ79,IF(A80&lt;'Données projet'!$A$62,$AF$205^A80,IF(A80='Données projet'!$A$62,'Données projet'!$B$62,AI79+AH80-AQ79)))</f>
        <v>471.42499999999961</v>
      </c>
      <c r="AJ80" s="13">
        <f>AI80*VLOOKUP('Données projet'!$B$10,Paramètres!$A$1:$I$89,3,0)*VLOOKUP('Données projet'!$B$10,Paramètres!$A$1:$I$89,5,0)</f>
        <v>220.62689999999981</v>
      </c>
      <c r="AK80" s="13">
        <f t="shared" si="89"/>
        <v>54.251116765347568</v>
      </c>
      <c r="AL80" s="20">
        <f t="shared" si="58"/>
        <v>478.74587919964659</v>
      </c>
      <c r="AM80" s="59">
        <f t="shared" si="59"/>
        <v>748.25603842391888</v>
      </c>
      <c r="AN80" s="59">
        <f ca="1">AVERAGE(OFFSET($AM$3,0,0,'Données projet'!$E$10+1,1))-AVERAGE(OFFSET($H$3,0,0,'Données projet'!$E$10+1,1))</f>
        <v>391.61151255507264</v>
      </c>
      <c r="AO80" s="59">
        <f t="shared" si="90"/>
        <v>365.61278905364281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70.807839393983016</v>
      </c>
      <c r="AV80" s="21">
        <f>EXP(-LN(2)/25)*AV79+(1-EXP(-LN(2)/25))/(LN(2)/25)*Calculateur!AQ80*Calculateur!AS80*VLOOKUP('Données projet'!$B$10,Paramètres!$A$1:$I$89,3,0)*0.475*44/12</f>
        <v>19.956843355143622</v>
      </c>
      <c r="AW80" s="21">
        <f>EXP(-LN(2)/2)*AW79+(1-EXP(-LN(2)/2))/(LN(2)/2)*AQ80*AT80*VLOOKUP('Données projet'!$B$10,Paramètres!$A$1:$I$89,3,0)*0.475*44/12</f>
        <v>1.2875430722560577</v>
      </c>
      <c r="AX80" s="21">
        <f t="shared" si="60"/>
        <v>92.052225821382692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9.4750000000000014</v>
      </c>
      <c r="BD80" s="12">
        <f>IF('Données projet'!$A$88&gt;35,BD79+BC80-BL79,IF(A80&lt;'Données projet'!$A$88,$BA$205^A80,IF(A80='Données projet'!$A$88,'Données projet'!$B$88,BD79+BC80-BL79)))</f>
        <v>249.25000000000003</v>
      </c>
      <c r="BE80" s="13">
        <f>BD80*VLOOKUP('Données projet'!$B$11,Paramètres!$A$1:$I$89,3,0)*VLOOKUP('Données projet'!$B$11,Paramètres!$A$1:$I$89,5,0)</f>
        <v>237.18630000000005</v>
      </c>
      <c r="BF80" s="13">
        <f t="shared" si="91"/>
        <v>57.833734342093592</v>
      </c>
      <c r="BG80" s="20">
        <f t="shared" si="61"/>
        <v>513.82655981247979</v>
      </c>
      <c r="BH80" s="59">
        <f t="shared" si="62"/>
        <v>783.33671903675213</v>
      </c>
      <c r="BI80" s="59">
        <f ca="1">AVERAGE(OFFSET($BH$3,0,0,'Données projet'!$E$11+1,1))-AVERAGE(OFFSET($H$3,0,0,'Données projet'!$E$11+1,1))</f>
        <v>486.36809102684492</v>
      </c>
      <c r="BJ80" s="59">
        <f t="shared" si="92"/>
        <v>308.42890859885006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15.050082773642469</v>
      </c>
      <c r="BQ80" s="21">
        <f>EXP(-LN(2)/25)*BQ79+(1-EXP(-LN(2)/25))/(LN(2)/25)*Calculateur!BL80*Calculateur!BN80*VLOOKUP('Données projet'!$B$11,Paramètres!$A$1:$I$89,3,0)*0.475*44/12</f>
        <v>18.30079349770557</v>
      </c>
      <c r="BR80" s="21">
        <f>EXP(-LN(2)/2)*BR79+(1-EXP(-LN(2)/2))/(LN(2)/2)*BL80*BO80*VLOOKUP('Données projet'!$B$11,Paramètres!$A$1:$I$89,3,0)*0.475*44/12</f>
        <v>5.201144480759214</v>
      </c>
      <c r="BS80" s="22">
        <f t="shared" si="63"/>
        <v>38.552020752107254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6.8212102632969618E-13</v>
      </c>
      <c r="O81" s="13">
        <f>N81*VLOOKUP('Données projet'!$B$9,Paramètres!$A$1:$I$89,3,0)*VLOOKUP('Données projet'!$B$9,Paramètres!$A$1:$I$89,5,0)</f>
        <v>3.8130565371830017E-13</v>
      </c>
      <c r="P81" s="13">
        <f t="shared" si="87"/>
        <v>4.9019074112354236E-12</v>
      </c>
      <c r="Q81" s="20">
        <f t="shared" si="54"/>
        <v>9.2015960881277352E-12</v>
      </c>
      <c r="R81" s="59">
        <f t="shared" si="55"/>
        <v>269.92343803443543</v>
      </c>
      <c r="S81" s="59">
        <f ca="1">AVERAGE(OFFSET($R$3,0,0,'Données projet'!$E$9+1,1))-AVERAGE(OFFSET($H$3,0,0,'Données projet'!$E$9+1,1))</f>
        <v>418.8940806978344</v>
      </c>
      <c r="T81" s="59">
        <f t="shared" si="88"/>
        <v>553.49616487922378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153.38827978084367</v>
      </c>
      <c r="AA81" s="21">
        <f>EXP(-LN(2)/25)*AA80+(1-EXP(-LN(2)/25))/(LN(2)/25)*Calculateur!V81*Calculateur!X81*VLOOKUP('Données projet'!$B$9,Paramètres!$A$1:$I$89,3,0)*0.475*44/12</f>
        <v>43.692239474200356</v>
      </c>
      <c r="AB81" s="21">
        <f>EXP(-LN(2)/2)*AB80+(1-EXP(-LN(2)/2))/(LN(2)/2)*V81*Y81*VLOOKUP('Données projet'!$B$9,Paramètres!$A$1:$I$89,3,0)*0.475*44/12</f>
        <v>2.2340412827093085E-2</v>
      </c>
      <c r="AC81" s="22">
        <f t="shared" si="57"/>
        <v>197.10285966787114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15.287500000000001</v>
      </c>
      <c r="AI81" s="13">
        <f>IF('Données projet'!$A$62&gt;35,AI80+AH81-AQ80,IF(A81&lt;'Données projet'!$A$62,$AF$205^A81,IF(A81='Données projet'!$A$62,'Données projet'!$B$62,AI80+AH81-AQ80)))</f>
        <v>486.71249999999964</v>
      </c>
      <c r="AJ81" s="13">
        <f>AI81*VLOOKUP('Données projet'!$B$10,Paramètres!$A$1:$I$89,3,0)*VLOOKUP('Données projet'!$B$10,Paramètres!$A$1:$I$89,5,0)</f>
        <v>227.78144999999981</v>
      </c>
      <c r="AK81" s="13">
        <f t="shared" si="89"/>
        <v>55.80270887987308</v>
      </c>
      <c r="AL81" s="20">
        <f t="shared" si="58"/>
        <v>493.90907671577861</v>
      </c>
      <c r="AM81" s="59">
        <f t="shared" si="59"/>
        <v>763.83251475020484</v>
      </c>
      <c r="AN81" s="59">
        <f ca="1">AVERAGE(OFFSET($AM$3,0,0,'Données projet'!$E$10+1,1))-AVERAGE(OFFSET($H$3,0,0,'Données projet'!$E$10+1,1))</f>
        <v>391.61151255507264</v>
      </c>
      <c r="AO81" s="59">
        <f t="shared" si="90"/>
        <v>365.61278905364281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69.419340851984529</v>
      </c>
      <c r="AV81" s="21">
        <f>EXP(-LN(2)/25)*AV80+(1-EXP(-LN(2)/25))/(LN(2)/25)*Calculateur!AQ81*Calculateur!AS81*VLOOKUP('Données projet'!$B$10,Paramètres!$A$1:$I$89,3,0)*0.475*44/12</f>
        <v>19.411122424112438</v>
      </c>
      <c r="AW81" s="21">
        <f>EXP(-LN(2)/2)*AW80+(1-EXP(-LN(2)/2))/(LN(2)/2)*AQ81*AT81*VLOOKUP('Données projet'!$B$10,Paramètres!$A$1:$I$89,3,0)*0.475*44/12</f>
        <v>0.91043043746201935</v>
      </c>
      <c r="AX81" s="21">
        <f t="shared" si="60"/>
        <v>89.740893713558989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9.4750000000000014</v>
      </c>
      <c r="BD81" s="12">
        <f>IF('Données projet'!$A$88&gt;35,BD80+BC81-BL80,IF(A81&lt;'Données projet'!$A$88,$BA$205^A81,IF(A81='Données projet'!$A$88,'Données projet'!$B$88,BD80+BC81-BL80)))</f>
        <v>258.72500000000002</v>
      </c>
      <c r="BE81" s="13">
        <f>BD81*VLOOKUP('Données projet'!$B$11,Paramètres!$A$1:$I$89,3,0)*VLOOKUP('Données projet'!$B$11,Paramètres!$A$1:$I$89,5,0)</f>
        <v>246.20271</v>
      </c>
      <c r="BF81" s="13">
        <f t="shared" si="91"/>
        <v>59.772085437993525</v>
      </c>
      <c r="BG81" s="20">
        <f t="shared" si="61"/>
        <v>532.90610205450537</v>
      </c>
      <c r="BH81" s="59">
        <f t="shared" si="62"/>
        <v>802.82954008893159</v>
      </c>
      <c r="BI81" s="59">
        <f ca="1">AVERAGE(OFFSET($BH$3,0,0,'Données projet'!$E$11+1,1))-AVERAGE(OFFSET($H$3,0,0,'Données projet'!$E$11+1,1))</f>
        <v>486.36809102684492</v>
      </c>
      <c r="BJ81" s="59">
        <f t="shared" si="92"/>
        <v>308.42890859885006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14.754959830095418</v>
      </c>
      <c r="BQ81" s="21">
        <f>EXP(-LN(2)/25)*BQ80+(1-EXP(-LN(2)/25))/(LN(2)/25)*Calculateur!BL81*Calculateur!BN81*VLOOKUP('Données projet'!$B$11,Paramètres!$A$1:$I$89,3,0)*0.475*44/12</f>
        <v>17.800357337113908</v>
      </c>
      <c r="BR81" s="21">
        <f>EXP(-LN(2)/2)*BR80+(1-EXP(-LN(2)/2))/(LN(2)/2)*BL81*BO81*VLOOKUP('Données projet'!$B$11,Paramètres!$A$1:$I$89,3,0)*0.475*44/12</f>
        <v>3.677764532275825</v>
      </c>
      <c r="BS81" s="22">
        <f t="shared" si="63"/>
        <v>36.233081699485147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6.8212102632969618E-13</v>
      </c>
      <c r="O82" s="13">
        <f>N82*VLOOKUP('Données projet'!$B$9,Paramètres!$A$1:$I$89,3,0)*VLOOKUP('Données projet'!$B$9,Paramètres!$A$1:$I$89,5,0)</f>
        <v>3.8130565371830017E-13</v>
      </c>
      <c r="P82" s="13">
        <f t="shared" si="87"/>
        <v>4.9019074112354236E-12</v>
      </c>
      <c r="Q82" s="20">
        <f t="shared" si="54"/>
        <v>9.2015960881277352E-12</v>
      </c>
      <c r="R82" s="59">
        <f t="shared" si="55"/>
        <v>270.32954738118616</v>
      </c>
      <c r="S82" s="59">
        <f ca="1">AVERAGE(OFFSET($R$3,0,0,'Données projet'!$E$9+1,1))-AVERAGE(OFFSET($H$3,0,0,'Données projet'!$E$9+1,1))</f>
        <v>418.8940806978344</v>
      </c>
      <c r="T82" s="59">
        <f t="shared" si="88"/>
        <v>553.49616487922378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150.38042917195395</v>
      </c>
      <c r="AA82" s="21">
        <f>EXP(-LN(2)/25)*AA81+(1-EXP(-LN(2)/25))/(LN(2)/25)*Calculateur!V82*Calculateur!X82*VLOOKUP('Données projet'!$B$9,Paramètres!$A$1:$I$89,3,0)*0.475*44/12</f>
        <v>42.497472888103331</v>
      </c>
      <c r="AB82" s="21">
        <f>EXP(-LN(2)/2)*AB81+(1-EXP(-LN(2)/2))/(LN(2)/2)*V82*Y82*VLOOKUP('Données projet'!$B$9,Paramètres!$A$1:$I$89,3,0)*0.475*44/12</f>
        <v>1.579705740454445E-2</v>
      </c>
      <c r="AC82" s="22">
        <f t="shared" si="57"/>
        <v>192.89369911746184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502</v>
      </c>
      <c r="AG82" s="12">
        <f>VLOOKUP(A82,'Données projet'!$A$61:$I$81,9,0)</f>
        <v>15.287500000000001</v>
      </c>
      <c r="AH82" s="12">
        <f t="array" ref="AH82">INDEX(AG:AG,MIN(IF(ISNUMBER(AG82:AG278),ROW(AG82:AG278),"")))</f>
        <v>15.287500000000001</v>
      </c>
      <c r="AI82" s="13">
        <f>IF('Données projet'!$A$62&gt;35,AI81+AH82-AQ81,IF(A82&lt;'Données projet'!$A$62,$AF$205^A82,IF(A82='Données projet'!$A$62,'Données projet'!$B$62,AI81+AH82-AQ81)))</f>
        <v>501.99999999999966</v>
      </c>
      <c r="AJ82" s="13">
        <f>AI82*VLOOKUP('Données projet'!$B$10,Paramètres!$A$1:$I$89,3,0)*VLOOKUP('Données projet'!$B$10,Paramètres!$A$1:$I$89,5,0)</f>
        <v>234.93599999999981</v>
      </c>
      <c r="AK82" s="13">
        <f t="shared" si="89"/>
        <v>57.34863760662612</v>
      </c>
      <c r="AL82" s="20">
        <f t="shared" si="58"/>
        <v>509.06241049820682</v>
      </c>
      <c r="AM82" s="59">
        <f t="shared" si="59"/>
        <v>779.39195787938377</v>
      </c>
      <c r="AN82" s="59">
        <f ca="1">AVERAGE(OFFSET($AM$3,0,0,'Données projet'!$E$10+1,1))-AVERAGE(OFFSET($H$3,0,0,'Données projet'!$E$10+1,1))</f>
        <v>391.61151255507264</v>
      </c>
      <c r="AO82" s="59">
        <f t="shared" si="90"/>
        <v>365.61278905364281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89</v>
      </c>
      <c r="AR82" s="16">
        <f>IF(ISNA(VLOOKUP(A82,'Données projet'!$A$61:$I$81,5,0)),0%,VLOOKUP(A82,'Données projet'!$A$61:$I$81,5,0)*VLOOKUP('Données projet'!$B$10,Paramètres!$A$1:$I$89,7,0))</f>
        <v>0.33</v>
      </c>
      <c r="AS82" s="16">
        <f>IF(ISNA(VLOOKUP(A82,'Données projet'!$A$61:$I$81,6,0)),0%,VLOOKUP(A82,'Données projet'!$A$61:$I$81,6,0)*VLOOKUP('Données projet'!$B$10,Paramètres!$A$1:$I$89,7,0))</f>
        <v>0.11000000000000001</v>
      </c>
      <c r="AT82" s="16">
        <f>IF(ISNA(VLOOKUP(A82,'Données projet'!$A$61:$I$81,7,0)),0%,VLOOKUP(A82,'Données projet'!$A$61:$I$81,7,0))</f>
        <v>0.2</v>
      </c>
      <c r="AU82" s="21">
        <f>EXP(-LN(2)/35)*AU81+(1-EXP(-LN(2)/35))/(LN(2)/35)*AQ82*AR82*VLOOKUP('Données projet'!$B$10,Paramètres!$A$1:$I$89,3,0)*0.475*44/12</f>
        <v>86.291910609823489</v>
      </c>
      <c r="AV82" s="21">
        <f>EXP(-LN(2)/25)*AV81+(1-EXP(-LN(2)/25))/(LN(2)/25)*Calculateur!AQ82*Calculateur!AS82*VLOOKUP('Données projet'!$B$10,Paramètres!$A$1:$I$89,3,0)*0.475*44/12</f>
        <v>24.934339964603033</v>
      </c>
      <c r="AW82" s="21">
        <f>EXP(-LN(2)/2)*AW81+(1-EXP(-LN(2)/2))/(LN(2)/2)*AQ82*AT82*VLOOKUP('Données projet'!$B$10,Paramètres!$A$1:$I$89,3,0)*0.475*44/12</f>
        <v>10.075719467442502</v>
      </c>
      <c r="AX82" s="21">
        <f t="shared" si="60"/>
        <v>121.30197004186903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9.4750000000000014</v>
      </c>
      <c r="BD82" s="12">
        <f>IF('Données projet'!$A$88&gt;35,BD81+BC82-BL81,IF(A82&lt;'Données projet'!$A$88,$BA$205^A82,IF(A82='Données projet'!$A$88,'Données projet'!$B$88,BD81+BC82-BL81)))</f>
        <v>268.20000000000005</v>
      </c>
      <c r="BE82" s="13">
        <f>BD82*VLOOKUP('Données projet'!$B$11,Paramètres!$A$1:$I$89,3,0)*VLOOKUP('Données projet'!$B$11,Paramètres!$A$1:$I$89,5,0)</f>
        <v>255.21912000000006</v>
      </c>
      <c r="BF82" s="13">
        <f t="shared" si="91"/>
        <v>61.702189391811984</v>
      </c>
      <c r="BG82" s="20">
        <f t="shared" si="61"/>
        <v>551.97128052407265</v>
      </c>
      <c r="BH82" s="59">
        <f t="shared" si="62"/>
        <v>822.30082790524966</v>
      </c>
      <c r="BI82" s="59">
        <f ca="1">AVERAGE(OFFSET($BH$3,0,0,'Données projet'!$E$11+1,1))-AVERAGE(OFFSET($H$3,0,0,'Données projet'!$E$11+1,1))</f>
        <v>486.36809102684492</v>
      </c>
      <c r="BJ82" s="59">
        <f t="shared" si="92"/>
        <v>308.42890859885006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14.465624067464102</v>
      </c>
      <c r="BQ82" s="21">
        <f>EXP(-LN(2)/25)*BQ81+(1-EXP(-LN(2)/25))/(LN(2)/25)*Calculateur!BL82*Calculateur!BN82*VLOOKUP('Données projet'!$B$11,Paramètres!$A$1:$I$89,3,0)*0.475*44/12</f>
        <v>17.313605629650418</v>
      </c>
      <c r="BR82" s="21">
        <f>EXP(-LN(2)/2)*BR81+(1-EXP(-LN(2)/2))/(LN(2)/2)*BL82*BO82*VLOOKUP('Données projet'!$B$11,Paramètres!$A$1:$I$89,3,0)*0.475*44/12</f>
        <v>2.6005722403796074</v>
      </c>
      <c r="BS82" s="22">
        <f t="shared" si="63"/>
        <v>34.379801937494129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6.8212102632969618E-13</v>
      </c>
      <c r="O83" s="13">
        <f>N83*VLOOKUP('Données projet'!$B$9,Paramètres!$A$1:$I$89,3,0)*VLOOKUP('Données projet'!$B$9,Paramètres!$A$1:$I$89,5,0)</f>
        <v>3.8130565371830017E-13</v>
      </c>
      <c r="P83" s="13">
        <f t="shared" si="87"/>
        <v>4.9019074112354236E-12</v>
      </c>
      <c r="Q83" s="20">
        <f t="shared" si="54"/>
        <v>9.2015960881277352E-12</v>
      </c>
      <c r="R83" s="59">
        <f t="shared" si="55"/>
        <v>270.72861163869533</v>
      </c>
      <c r="S83" s="59">
        <f ca="1">AVERAGE(OFFSET($R$3,0,0,'Données projet'!$E$9+1,1))-AVERAGE(OFFSET($H$3,0,0,'Données projet'!$E$9+1,1))</f>
        <v>418.8940806978344</v>
      </c>
      <c r="T83" s="59">
        <f t="shared" si="88"/>
        <v>553.49616487922378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147.43156067889683</v>
      </c>
      <c r="AA83" s="21">
        <f>EXP(-LN(2)/25)*AA82+(1-EXP(-LN(2)/25))/(LN(2)/25)*Calculateur!V83*Calculateur!X83*VLOOKUP('Données projet'!$B$9,Paramètres!$A$1:$I$89,3,0)*0.475*44/12</f>
        <v>41.335377257133175</v>
      </c>
      <c r="AB83" s="21">
        <f>EXP(-LN(2)/2)*AB82+(1-EXP(-LN(2)/2))/(LN(2)/2)*V83*Y83*VLOOKUP('Données projet'!$B$9,Paramètres!$A$1:$I$89,3,0)*0.475*44/12</f>
        <v>1.1170206413546543E-2</v>
      </c>
      <c r="AC83" s="22">
        <f t="shared" si="57"/>
        <v>188.77810814244353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14.400000000000006</v>
      </c>
      <c r="AI83" s="13">
        <f>IF('Données projet'!$A$62&gt;35,AI82+AH83-AQ82,IF(A83&lt;'Données projet'!$A$62,$AF$205^A83,IF(A83='Données projet'!$A$62,'Données projet'!$B$62,AI82+AH83-AQ82)))</f>
        <v>427.39999999999964</v>
      </c>
      <c r="AJ83" s="13">
        <f>AI83*VLOOKUP('Données projet'!$B$10,Paramètres!$A$1:$I$89,3,0)*VLOOKUP('Données projet'!$B$10,Paramètres!$A$1:$I$89,5,0)</f>
        <v>200.02319999999983</v>
      </c>
      <c r="AK83" s="13">
        <f t="shared" si="89"/>
        <v>49.749266348768387</v>
      </c>
      <c r="AL83" s="20">
        <f t="shared" si="58"/>
        <v>435.02037889077127</v>
      </c>
      <c r="AM83" s="59">
        <f t="shared" si="59"/>
        <v>705.74899052945739</v>
      </c>
      <c r="AN83" s="59">
        <f ca="1">AVERAGE(OFFSET($AM$3,0,0,'Données projet'!$E$10+1,1))-AVERAGE(OFFSET($H$3,0,0,'Données projet'!$E$10+1,1))</f>
        <v>391.61151255507264</v>
      </c>
      <c r="AO83" s="59">
        <f t="shared" si="90"/>
        <v>365.61278905364281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84.599778875633262</v>
      </c>
      <c r="AV83" s="21">
        <f>EXP(-LN(2)/25)*AV82+(1-EXP(-LN(2)/25))/(LN(2)/25)*Calculateur!AQ83*Calculateur!AS83*VLOOKUP('Données projet'!$B$10,Paramètres!$A$1:$I$89,3,0)*0.475*44/12</f>
        <v>24.252509127031011</v>
      </c>
      <c r="AW83" s="21">
        <f>EXP(-LN(2)/2)*AW82+(1-EXP(-LN(2)/2))/(LN(2)/2)*AQ83*AT83*VLOOKUP('Données projet'!$B$10,Paramètres!$A$1:$I$89,3,0)*0.475*44/12</f>
        <v>7.1246095607619031</v>
      </c>
      <c r="AX83" s="21">
        <f t="shared" si="60"/>
        <v>115.97689756342616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9.4750000000000014</v>
      </c>
      <c r="BD83" s="12">
        <f>IF('Données projet'!$A$88&gt;35,BD82+BC83-BL82,IF(A83&lt;'Données projet'!$A$88,$BA$205^A83,IF(A83='Données projet'!$A$88,'Données projet'!$B$88,BD82+BC83-BL82)))</f>
        <v>277.67500000000007</v>
      </c>
      <c r="BE83" s="13">
        <f>BD83*VLOOKUP('Données projet'!$B$11,Paramètres!$A$1:$I$89,3,0)*VLOOKUP('Données projet'!$B$11,Paramètres!$A$1:$I$89,5,0)</f>
        <v>264.2355300000001</v>
      </c>
      <c r="BF83" s="13">
        <f t="shared" si="91"/>
        <v>63.624370942822587</v>
      </c>
      <c r="BG83" s="20">
        <f t="shared" si="61"/>
        <v>571.02266080874949</v>
      </c>
      <c r="BH83" s="59">
        <f t="shared" si="62"/>
        <v>841.75127244743567</v>
      </c>
      <c r="BI83" s="59">
        <f ca="1">AVERAGE(OFFSET($BH$3,0,0,'Données projet'!$E$11+1,1))-AVERAGE(OFFSET($H$3,0,0,'Données projet'!$E$11+1,1))</f>
        <v>486.36809102684492</v>
      </c>
      <c r="BJ83" s="59">
        <f t="shared" si="92"/>
        <v>308.42890859885006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14.181962002660597</v>
      </c>
      <c r="BQ83" s="21">
        <f>EXP(-LN(2)/25)*BQ82+(1-EXP(-LN(2)/25))/(LN(2)/25)*Calculateur!BL83*Calculateur!BN83*VLOOKUP('Données projet'!$B$11,Paramètres!$A$1:$I$89,3,0)*0.475*44/12</f>
        <v>16.840164173224679</v>
      </c>
      <c r="BR83" s="21">
        <f>EXP(-LN(2)/2)*BR82+(1-EXP(-LN(2)/2))/(LN(2)/2)*BL83*BO83*VLOOKUP('Données projet'!$B$11,Paramètres!$A$1:$I$89,3,0)*0.475*44/12</f>
        <v>1.8388822661379129</v>
      </c>
      <c r="BS83" s="22">
        <f t="shared" si="63"/>
        <v>32.861008442023191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6.8212102632969618E-13</v>
      </c>
      <c r="O84" s="13">
        <f>N84*VLOOKUP('Données projet'!$B$9,Paramètres!$A$1:$I$89,3,0)*VLOOKUP('Données projet'!$B$9,Paramètres!$A$1:$I$89,5,0)</f>
        <v>3.8130565371830017E-13</v>
      </c>
      <c r="P84" s="13">
        <f t="shared" si="87"/>
        <v>4.9019074112354236E-12</v>
      </c>
      <c r="Q84" s="20">
        <f t="shared" si="54"/>
        <v>9.2015960881277352E-12</v>
      </c>
      <c r="R84" s="59">
        <f t="shared" si="55"/>
        <v>271.12075302351064</v>
      </c>
      <c r="S84" s="59">
        <f ca="1">AVERAGE(OFFSET($R$3,0,0,'Données projet'!$E$9+1,1))-AVERAGE(OFFSET($H$3,0,0,'Données projet'!$E$9+1,1))</f>
        <v>418.8940806978344</v>
      </c>
      <c r="T84" s="59">
        <f t="shared" si="88"/>
        <v>553.49616487922378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144.54051769835638</v>
      </c>
      <c r="AA84" s="21">
        <f>EXP(-LN(2)/25)*AA83+(1-EXP(-LN(2)/25))/(LN(2)/25)*Calculateur!V84*Calculateur!X84*VLOOKUP('Données projet'!$B$9,Paramètres!$A$1:$I$89,3,0)*0.475*44/12</f>
        <v>40.20505919230385</v>
      </c>
      <c r="AB84" s="21">
        <f>EXP(-LN(2)/2)*AB83+(1-EXP(-LN(2)/2))/(LN(2)/2)*V84*Y84*VLOOKUP('Données projet'!$B$9,Paramètres!$A$1:$I$89,3,0)*0.475*44/12</f>
        <v>7.8985287022722249E-3</v>
      </c>
      <c r="AC84" s="22">
        <f t="shared" si="57"/>
        <v>184.7534754193625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14.400000000000006</v>
      </c>
      <c r="AI84" s="13">
        <f>IF('Données projet'!$A$62&gt;35,AI83+AH84-AQ83,IF(A84&lt;'Données projet'!$A$62,$AF$205^A84,IF(A84='Données projet'!$A$62,'Données projet'!$B$62,AI83+AH84-AQ83)))</f>
        <v>441.79999999999961</v>
      </c>
      <c r="AJ84" s="13">
        <f>AI84*VLOOKUP('Données projet'!$B$10,Paramètres!$A$1:$I$89,3,0)*VLOOKUP('Données projet'!$B$10,Paramètres!$A$1:$I$89,5,0)</f>
        <v>206.76239999999981</v>
      </c>
      <c r="AK84" s="13">
        <f t="shared" si="89"/>
        <v>51.227450148013851</v>
      </c>
      <c r="AL84" s="20">
        <f t="shared" si="58"/>
        <v>449.33232234112376</v>
      </c>
      <c r="AM84" s="59">
        <f t="shared" si="59"/>
        <v>720.45307536462519</v>
      </c>
      <c r="AN84" s="59">
        <f ca="1">AVERAGE(OFFSET($AM$3,0,0,'Données projet'!$E$10+1,1))-AVERAGE(OFFSET($H$3,0,0,'Données projet'!$E$10+1,1))</f>
        <v>391.61151255507264</v>
      </c>
      <c r="AO84" s="59">
        <f t="shared" si="90"/>
        <v>365.61278905364281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82.940828812652057</v>
      </c>
      <c r="AV84" s="21">
        <f>EXP(-LN(2)/25)*AV83+(1-EXP(-LN(2)/25))/(LN(2)/25)*Calculateur!AQ84*Calculateur!AS84*VLOOKUP('Données projet'!$B$10,Paramètres!$A$1:$I$89,3,0)*0.475*44/12</f>
        <v>23.589322989568323</v>
      </c>
      <c r="AW84" s="21">
        <f>EXP(-LN(2)/2)*AW83+(1-EXP(-LN(2)/2))/(LN(2)/2)*AQ84*AT84*VLOOKUP('Données projet'!$B$10,Paramètres!$A$1:$I$89,3,0)*0.475*44/12</f>
        <v>5.0378597337212518</v>
      </c>
      <c r="AX84" s="21">
        <f t="shared" si="60"/>
        <v>111.56801153594164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9.4750000000000014</v>
      </c>
      <c r="BD84" s="12">
        <f>IF('Données projet'!$A$88&gt;35,BD83+BC84-BL83,IF(A84&lt;'Données projet'!$A$88,$BA$205^A84,IF(A84='Données projet'!$A$88,'Données projet'!$B$88,BD83+BC84-BL83)))</f>
        <v>287.15000000000009</v>
      </c>
      <c r="BE84" s="13">
        <f>BD84*VLOOKUP('Données projet'!$B$11,Paramètres!$A$1:$I$89,3,0)*VLOOKUP('Données projet'!$B$11,Paramètres!$A$1:$I$89,5,0)</f>
        <v>273.2519400000001</v>
      </c>
      <c r="BF84" s="13">
        <f t="shared" si="91"/>
        <v>65.538931411243482</v>
      </c>
      <c r="BG84" s="20">
        <f t="shared" si="61"/>
        <v>590.06076770791594</v>
      </c>
      <c r="BH84" s="59">
        <f t="shared" si="62"/>
        <v>861.18152073141732</v>
      </c>
      <c r="BI84" s="59">
        <f ca="1">AVERAGE(OFFSET($BH$3,0,0,'Données projet'!$E$11+1,1))-AVERAGE(OFFSET($H$3,0,0,'Données projet'!$E$11+1,1))</f>
        <v>486.36809102684492</v>
      </c>
      <c r="BJ84" s="59">
        <f t="shared" si="92"/>
        <v>308.42890859885006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13.903862377931114</v>
      </c>
      <c r="BQ84" s="21">
        <f>EXP(-LN(2)/25)*BQ83+(1-EXP(-LN(2)/25))/(LN(2)/25)*Calculateur!BL84*Calculateur!BN84*VLOOKUP('Données projet'!$B$11,Paramètres!$A$1:$I$89,3,0)*0.475*44/12</f>
        <v>16.379668998322106</v>
      </c>
      <c r="BR84" s="21">
        <f>EXP(-LN(2)/2)*BR83+(1-EXP(-LN(2)/2))/(LN(2)/2)*BL84*BO84*VLOOKUP('Données projet'!$B$11,Paramètres!$A$1:$I$89,3,0)*0.475*44/12</f>
        <v>1.3002861201898039</v>
      </c>
      <c r="BS84" s="22">
        <f t="shared" si="63"/>
        <v>31.583817496443025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6.8212102632969618E-13</v>
      </c>
      <c r="O85" s="13">
        <f>N85*VLOOKUP('Données projet'!$B$9,Paramètres!$A$1:$I$89,3,0)*VLOOKUP('Données projet'!$B$9,Paramètres!$A$1:$I$89,5,0)</f>
        <v>3.8130565371830017E-13</v>
      </c>
      <c r="P85" s="13">
        <f t="shared" si="87"/>
        <v>4.9019074112354236E-12</v>
      </c>
      <c r="Q85" s="20">
        <f t="shared" si="54"/>
        <v>9.2015960881277352E-12</v>
      </c>
      <c r="R85" s="59">
        <f t="shared" si="55"/>
        <v>271.50609163199624</v>
      </c>
      <c r="S85" s="59">
        <f ca="1">AVERAGE(OFFSET($R$3,0,0,'Données projet'!$E$9+1,1))-AVERAGE(OFFSET($H$3,0,0,'Données projet'!$E$9+1,1))</f>
        <v>418.8940806978344</v>
      </c>
      <c r="T85" s="59">
        <f t="shared" si="88"/>
        <v>553.49616487922378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141.70616630730223</v>
      </c>
      <c r="AA85" s="21">
        <f>EXP(-LN(2)/25)*AA84+(1-EXP(-LN(2)/25))/(LN(2)/25)*Calculateur!V85*Calculateur!X85*VLOOKUP('Données projet'!$B$9,Paramètres!$A$1:$I$89,3,0)*0.475*44/12</f>
        <v>39.105649734398128</v>
      </c>
      <c r="AB85" s="21">
        <f>EXP(-LN(2)/2)*AB84+(1-EXP(-LN(2)/2))/(LN(2)/2)*V85*Y85*VLOOKUP('Données projet'!$B$9,Paramètres!$A$1:$I$89,3,0)*0.475*44/12</f>
        <v>5.5851032067732714E-3</v>
      </c>
      <c r="AC85" s="22">
        <f t="shared" si="57"/>
        <v>180.81740114490714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14.400000000000006</v>
      </c>
      <c r="AI85" s="13">
        <f>IF('Données projet'!$A$62&gt;35,AI84+AH85-AQ84,IF(A85&lt;'Données projet'!$A$62,$AF$205^A85,IF(A85='Données projet'!$A$62,'Données projet'!$B$62,AI84+AH85-AQ84)))</f>
        <v>456.19999999999959</v>
      </c>
      <c r="AJ85" s="13">
        <f>AI85*VLOOKUP('Données projet'!$B$10,Paramètres!$A$1:$I$89,3,0)*VLOOKUP('Données projet'!$B$10,Paramètres!$A$1:$I$89,5,0)</f>
        <v>213.50159999999983</v>
      </c>
      <c r="AK85" s="13">
        <f t="shared" si="89"/>
        <v>52.700035393364203</v>
      </c>
      <c r="AL85" s="20">
        <f t="shared" si="58"/>
        <v>463.63451497677562</v>
      </c>
      <c r="AM85" s="59">
        <f t="shared" si="59"/>
        <v>735.14060660876271</v>
      </c>
      <c r="AN85" s="59">
        <f ca="1">AVERAGE(OFFSET($AM$3,0,0,'Données projet'!$E$10+1,1))-AVERAGE(OFFSET($H$3,0,0,'Données projet'!$E$10+1,1))</f>
        <v>391.61151255507264</v>
      </c>
      <c r="AO85" s="59">
        <f t="shared" si="90"/>
        <v>365.61278905364281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81.314409748546282</v>
      </c>
      <c r="AV85" s="21">
        <f>EXP(-LN(2)/25)*AV84+(1-EXP(-LN(2)/25))/(LN(2)/25)*Calculateur!AQ85*Calculateur!AS85*VLOOKUP('Données projet'!$B$10,Paramètres!$A$1:$I$89,3,0)*0.475*44/12</f>
        <v>22.944271711909995</v>
      </c>
      <c r="AW85" s="21">
        <f>EXP(-LN(2)/2)*AW84+(1-EXP(-LN(2)/2))/(LN(2)/2)*AQ85*AT85*VLOOKUP('Données projet'!$B$10,Paramètres!$A$1:$I$89,3,0)*0.475*44/12</f>
        <v>3.562304780380952</v>
      </c>
      <c r="AX85" s="21">
        <f t="shared" si="60"/>
        <v>107.82098624083723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9.4750000000000014</v>
      </c>
      <c r="BD85" s="12">
        <f>IF('Données projet'!$A$88&gt;35,BD84+BC85-BL84,IF(A85&lt;'Données projet'!$A$88,$BA$205^A85,IF(A85='Données projet'!$A$88,'Données projet'!$B$88,BD84+BC85-BL84)))</f>
        <v>296.62500000000011</v>
      </c>
      <c r="BE85" s="13">
        <f>BD85*VLOOKUP('Données projet'!$B$11,Paramètres!$A$1:$I$89,3,0)*VLOOKUP('Données projet'!$B$11,Paramètres!$A$1:$I$89,5,0)</f>
        <v>282.26835000000011</v>
      </c>
      <c r="BF85" s="13">
        <f t="shared" si="91"/>
        <v>67.446151103604308</v>
      </c>
      <c r="BG85" s="20">
        <f t="shared" si="61"/>
        <v>609.08608942211106</v>
      </c>
      <c r="BH85" s="59">
        <f t="shared" si="62"/>
        <v>880.59218105409809</v>
      </c>
      <c r="BI85" s="59">
        <f ca="1">AVERAGE(OFFSET($BH$3,0,0,'Données projet'!$E$11+1,1))-AVERAGE(OFFSET($H$3,0,0,'Données projet'!$E$11+1,1))</f>
        <v>486.36809102684492</v>
      </c>
      <c r="BJ85" s="59">
        <f t="shared" si="92"/>
        <v>308.42890859885006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13.631216117218553</v>
      </c>
      <c r="BQ85" s="21">
        <f>EXP(-LN(2)/25)*BQ84+(1-EXP(-LN(2)/25))/(LN(2)/25)*Calculateur!BL85*Calculateur!BN85*VLOOKUP('Données projet'!$B$11,Paramètres!$A$1:$I$89,3,0)*0.475*44/12</f>
        <v>15.931766088193632</v>
      </c>
      <c r="BR85" s="21">
        <f>EXP(-LN(2)/2)*BR84+(1-EXP(-LN(2)/2))/(LN(2)/2)*BL85*BO85*VLOOKUP('Données projet'!$B$11,Paramètres!$A$1:$I$89,3,0)*0.475*44/12</f>
        <v>0.91944113306895658</v>
      </c>
      <c r="BS85" s="22">
        <f t="shared" si="63"/>
        <v>30.482423338481141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6.8212102632969618E-13</v>
      </c>
      <c r="O86" s="13">
        <f>N86*VLOOKUP('Données projet'!$B$9,Paramètres!$A$1:$I$89,3,0)*VLOOKUP('Données projet'!$B$9,Paramètres!$A$1:$I$89,5,0)</f>
        <v>3.8130565371830017E-13</v>
      </c>
      <c r="P86" s="13">
        <f t="shared" si="87"/>
        <v>4.9019074112354236E-12</v>
      </c>
      <c r="Q86" s="20">
        <f t="shared" si="54"/>
        <v>9.2015960881277352E-12</v>
      </c>
      <c r="R86" s="59">
        <f t="shared" si="55"/>
        <v>271.88474547711269</v>
      </c>
      <c r="S86" s="59">
        <f ca="1">AVERAGE(OFFSET($R$3,0,0,'Données projet'!$E$9+1,1))-AVERAGE(OFFSET($H$3,0,0,'Données projet'!$E$9+1,1))</f>
        <v>418.8940806978344</v>
      </c>
      <c r="T86" s="59">
        <f t="shared" si="88"/>
        <v>553.49616487922378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138.92739481824302</v>
      </c>
      <c r="AA86" s="21">
        <f>EXP(-LN(2)/25)*AA85+(1-EXP(-LN(2)/25))/(LN(2)/25)*Calculateur!V86*Calculateur!X86*VLOOKUP('Données projet'!$B$9,Paramètres!$A$1:$I$89,3,0)*0.475*44/12</f>
        <v>38.036303685934271</v>
      </c>
      <c r="AB86" s="21">
        <f>EXP(-LN(2)/2)*AB85+(1-EXP(-LN(2)/2))/(LN(2)/2)*V86*Y86*VLOOKUP('Données projet'!$B$9,Paramètres!$A$1:$I$89,3,0)*0.475*44/12</f>
        <v>3.9492643511361124E-3</v>
      </c>
      <c r="AC86" s="22">
        <f t="shared" si="57"/>
        <v>176.96764776852842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14.400000000000006</v>
      </c>
      <c r="AI86" s="13">
        <f>IF('Données projet'!$A$62&gt;35,AI85+AH86-AQ85,IF(A86&lt;'Données projet'!$A$62,$AF$205^A86,IF(A86='Données projet'!$A$62,'Données projet'!$B$62,AI85+AH86-AQ85)))</f>
        <v>470.59999999999957</v>
      </c>
      <c r="AJ86" s="13">
        <f>AI86*VLOOKUP('Données projet'!$B$10,Paramètres!$A$1:$I$89,3,0)*VLOOKUP('Données projet'!$B$10,Paramètres!$A$1:$I$89,5,0)</f>
        <v>220.24079999999978</v>
      </c>
      <c r="AK86" s="13">
        <f t="shared" si="89"/>
        <v>54.167219078226708</v>
      </c>
      <c r="AL86" s="20">
        <f t="shared" si="58"/>
        <v>477.9272998945778</v>
      </c>
      <c r="AM86" s="59">
        <f t="shared" si="59"/>
        <v>749.81204537168128</v>
      </c>
      <c r="AN86" s="59">
        <f ca="1">AVERAGE(OFFSET($AM$3,0,0,'Données projet'!$E$10+1,1))-AVERAGE(OFFSET($H$3,0,0,'Données projet'!$E$10+1,1))</f>
        <v>391.61151255507264</v>
      </c>
      <c r="AO86" s="59">
        <f t="shared" si="90"/>
        <v>365.61278905364281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79.719883770269945</v>
      </c>
      <c r="AV86" s="21">
        <f>EXP(-LN(2)/25)*AV85+(1-EXP(-LN(2)/25))/(LN(2)/25)*Calculateur!AQ86*Calculateur!AS86*VLOOKUP('Données projet'!$B$10,Paramètres!$A$1:$I$89,3,0)*0.475*44/12</f>
        <v>22.316859395361007</v>
      </c>
      <c r="AW86" s="21">
        <f>EXP(-LN(2)/2)*AW85+(1-EXP(-LN(2)/2))/(LN(2)/2)*AQ86*AT86*VLOOKUP('Données projet'!$B$10,Paramètres!$A$1:$I$89,3,0)*0.475*44/12</f>
        <v>2.5189298668606264</v>
      </c>
      <c r="AX86" s="21">
        <f t="shared" si="60"/>
        <v>104.55567303249158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306.10000000000002</v>
      </c>
      <c r="BB86" s="12">
        <f>VLOOKUP(A86,'Données projet'!$A$87:$I$107,9,0)</f>
        <v>9.4750000000000014</v>
      </c>
      <c r="BC86" s="12">
        <f t="array" ref="BC86">INDEX(BB:BB,MIN(IF(ISNUMBER(BB86:BB282),ROW(BB86:BB282),"")))</f>
        <v>9.4750000000000014</v>
      </c>
      <c r="BD86" s="12">
        <f>IF('Données projet'!$A$88&gt;35,BD85+BC86-BL85,IF(A86&lt;'Données projet'!$A$88,$BA$205^A86,IF(A86='Données projet'!$A$88,'Données projet'!$B$88,BD85+BC86-BL85)))</f>
        <v>306.10000000000014</v>
      </c>
      <c r="BE86" s="13">
        <f>BD86*VLOOKUP('Données projet'!$B$11,Paramètres!$A$1:$I$89,3,0)*VLOOKUP('Données projet'!$B$11,Paramètres!$A$1:$I$89,5,0)</f>
        <v>291.28476000000018</v>
      </c>
      <c r="BF86" s="13">
        <f t="shared" si="91"/>
        <v>69.346291402143947</v>
      </c>
      <c r="BG86" s="20">
        <f t="shared" si="61"/>
        <v>628.09908119206762</v>
      </c>
      <c r="BH86" s="59">
        <f t="shared" si="62"/>
        <v>899.98382666917109</v>
      </c>
      <c r="BI86" s="59">
        <f ca="1">AVERAGE(OFFSET($BH$3,0,0,'Données projet'!$E$11+1,1))-AVERAGE(OFFSET($H$3,0,0,'Données projet'!$E$11+1,1))</f>
        <v>486.36809102684492</v>
      </c>
      <c r="BJ86" s="59">
        <f t="shared" si="92"/>
        <v>308.42890859885006</v>
      </c>
      <c r="BK86" s="15">
        <f>IF(ISNA(VLOOKUP(A86,'Données projet'!$A$87:$I$107,3,0)),0,VLOOKUP(A86,'Données projet'!$A$87:$I$107,3,0))</f>
        <v>7</v>
      </c>
      <c r="BL86" s="15">
        <f>IF(ISNA(VLOOKUP(A86,'Données projet'!$A$87:$I$107,4,0)),0,VLOOKUP(A86,'Données projet'!$A$87:$I$107,4,0))</f>
        <v>50</v>
      </c>
      <c r="BM86" s="16">
        <f>IF(ISNA(VLOOKUP(A86,'Données projet'!$A$87:$I$107,5,0)),0%,VLOOKUP(A86,'Données projet'!$A$87:$I$107,5,0)*VLOOKUP('Données projet'!$B$11,Paramètres!$A$1:$I$89,7,0))</f>
        <v>0.1075</v>
      </c>
      <c r="BN86" s="16">
        <f>IF(ISNA(VLOOKUP(A86,'Données projet'!$A$87:$I$107,6,0)),0%,VLOOKUP(A86,'Données projet'!$A$87:$I$107,6,0)*VLOOKUP('Données projet'!$B$11,Paramètres!$A$1:$I$89,7,0))</f>
        <v>0.1075</v>
      </c>
      <c r="BO86" s="16">
        <f>IF(ISNA(VLOOKUP(A86,'Données projet'!$A$87:$I$107,7,0)),0%,VLOOKUP(A86,'Données projet'!$A$87:$I$107,7,0))</f>
        <v>0.25</v>
      </c>
      <c r="BP86" s="21">
        <f>EXP(-LN(2)/35)*BP85+(1-EXP(-LN(2)/35))/(LN(2)/35)*BL86*BM86*VLOOKUP('Données projet'!$B$11,Paramètres!$A$1:$I$89,3,0)*0.475*44/12</f>
        <v>19.018231454134877</v>
      </c>
      <c r="BQ86" s="21">
        <f>EXP(-LN(2)/25)*BQ85+(1-EXP(-LN(2)/25))/(LN(2)/25)*Calculateur!BL86*Calculateur!BN86*VLOOKUP('Données projet'!$B$11,Paramètres!$A$1:$I$89,3,0)*0.475*44/12</f>
        <v>21.128163084160676</v>
      </c>
      <c r="BR86" s="21">
        <f>EXP(-LN(2)/2)*BR85+(1-EXP(-LN(2)/2))/(LN(2)/2)*BL86*BO86*VLOOKUP('Données projet'!$B$11,Paramètres!$A$1:$I$89,3,0)*0.475*44/12</f>
        <v>11.873395709325992</v>
      </c>
      <c r="BS86" s="22">
        <f t="shared" si="63"/>
        <v>52.019790247621543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6.8212102632969618E-13</v>
      </c>
      <c r="O87" s="13">
        <f>N87*VLOOKUP('Données projet'!$B$9,Paramètres!$A$1:$I$89,3,0)*VLOOKUP('Données projet'!$B$9,Paramètres!$A$1:$I$89,5,0)</f>
        <v>3.8130565371830017E-13</v>
      </c>
      <c r="P87" s="13">
        <f t="shared" si="87"/>
        <v>4.9019074112354236E-12</v>
      </c>
      <c r="Q87" s="20">
        <f t="shared" si="54"/>
        <v>9.2015960881277352E-12</v>
      </c>
      <c r="R87" s="59">
        <f t="shared" si="55"/>
        <v>272.25683052455952</v>
      </c>
      <c r="S87" s="59">
        <f ca="1">AVERAGE(OFFSET($R$3,0,0,'Données projet'!$E$9+1,1))-AVERAGE(OFFSET($H$3,0,0,'Données projet'!$E$9+1,1))</f>
        <v>418.8940806978344</v>
      </c>
      <c r="T87" s="59">
        <f t="shared" si="88"/>
        <v>553.49616487922378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136.20311334320098</v>
      </c>
      <c r="AA87" s="21">
        <f>EXP(-LN(2)/25)*AA86+(1-EXP(-LN(2)/25))/(LN(2)/25)*Calculateur!V87*Calculateur!X87*VLOOKUP('Données projet'!$B$9,Paramètres!$A$1:$I$89,3,0)*0.475*44/12</f>
        <v>36.996198961400118</v>
      </c>
      <c r="AB87" s="21">
        <f>EXP(-LN(2)/2)*AB86+(1-EXP(-LN(2)/2))/(LN(2)/2)*V87*Y87*VLOOKUP('Données projet'!$B$9,Paramètres!$A$1:$I$89,3,0)*0.475*44/12</f>
        <v>2.7925516033866357E-3</v>
      </c>
      <c r="AC87" s="22">
        <f t="shared" si="57"/>
        <v>173.2021048562045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14.400000000000006</v>
      </c>
      <c r="AI87" s="13">
        <f>IF('Données projet'!$A$62&gt;35,AI86+AH87-AQ86,IF(A87&lt;'Données projet'!$A$62,$AF$205^A87,IF(A87='Données projet'!$A$62,'Données projet'!$B$62,AI86+AH87-AQ86)))</f>
        <v>484.99999999999955</v>
      </c>
      <c r="AJ87" s="13">
        <f>AI87*VLOOKUP('Données projet'!$B$10,Paramètres!$A$1:$I$89,3,0)*VLOOKUP('Données projet'!$B$10,Paramètres!$A$1:$I$89,5,0)</f>
        <v>226.97999999999979</v>
      </c>
      <c r="AK87" s="13">
        <f t="shared" si="89"/>
        <v>55.629185455335879</v>
      </c>
      <c r="AL87" s="20">
        <f t="shared" si="58"/>
        <v>492.21099800137625</v>
      </c>
      <c r="AM87" s="59">
        <f t="shared" si="59"/>
        <v>764.46782852592651</v>
      </c>
      <c r="AN87" s="59">
        <f ca="1">AVERAGE(OFFSET($AM$3,0,0,'Données projet'!$E$10+1,1))-AVERAGE(OFFSET($H$3,0,0,'Données projet'!$E$10+1,1))</f>
        <v>391.61151255507264</v>
      </c>
      <c r="AO87" s="59">
        <f t="shared" si="90"/>
        <v>365.61278905364281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78.156625473862803</v>
      </c>
      <c r="AV87" s="21">
        <f>EXP(-LN(2)/25)*AV86+(1-EXP(-LN(2)/25))/(LN(2)/25)*Calculateur!AQ87*Calculateur!AS87*VLOOKUP('Données projet'!$B$10,Paramètres!$A$1:$I$89,3,0)*0.475*44/12</f>
        <v>21.70660370160223</v>
      </c>
      <c r="AW87" s="21">
        <f>EXP(-LN(2)/2)*AW86+(1-EXP(-LN(2)/2))/(LN(2)/2)*AQ87*AT87*VLOOKUP('Données projet'!$B$10,Paramètres!$A$1:$I$89,3,0)*0.475*44/12</f>
        <v>1.7811523901904764</v>
      </c>
      <c r="AX87" s="21">
        <f t="shared" si="60"/>
        <v>101.64438156565551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9.2799999999999958</v>
      </c>
      <c r="BD87" s="12">
        <f>IF('Données projet'!$A$88&gt;35,BD86+BC87-BL86,IF(A87&lt;'Données projet'!$A$88,$BA$205^A87,IF(A87='Données projet'!$A$88,'Données projet'!$B$88,BD86+BC87-BL86)))</f>
        <v>265.38000000000011</v>
      </c>
      <c r="BE87" s="13">
        <f>BD87*VLOOKUP('Données projet'!$B$11,Paramètres!$A$1:$I$89,3,0)*VLOOKUP('Données projet'!$B$11,Paramètres!$A$1:$I$89,5,0)</f>
        <v>252.53560800000008</v>
      </c>
      <c r="BF87" s="13">
        <f t="shared" si="91"/>
        <v>61.128583841273255</v>
      </c>
      <c r="BG87" s="20">
        <f t="shared" si="61"/>
        <v>546.2984674568844</v>
      </c>
      <c r="BH87" s="59">
        <f t="shared" si="62"/>
        <v>818.55529798143471</v>
      </c>
      <c r="BI87" s="59">
        <f ca="1">AVERAGE(OFFSET($BH$3,0,0,'Données projet'!$E$11+1,1))-AVERAGE(OFFSET($H$3,0,0,'Données projet'!$E$11+1,1))</f>
        <v>486.36809102684492</v>
      </c>
      <c r="BJ87" s="59">
        <f t="shared" si="92"/>
        <v>308.42890859885006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18.645295535295077</v>
      </c>
      <c r="BQ87" s="21">
        <f>EXP(-LN(2)/25)*BQ86+(1-EXP(-LN(2)/25))/(LN(2)/25)*Calculateur!BL87*Calculateur!BN87*VLOOKUP('Données projet'!$B$11,Paramètres!$A$1:$I$89,3,0)*0.475*44/12</f>
        <v>20.550412353542495</v>
      </c>
      <c r="BR87" s="21">
        <f>EXP(-LN(2)/2)*BR86+(1-EXP(-LN(2)/2))/(LN(2)/2)*BL87*BO87*VLOOKUP('Données projet'!$B$11,Paramètres!$A$1:$I$89,3,0)*0.475*44/12</f>
        <v>8.3957586217756663</v>
      </c>
      <c r="BS87" s="22">
        <f t="shared" si="63"/>
        <v>47.591466510613245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6.8212102632969618E-13</v>
      </c>
      <c r="O88" s="13">
        <f>N88*VLOOKUP('Données projet'!$B$9,Paramètres!$A$1:$I$89,3,0)*VLOOKUP('Données projet'!$B$9,Paramètres!$A$1:$I$89,5,0)</f>
        <v>3.8130565371830017E-13</v>
      </c>
      <c r="P88" s="13">
        <f t="shared" si="87"/>
        <v>4.9019074112354236E-12</v>
      </c>
      <c r="Q88" s="20">
        <f t="shared" si="54"/>
        <v>9.2015960881277352E-12</v>
      </c>
      <c r="R88" s="59">
        <f t="shared" si="55"/>
        <v>272.62246072829072</v>
      </c>
      <c r="S88" s="59">
        <f ca="1">AVERAGE(OFFSET($R$3,0,0,'Données projet'!$E$9+1,1))-AVERAGE(OFFSET($H$3,0,0,'Données projet'!$E$9+1,1))</f>
        <v>418.8940806978344</v>
      </c>
      <c r="T88" s="59">
        <f t="shared" si="88"/>
        <v>553.49616487922378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133.53225336623692</v>
      </c>
      <c r="AA88" s="21">
        <f>EXP(-LN(2)/25)*AA87+(1-EXP(-LN(2)/25))/(LN(2)/25)*Calculateur!V88*Calculateur!X88*VLOOKUP('Données projet'!$B$9,Paramètres!$A$1:$I$89,3,0)*0.475*44/12</f>
        <v>35.984535955255083</v>
      </c>
      <c r="AB88" s="21">
        <f>EXP(-LN(2)/2)*AB87+(1-EXP(-LN(2)/2))/(LN(2)/2)*V88*Y88*VLOOKUP('Données projet'!$B$9,Paramètres!$A$1:$I$89,3,0)*0.475*44/12</f>
        <v>1.9746321755680562E-3</v>
      </c>
      <c r="AC88" s="22">
        <f t="shared" si="57"/>
        <v>169.51876395366759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14.400000000000006</v>
      </c>
      <c r="AI88" s="13">
        <f>IF('Données projet'!$A$62&gt;35,AI87+AH88-AQ87,IF(A88&lt;'Données projet'!$A$62,$AF$205^A88,IF(A88='Données projet'!$A$62,'Données projet'!$B$62,AI87+AH88-AQ87)))</f>
        <v>499.39999999999952</v>
      </c>
      <c r="AJ88" s="13">
        <f>AI88*VLOOKUP('Données projet'!$B$10,Paramètres!$A$1:$I$89,3,0)*VLOOKUP('Données projet'!$B$10,Paramètres!$A$1:$I$89,5,0)</f>
        <v>233.71919999999977</v>
      </c>
      <c r="AK88" s="13">
        <f t="shared" si="89"/>
        <v>57.08610721429271</v>
      </c>
      <c r="AL88" s="20">
        <f t="shared" si="58"/>
        <v>506.48591006489278</v>
      </c>
      <c r="AM88" s="59">
        <f t="shared" si="59"/>
        <v>779.10837079317434</v>
      </c>
      <c r="AN88" s="59">
        <f ca="1">AVERAGE(OFFSET($AM$3,0,0,'Données projet'!$E$10+1,1))-AVERAGE(OFFSET($H$3,0,0,'Données projet'!$E$10+1,1))</f>
        <v>391.61151255507264</v>
      </c>
      <c r="AO88" s="59">
        <f t="shared" si="90"/>
        <v>365.61278905364281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76.624021719154783</v>
      </c>
      <c r="AV88" s="21">
        <f>EXP(-LN(2)/25)*AV87+(1-EXP(-LN(2)/25))/(LN(2)/25)*Calculateur!AQ88*Calculateur!AS88*VLOOKUP('Données projet'!$B$10,Paramètres!$A$1:$I$89,3,0)*0.475*44/12</f>
        <v>21.113035481881241</v>
      </c>
      <c r="AW88" s="21">
        <f>EXP(-LN(2)/2)*AW87+(1-EXP(-LN(2)/2))/(LN(2)/2)*AQ88*AT88*VLOOKUP('Données projet'!$B$10,Paramètres!$A$1:$I$89,3,0)*0.475*44/12</f>
        <v>1.2594649334303134</v>
      </c>
      <c r="AX88" s="21">
        <f t="shared" si="60"/>
        <v>98.996522134466332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9.2799999999999958</v>
      </c>
      <c r="BD88" s="12">
        <f>IF('Données projet'!$A$88&gt;35,BD87+BC88-BL87,IF(A88&lt;'Données projet'!$A$88,$BA$205^A88,IF(A88='Données projet'!$A$88,'Données projet'!$B$88,BD87+BC88-BL87)))</f>
        <v>274.66000000000008</v>
      </c>
      <c r="BE88" s="13">
        <f>BD88*VLOOKUP('Données projet'!$B$11,Paramètres!$A$1:$I$89,3,0)*VLOOKUP('Données projet'!$B$11,Paramètres!$A$1:$I$89,5,0)</f>
        <v>261.36645600000008</v>
      </c>
      <c r="BF88" s="13">
        <f t="shared" si="91"/>
        <v>63.013562235931964</v>
      </c>
      <c r="BG88" s="20">
        <f t="shared" si="61"/>
        <v>564.96186509424831</v>
      </c>
      <c r="BH88" s="59">
        <f t="shared" si="62"/>
        <v>837.58432582252976</v>
      </c>
      <c r="BI88" s="59">
        <f ca="1">AVERAGE(OFFSET($BH$3,0,0,'Données projet'!$E$11+1,1))-AVERAGE(OFFSET($H$3,0,0,'Données projet'!$E$11+1,1))</f>
        <v>486.36809102684492</v>
      </c>
      <c r="BJ88" s="59">
        <f t="shared" si="92"/>
        <v>308.42890859885006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18.279672662355274</v>
      </c>
      <c r="BQ88" s="21">
        <f>EXP(-LN(2)/25)*BQ87+(1-EXP(-LN(2)/25))/(LN(2)/25)*Calculateur!BL88*Calculateur!BN88*VLOOKUP('Données projet'!$B$11,Paramètres!$A$1:$I$89,3,0)*0.475*44/12</f>
        <v>19.988460247035658</v>
      </c>
      <c r="BR88" s="21">
        <f>EXP(-LN(2)/2)*BR87+(1-EXP(-LN(2)/2))/(LN(2)/2)*BL88*BO88*VLOOKUP('Données projet'!$B$11,Paramètres!$A$1:$I$89,3,0)*0.475*44/12</f>
        <v>5.936697854662996</v>
      </c>
      <c r="BS88" s="22">
        <f t="shared" si="63"/>
        <v>44.204830764053924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6.8212102632969618E-13</v>
      </c>
      <c r="O89" s="13">
        <f>N89*VLOOKUP('Données projet'!$B$9,Paramètres!$A$1:$I$89,3,0)*VLOOKUP('Données projet'!$B$9,Paramètres!$A$1:$I$89,5,0)</f>
        <v>3.8130565371830017E-13</v>
      </c>
      <c r="P89" s="13">
        <f t="shared" si="87"/>
        <v>4.9019074112354236E-12</v>
      </c>
      <c r="Q89" s="20">
        <f t="shared" si="54"/>
        <v>9.2015960881277352E-12</v>
      </c>
      <c r="R89" s="59">
        <f t="shared" si="55"/>
        <v>272.98174806541391</v>
      </c>
      <c r="S89" s="59">
        <f ca="1">AVERAGE(OFFSET($R$3,0,0,'Données projet'!$E$9+1,1))-AVERAGE(OFFSET($H$3,0,0,'Données projet'!$E$9+1,1))</f>
        <v>418.8940806978344</v>
      </c>
      <c r="T89" s="59">
        <f t="shared" si="88"/>
        <v>553.49616487922378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130.91376732435737</v>
      </c>
      <c r="AA89" s="21">
        <f>EXP(-LN(2)/25)*AA88+(1-EXP(-LN(2)/25))/(LN(2)/25)*Calculateur!V89*Calculateur!X89*VLOOKUP('Données projet'!$B$9,Paramètres!$A$1:$I$89,3,0)*0.475*44/12</f>
        <v>35.000536927214128</v>
      </c>
      <c r="AB89" s="21">
        <f>EXP(-LN(2)/2)*AB88+(1-EXP(-LN(2)/2))/(LN(2)/2)*V89*Y89*VLOOKUP('Données projet'!$B$9,Paramètres!$A$1:$I$89,3,0)*0.475*44/12</f>
        <v>1.3962758016933178E-3</v>
      </c>
      <c r="AC89" s="22">
        <f t="shared" si="57"/>
        <v>165.91570052737316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14.400000000000006</v>
      </c>
      <c r="AI89" s="13">
        <f>IF('Données projet'!$A$62&gt;35,AI88+AH89-AQ88,IF(A89&lt;'Données projet'!$A$62,$AF$205^A89,IF(A89='Données projet'!$A$62,'Données projet'!$B$62,AI88+AH89-AQ88)))</f>
        <v>513.7999999999995</v>
      </c>
      <c r="AJ89" s="13">
        <f>AI89*VLOOKUP('Données projet'!$B$10,Paramètres!$A$1:$I$89,3,0)*VLOOKUP('Données projet'!$B$10,Paramètres!$A$1:$I$89,5,0)</f>
        <v>240.45839999999978</v>
      </c>
      <c r="AK89" s="13">
        <f t="shared" si="89"/>
        <v>58.538146519471546</v>
      </c>
      <c r="AL89" s="20">
        <f t="shared" si="58"/>
        <v>520.75231852141258</v>
      </c>
      <c r="AM89" s="59">
        <f t="shared" si="59"/>
        <v>793.73406658681733</v>
      </c>
      <c r="AN89" s="59">
        <f ca="1">AVERAGE(OFFSET($AM$3,0,0,'Données projet'!$E$10+1,1))-AVERAGE(OFFSET($H$3,0,0,'Données projet'!$E$10+1,1))</f>
        <v>391.61151255507264</v>
      </c>
      <c r="AO89" s="59">
        <f t="shared" si="90"/>
        <v>365.61278905364281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75.1214713892806</v>
      </c>
      <c r="AV89" s="21">
        <f>EXP(-LN(2)/25)*AV88+(1-EXP(-LN(2)/25))/(LN(2)/25)*Calculateur!AQ89*Calculateur!AS89*VLOOKUP('Données projet'!$B$10,Paramètres!$A$1:$I$89,3,0)*0.475*44/12</f>
        <v>20.535698416342917</v>
      </c>
      <c r="AW89" s="21">
        <f>EXP(-LN(2)/2)*AW88+(1-EXP(-LN(2)/2))/(LN(2)/2)*AQ89*AT89*VLOOKUP('Données projet'!$B$10,Paramètres!$A$1:$I$89,3,0)*0.475*44/12</f>
        <v>0.89057619509523833</v>
      </c>
      <c r="AX89" s="21">
        <f t="shared" si="60"/>
        <v>96.547746000718746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9.2799999999999958</v>
      </c>
      <c r="BD89" s="12">
        <f>IF('Données projet'!$A$88&gt;35,BD88+BC89-BL88,IF(A89&lt;'Données projet'!$A$88,$BA$205^A89,IF(A89='Données projet'!$A$88,'Données projet'!$B$88,BD88+BC89-BL88)))</f>
        <v>283.94000000000005</v>
      </c>
      <c r="BE89" s="13">
        <f>BD89*VLOOKUP('Données projet'!$B$11,Paramètres!$A$1:$I$89,3,0)*VLOOKUP('Données projet'!$B$11,Paramètres!$A$1:$I$89,5,0)</f>
        <v>270.19730400000003</v>
      </c>
      <c r="BF89" s="13">
        <f t="shared" si="91"/>
        <v>64.891140395888812</v>
      </c>
      <c r="BG89" s="20">
        <f t="shared" si="61"/>
        <v>583.61237398950641</v>
      </c>
      <c r="BH89" s="59">
        <f t="shared" si="62"/>
        <v>856.59412205491117</v>
      </c>
      <c r="BI89" s="59">
        <f ca="1">AVERAGE(OFFSET($BH$3,0,0,'Données projet'!$E$11+1,1))-AVERAGE(OFFSET($H$3,0,0,'Données projet'!$E$11+1,1))</f>
        <v>486.36809102684492</v>
      </c>
      <c r="BJ89" s="59">
        <f t="shared" si="92"/>
        <v>308.42890859885006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17.921219430945889</v>
      </c>
      <c r="BQ89" s="21">
        <f>EXP(-LN(2)/25)*BQ88+(1-EXP(-LN(2)/25))/(LN(2)/25)*Calculateur!BL89*Calculateur!BN89*VLOOKUP('Données projet'!$B$11,Paramètres!$A$1:$I$89,3,0)*0.475*44/12</f>
        <v>19.441874750433026</v>
      </c>
      <c r="BR89" s="21">
        <f>EXP(-LN(2)/2)*BR88+(1-EXP(-LN(2)/2))/(LN(2)/2)*BL89*BO89*VLOOKUP('Données projet'!$B$11,Paramètres!$A$1:$I$89,3,0)*0.475*44/12</f>
        <v>4.1978793108878332</v>
      </c>
      <c r="BS89" s="22">
        <f t="shared" si="63"/>
        <v>41.560973492266747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6.8212102632969618E-13</v>
      </c>
      <c r="O90" s="13">
        <f>N90*VLOOKUP('Données projet'!$B$9,Paramètres!$A$1:$I$89,3,0)*VLOOKUP('Données projet'!$B$9,Paramètres!$A$1:$I$89,5,0)</f>
        <v>3.8130565371830017E-13</v>
      </c>
      <c r="P90" s="13">
        <f t="shared" si="87"/>
        <v>4.9019074112354236E-12</v>
      </c>
      <c r="Q90" s="20">
        <f t="shared" si="54"/>
        <v>9.2015960881277352E-12</v>
      </c>
      <c r="R90" s="59">
        <f t="shared" si="55"/>
        <v>273.33480257048404</v>
      </c>
      <c r="S90" s="59">
        <f ca="1">AVERAGE(OFFSET($R$3,0,0,'Données projet'!$E$9+1,1))-AVERAGE(OFFSET($H$3,0,0,'Données projet'!$E$9+1,1))</f>
        <v>418.8940806978344</v>
      </c>
      <c r="T90" s="59">
        <f t="shared" si="88"/>
        <v>553.49616487922378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128.3466281966403</v>
      </c>
      <c r="AA90" s="21">
        <f>EXP(-LN(2)/25)*AA89+(1-EXP(-LN(2)/25))/(LN(2)/25)*Calculateur!V90*Calculateur!X90*VLOOKUP('Données projet'!$B$9,Paramètres!$A$1:$I$89,3,0)*0.475*44/12</f>
        <v>34.043445404341213</v>
      </c>
      <c r="AB90" s="21">
        <f>EXP(-LN(2)/2)*AB89+(1-EXP(-LN(2)/2))/(LN(2)/2)*V90*Y90*VLOOKUP('Données projet'!$B$9,Paramètres!$A$1:$I$89,3,0)*0.475*44/12</f>
        <v>9.8731608778402811E-4</v>
      </c>
      <c r="AC90" s="22">
        <f t="shared" si="57"/>
        <v>162.3910609170693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528.20000000000005</v>
      </c>
      <c r="AG90" s="12">
        <f>VLOOKUP(A90,'Données projet'!$A$61:$I$81,9,0)</f>
        <v>14.400000000000006</v>
      </c>
      <c r="AH90" s="12">
        <f t="array" ref="AH90">INDEX(AG:AG,MIN(IF(ISNUMBER(AG90:AG286),ROW(AG90:AG286),"")))</f>
        <v>14.400000000000006</v>
      </c>
      <c r="AI90" s="13">
        <f>IF('Données projet'!$A$62&gt;35,AI89+AH90-AQ89,IF(A90&lt;'Données projet'!$A$62,$AF$205^A90,IF(A90='Données projet'!$A$62,'Données projet'!$B$62,AI89+AH90-AQ89)))</f>
        <v>528.19999999999948</v>
      </c>
      <c r="AJ90" s="13">
        <f>AI90*VLOOKUP('Données projet'!$B$10,Paramètres!$A$1:$I$89,3,0)*VLOOKUP('Données projet'!$B$10,Paramètres!$A$1:$I$89,5,0)</f>
        <v>247.19759999999977</v>
      </c>
      <c r="AK90" s="13">
        <f t="shared" si="89"/>
        <v>59.98545592830051</v>
      </c>
      <c r="AL90" s="20">
        <f t="shared" si="58"/>
        <v>535.01048907512302</v>
      </c>
      <c r="AM90" s="59">
        <f t="shared" si="59"/>
        <v>808.34529164559785</v>
      </c>
      <c r="AN90" s="59">
        <f ca="1">AVERAGE(OFFSET($AM$3,0,0,'Données projet'!$E$10+1,1))-AVERAGE(OFFSET($H$3,0,0,'Données projet'!$E$10+1,1))</f>
        <v>391.61151255507264</v>
      </c>
      <c r="AO90" s="59">
        <f t="shared" si="90"/>
        <v>365.61278905364281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89.7</v>
      </c>
      <c r="AR90" s="16">
        <f>IF(ISNA(VLOOKUP(A90,'Données projet'!$A$61:$I$81,5,0)),0%,VLOOKUP(A90,'Données projet'!$A$61:$I$81,5,0)*VLOOKUP('Données projet'!$B$10,Paramètres!$A$1:$I$89,7,0))</f>
        <v>0.33</v>
      </c>
      <c r="AS90" s="16">
        <f>IF(ISNA(VLOOKUP(A90,'Données projet'!$A$61:$I$81,6,0)),0%,VLOOKUP(A90,'Données projet'!$A$61:$I$81,6,0)*VLOOKUP('Données projet'!$B$10,Paramètres!$A$1:$I$89,7,0))</f>
        <v>0.11000000000000001</v>
      </c>
      <c r="AT90" s="16">
        <f>IF(ISNA(VLOOKUP(A90,'Données projet'!$A$61:$I$81,7,0)),0%,VLOOKUP(A90,'Données projet'!$A$61:$I$81,7,0))</f>
        <v>0.2</v>
      </c>
      <c r="AU90" s="21">
        <f>EXP(-LN(2)/35)*AU89+(1-EXP(-LN(2)/35))/(LN(2)/35)*AQ90*AR90*VLOOKUP('Données projet'!$B$10,Paramètres!$A$1:$I$89,3,0)*0.475*44/12</f>
        <v>92.025638075388059</v>
      </c>
      <c r="AV90" s="21">
        <f>EXP(-LN(2)/25)*AV89+(1-EXP(-LN(2)/25))/(LN(2)/25)*Calculateur!AQ90*Calculateur!AS90*VLOOKUP('Données projet'!$B$10,Paramètres!$A$1:$I$89,3,0)*0.475*44/12</f>
        <v>26.075780221038492</v>
      </c>
      <c r="AW90" s="21">
        <f>EXP(-LN(2)/2)*AW89+(1-EXP(-LN(2)/2))/(LN(2)/2)*AQ90*AT90*VLOOKUP('Données projet'!$B$10,Paramètres!$A$1:$I$89,3,0)*0.475*44/12</f>
        <v>10.135864258163561</v>
      </c>
      <c r="AX90" s="21">
        <f t="shared" si="60"/>
        <v>128.23728255459011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9.2799999999999958</v>
      </c>
      <c r="BD90" s="12">
        <f>IF('Données projet'!$A$88&gt;35,BD89+BC90-BL89,IF(A90&lt;'Données projet'!$A$88,$BA$205^A90,IF(A90='Données projet'!$A$88,'Données projet'!$B$88,BD89+BC90-BL89)))</f>
        <v>293.22000000000003</v>
      </c>
      <c r="BE90" s="13">
        <f>BD90*VLOOKUP('Données projet'!$B$11,Paramètres!$A$1:$I$89,3,0)*VLOOKUP('Données projet'!$B$11,Paramètres!$A$1:$I$89,5,0)</f>
        <v>279.02815200000003</v>
      </c>
      <c r="BF90" s="13">
        <f t="shared" si="91"/>
        <v>66.761587919916664</v>
      </c>
      <c r="BG90" s="20">
        <f t="shared" si="61"/>
        <v>602.25046369385495</v>
      </c>
      <c r="BH90" s="59">
        <f t="shared" si="62"/>
        <v>875.58526626432979</v>
      </c>
      <c r="BI90" s="59">
        <f ca="1">AVERAGE(OFFSET($BH$3,0,0,'Données projet'!$E$11+1,1))-AVERAGE(OFFSET($H$3,0,0,'Données projet'!$E$11+1,1))</f>
        <v>486.36809102684492</v>
      </c>
      <c r="BJ90" s="59">
        <f t="shared" si="92"/>
        <v>308.42890859885006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17.569795248769559</v>
      </c>
      <c r="BQ90" s="21">
        <f>EXP(-LN(2)/25)*BQ89+(1-EXP(-LN(2)/25))/(LN(2)/25)*Calculateur!BL90*Calculateur!BN90*VLOOKUP('Données projet'!$B$11,Paramètres!$A$1:$I$89,3,0)*0.475*44/12</f>
        <v>18.910235662978678</v>
      </c>
      <c r="BR90" s="21">
        <f>EXP(-LN(2)/2)*BR89+(1-EXP(-LN(2)/2))/(LN(2)/2)*BL90*BO90*VLOOKUP('Données projet'!$B$11,Paramètres!$A$1:$I$89,3,0)*0.475*44/12</f>
        <v>2.968348927331498</v>
      </c>
      <c r="BS90" s="22">
        <f t="shared" si="63"/>
        <v>39.448379839079735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6.8212102632969618E-13</v>
      </c>
      <c r="O91" s="13">
        <f>N91*VLOOKUP('Données projet'!$B$9,Paramètres!$A$1:$I$89,3,0)*VLOOKUP('Données projet'!$B$9,Paramètres!$A$1:$I$89,5,0)</f>
        <v>3.8130565371830017E-13</v>
      </c>
      <c r="P91" s="13">
        <f t="shared" si="87"/>
        <v>4.9019074112354236E-12</v>
      </c>
      <c r="Q91" s="20">
        <f t="shared" si="54"/>
        <v>9.2015960881277352E-12</v>
      </c>
      <c r="R91" s="59">
        <f t="shared" si="55"/>
        <v>273.6817323692029</v>
      </c>
      <c r="S91" s="59">
        <f ca="1">AVERAGE(OFFSET($R$3,0,0,'Données projet'!$E$9+1,1))-AVERAGE(OFFSET($H$3,0,0,'Données projet'!$E$9+1,1))</f>
        <v>418.8940806978344</v>
      </c>
      <c r="T91" s="59">
        <f t="shared" si="88"/>
        <v>553.49616487922378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125.8298291014175</v>
      </c>
      <c r="AA91" s="21">
        <f>EXP(-LN(2)/25)*AA90+(1-EXP(-LN(2)/25))/(LN(2)/25)*Calculateur!V91*Calculateur!X91*VLOOKUP('Données projet'!$B$9,Paramètres!$A$1:$I$89,3,0)*0.475*44/12</f>
        <v>33.112525599492514</v>
      </c>
      <c r="AB91" s="21">
        <f>EXP(-LN(2)/2)*AB90+(1-EXP(-LN(2)/2))/(LN(2)/2)*V91*Y91*VLOOKUP('Données projet'!$B$9,Paramètres!$A$1:$I$89,3,0)*0.475*44/12</f>
        <v>6.9813790084665892E-4</v>
      </c>
      <c r="AC91" s="22">
        <f t="shared" si="57"/>
        <v>158.94305283881087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13.337499999999999</v>
      </c>
      <c r="AI91" s="13">
        <f>IF('Données projet'!$A$62&gt;35,AI90+AH91-AQ90,IF(A91&lt;'Données projet'!$A$62,$AF$205^A91,IF(A91='Données projet'!$A$62,'Données projet'!$B$62,AI90+AH91-AQ90)))</f>
        <v>451.83749999999947</v>
      </c>
      <c r="AJ91" s="13">
        <f>AI91*VLOOKUP('Données projet'!$B$10,Paramètres!$A$1:$I$89,3,0)*VLOOKUP('Données projet'!$B$10,Paramètres!$A$1:$I$89,5,0)</f>
        <v>211.45994999999974</v>
      </c>
      <c r="AK91" s="13">
        <f t="shared" si="89"/>
        <v>52.254492751265751</v>
      </c>
      <c r="AL91" s="20">
        <f t="shared" si="58"/>
        <v>459.30265445845407</v>
      </c>
      <c r="AM91" s="59">
        <f t="shared" si="59"/>
        <v>732.98438682764777</v>
      </c>
      <c r="AN91" s="59">
        <f ca="1">AVERAGE(OFFSET($AM$3,0,0,'Données projet'!$E$10+1,1))-AVERAGE(OFFSET($H$3,0,0,'Données projet'!$E$10+1,1))</f>
        <v>391.61151255507264</v>
      </c>
      <c r="AO91" s="59">
        <f t="shared" si="90"/>
        <v>365.61278905364281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90.221071442826542</v>
      </c>
      <c r="AV91" s="21">
        <f>EXP(-LN(2)/25)*AV90+(1-EXP(-LN(2)/25))/(LN(2)/25)*Calculateur!AQ91*Calculateur!AS91*VLOOKUP('Données projet'!$B$10,Paramètres!$A$1:$I$89,3,0)*0.475*44/12</f>
        <v>25.362736639628508</v>
      </c>
      <c r="AW91" s="21">
        <f>EXP(-LN(2)/2)*AW90+(1-EXP(-LN(2)/2))/(LN(2)/2)*AQ91*AT91*VLOOKUP('Données projet'!$B$10,Paramètres!$A$1:$I$89,3,0)*0.475*44/12</f>
        <v>7.1671383501338095</v>
      </c>
      <c r="AX91" s="21">
        <f t="shared" si="60"/>
        <v>122.75094643258886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9.2799999999999958</v>
      </c>
      <c r="BD91" s="12">
        <f>IF('Données projet'!$A$88&gt;35,BD90+BC91-BL90,IF(A91&lt;'Données projet'!$A$88,$BA$205^A91,IF(A91='Données projet'!$A$88,'Données projet'!$B$88,BD90+BC91-BL90)))</f>
        <v>302.5</v>
      </c>
      <c r="BE91" s="13">
        <f>BD91*VLOOKUP('Données projet'!$B$11,Paramètres!$A$1:$I$89,3,0)*VLOOKUP('Données projet'!$B$11,Paramètres!$A$1:$I$89,5,0)</f>
        <v>287.85900000000004</v>
      </c>
      <c r="BF91" s="13">
        <f t="shared" si="91"/>
        <v>68.625156372854448</v>
      </c>
      <c r="BG91" s="20">
        <f t="shared" si="61"/>
        <v>620.87657234938831</v>
      </c>
      <c r="BH91" s="59">
        <f t="shared" si="62"/>
        <v>894.55830471858201</v>
      </c>
      <c r="BI91" s="59">
        <f ca="1">AVERAGE(OFFSET($BH$3,0,0,'Données projet'!$E$11+1,1))-AVERAGE(OFFSET($H$3,0,0,'Données projet'!$E$11+1,1))</f>
        <v>486.36809102684492</v>
      </c>
      <c r="BJ91" s="59">
        <f t="shared" si="92"/>
        <v>308.42890859885006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17.225262280458121</v>
      </c>
      <c r="BQ91" s="21">
        <f>EXP(-LN(2)/25)*BQ90+(1-EXP(-LN(2)/25))/(LN(2)/25)*Calculateur!BL91*Calculateur!BN91*VLOOKUP('Données projet'!$B$11,Paramètres!$A$1:$I$89,3,0)*0.475*44/12</f>
        <v>18.393134274328453</v>
      </c>
      <c r="BR91" s="21">
        <f>EXP(-LN(2)/2)*BR90+(1-EXP(-LN(2)/2))/(LN(2)/2)*BL91*BO91*VLOOKUP('Données projet'!$B$11,Paramètres!$A$1:$I$89,3,0)*0.475*44/12</f>
        <v>2.0989396554439166</v>
      </c>
      <c r="BS91" s="22">
        <f t="shared" si="63"/>
        <v>37.717336210230485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6.8212102632969618E-13</v>
      </c>
      <c r="O92" s="13">
        <f>N92*VLOOKUP('Données projet'!$B$9,Paramètres!$A$1:$I$89,3,0)*VLOOKUP('Données projet'!$B$9,Paramètres!$A$1:$I$89,5,0)</f>
        <v>3.8130565371830017E-13</v>
      </c>
      <c r="P92" s="13">
        <f t="shared" si="87"/>
        <v>4.9019074112354236E-12</v>
      </c>
      <c r="Q92" s="20">
        <f t="shared" si="54"/>
        <v>9.2015960881277352E-12</v>
      </c>
      <c r="R92" s="59">
        <f t="shared" si="55"/>
        <v>274.02264371153279</v>
      </c>
      <c r="S92" s="59">
        <f ca="1">AVERAGE(OFFSET($R$3,0,0,'Données projet'!$E$9+1,1))-AVERAGE(OFFSET($H$3,0,0,'Données projet'!$E$9+1,1))</f>
        <v>418.8940806978344</v>
      </c>
      <c r="T92" s="59">
        <f t="shared" si="88"/>
        <v>553.49616487922378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123.36238290135616</v>
      </c>
      <c r="AA92" s="21">
        <f>EXP(-LN(2)/25)*AA91+(1-EXP(-LN(2)/25))/(LN(2)/25)*Calculateur!V92*Calculateur!X92*VLOOKUP('Données projet'!$B$9,Paramètres!$A$1:$I$89,3,0)*0.475*44/12</f>
        <v>32.207061845662352</v>
      </c>
      <c r="AB92" s="21">
        <f>EXP(-LN(2)/2)*AB91+(1-EXP(-LN(2)/2))/(LN(2)/2)*V92*Y92*VLOOKUP('Données projet'!$B$9,Paramètres!$A$1:$I$89,3,0)*0.475*44/12</f>
        <v>4.9365804389201406E-4</v>
      </c>
      <c r="AC92" s="22">
        <f t="shared" si="57"/>
        <v>155.5699384050624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13.337499999999999</v>
      </c>
      <c r="AI92" s="13">
        <f>IF('Données projet'!$A$62&gt;35,AI91+AH92-AQ91,IF(A92&lt;'Données projet'!$A$62,$AF$205^A92,IF(A92='Données projet'!$A$62,'Données projet'!$B$62,AI91+AH92-AQ91)))</f>
        <v>465.17499999999944</v>
      </c>
      <c r="AJ92" s="13">
        <f>AI92*VLOOKUP('Données projet'!$B$10,Paramètres!$A$1:$I$89,3,0)*VLOOKUP('Données projet'!$B$10,Paramètres!$A$1:$I$89,5,0)</f>
        <v>217.70189999999974</v>
      </c>
      <c r="AK92" s="13">
        <f t="shared" si="89"/>
        <v>53.61510019285209</v>
      </c>
      <c r="AL92" s="20">
        <f t="shared" si="58"/>
        <v>472.54377533588359</v>
      </c>
      <c r="AM92" s="59">
        <f t="shared" si="59"/>
        <v>746.56641904740718</v>
      </c>
      <c r="AN92" s="59">
        <f ca="1">AVERAGE(OFFSET($AM$3,0,0,'Données projet'!$E$10+1,1))-AVERAGE(OFFSET($H$3,0,0,'Données projet'!$E$10+1,1))</f>
        <v>391.61151255507264</v>
      </c>
      <c r="AO92" s="59">
        <f t="shared" si="90"/>
        <v>365.61278905364281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88.451891261252584</v>
      </c>
      <c r="AV92" s="21">
        <f>EXP(-LN(2)/25)*AV91+(1-EXP(-LN(2)/25))/(LN(2)/25)*Calculateur!AQ92*Calculateur!AS92*VLOOKUP('Données projet'!$B$10,Paramètres!$A$1:$I$89,3,0)*0.475*44/12</f>
        <v>24.669191272449513</v>
      </c>
      <c r="AW92" s="21">
        <f>EXP(-LN(2)/2)*AW91+(1-EXP(-LN(2)/2))/(LN(2)/2)*AQ92*AT92*VLOOKUP('Données projet'!$B$10,Paramètres!$A$1:$I$89,3,0)*0.475*44/12</f>
        <v>5.0679321290817816</v>
      </c>
      <c r="AX92" s="21">
        <f t="shared" si="60"/>
        <v>118.18901466278388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9.2799999999999958</v>
      </c>
      <c r="BD92" s="12">
        <f>IF('Données projet'!$A$88&gt;35,BD91+BC92-BL91,IF(A92&lt;'Données projet'!$A$88,$BA$205^A92,IF(A92='Données projet'!$A$88,'Données projet'!$B$88,BD91+BC92-BL91)))</f>
        <v>311.77999999999997</v>
      </c>
      <c r="BE92" s="13">
        <f>BD92*VLOOKUP('Données projet'!$B$11,Paramètres!$A$1:$I$89,3,0)*VLOOKUP('Données projet'!$B$11,Paramètres!$A$1:$I$89,5,0)</f>
        <v>296.68984799999998</v>
      </c>
      <c r="BF92" s="13">
        <f t="shared" si="91"/>
        <v>70.482081007746999</v>
      </c>
      <c r="BG92" s="20">
        <f t="shared" si="61"/>
        <v>639.49110968849266</v>
      </c>
      <c r="BH92" s="59">
        <f t="shared" si="62"/>
        <v>913.51375340001618</v>
      </c>
      <c r="BI92" s="59">
        <f ca="1">AVERAGE(OFFSET($BH$3,0,0,'Données projet'!$E$11+1,1))-AVERAGE(OFFSET($H$3,0,0,'Données projet'!$E$11+1,1))</f>
        <v>486.36809102684492</v>
      </c>
      <c r="BJ92" s="59">
        <f t="shared" si="92"/>
        <v>308.42890859885006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16.887485393510911</v>
      </c>
      <c r="BQ92" s="21">
        <f>EXP(-LN(2)/25)*BQ91+(1-EXP(-LN(2)/25))/(LN(2)/25)*Calculateur!BL92*Calculateur!BN92*VLOOKUP('Données projet'!$B$11,Paramètres!$A$1:$I$89,3,0)*0.475*44/12</f>
        <v>17.89017305034405</v>
      </c>
      <c r="BR92" s="21">
        <f>EXP(-LN(2)/2)*BR91+(1-EXP(-LN(2)/2))/(LN(2)/2)*BL92*BO92*VLOOKUP('Données projet'!$B$11,Paramètres!$A$1:$I$89,3,0)*0.475*44/12</f>
        <v>1.484174463665749</v>
      </c>
      <c r="BS92" s="22">
        <f t="shared" si="63"/>
        <v>36.261832907520713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6.8212102632969618E-13</v>
      </c>
      <c r="O93" s="13">
        <f>N93*VLOOKUP('Données projet'!$B$9,Paramètres!$A$1:$I$89,3,0)*VLOOKUP('Données projet'!$B$9,Paramètres!$A$1:$I$89,5,0)</f>
        <v>3.8130565371830017E-13</v>
      </c>
      <c r="P93" s="13">
        <f t="shared" si="87"/>
        <v>4.9019074112354236E-12</v>
      </c>
      <c r="Q93" s="20">
        <f t="shared" si="54"/>
        <v>9.2015960881277352E-12</v>
      </c>
      <c r="R93" s="59">
        <f t="shared" si="55"/>
        <v>274.35764100423688</v>
      </c>
      <c r="S93" s="59">
        <f ca="1">AVERAGE(OFFSET($R$3,0,0,'Données projet'!$E$9+1,1))-AVERAGE(OFFSET($H$3,0,0,'Données projet'!$E$9+1,1))</f>
        <v>418.8940806978344</v>
      </c>
      <c r="T93" s="59">
        <f t="shared" si="88"/>
        <v>553.49616487922378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120.94332181628444</v>
      </c>
      <c r="AA93" s="21">
        <f>EXP(-LN(2)/25)*AA92+(1-EXP(-LN(2)/25))/(LN(2)/25)*Calculateur!V93*Calculateur!X93*VLOOKUP('Données projet'!$B$9,Paramètres!$A$1:$I$89,3,0)*0.475*44/12</f>
        <v>31.326358045796944</v>
      </c>
      <c r="AB93" s="21">
        <f>EXP(-LN(2)/2)*AB92+(1-EXP(-LN(2)/2))/(LN(2)/2)*V93*Y93*VLOOKUP('Données projet'!$B$9,Paramètres!$A$1:$I$89,3,0)*0.475*44/12</f>
        <v>3.4906895042332946E-4</v>
      </c>
      <c r="AC93" s="22">
        <f t="shared" si="57"/>
        <v>152.27002893103179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13.337499999999999</v>
      </c>
      <c r="AI93" s="13">
        <f>IF('Données projet'!$A$62&gt;35,AI92+AH93-AQ92,IF(A93&lt;'Données projet'!$A$62,$AF$205^A93,IF(A93='Données projet'!$A$62,'Données projet'!$B$62,AI92+AH93-AQ92)))</f>
        <v>478.51249999999942</v>
      </c>
      <c r="AJ93" s="13">
        <f>AI93*VLOOKUP('Données projet'!$B$10,Paramètres!$A$1:$I$89,3,0)*VLOOKUP('Données projet'!$B$10,Paramètres!$A$1:$I$89,5,0)</f>
        <v>223.94384999999971</v>
      </c>
      <c r="AK93" s="13">
        <f t="shared" si="89"/>
        <v>54.971173626692782</v>
      </c>
      <c r="AL93" s="20">
        <f t="shared" si="58"/>
        <v>485.77699948315609</v>
      </c>
      <c r="AM93" s="59">
        <f t="shared" si="59"/>
        <v>760.13464048738376</v>
      </c>
      <c r="AN93" s="59">
        <f ca="1">AVERAGE(OFFSET($AM$3,0,0,'Données projet'!$E$10+1,1))-AVERAGE(OFFSET($H$3,0,0,'Données projet'!$E$10+1,1))</f>
        <v>391.61151255507264</v>
      </c>
      <c r="AO93" s="59">
        <f t="shared" si="90"/>
        <v>365.61278905364281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86.717403623945941</v>
      </c>
      <c r="AV93" s="21">
        <f>EXP(-LN(2)/25)*AV92+(1-EXP(-LN(2)/25))/(LN(2)/25)*Calculateur!AQ93*Calculateur!AS93*VLOOKUP('Données projet'!$B$10,Paramètres!$A$1:$I$89,3,0)*0.475*44/12</f>
        <v>23.994610939807995</v>
      </c>
      <c r="AW93" s="21">
        <f>EXP(-LN(2)/2)*AW92+(1-EXP(-LN(2)/2))/(LN(2)/2)*AQ93*AT93*VLOOKUP('Données projet'!$B$10,Paramètres!$A$1:$I$89,3,0)*0.475*44/12</f>
        <v>3.5835691750669056</v>
      </c>
      <c r="AX93" s="21">
        <f t="shared" si="60"/>
        <v>114.29558373882085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9.2799999999999958</v>
      </c>
      <c r="BD93" s="12">
        <f>IF('Données projet'!$A$88&gt;35,BD92+BC93-BL92,IF(A93&lt;'Données projet'!$A$88,$BA$205^A93,IF(A93='Données projet'!$A$88,'Données projet'!$B$88,BD92+BC93-BL92)))</f>
        <v>321.05999999999995</v>
      </c>
      <c r="BE93" s="13">
        <f>BD93*VLOOKUP('Données projet'!$B$11,Paramètres!$A$1:$I$89,3,0)*VLOOKUP('Données projet'!$B$11,Paramètres!$A$1:$I$89,5,0)</f>
        <v>305.52069599999999</v>
      </c>
      <c r="BF93" s="13">
        <f t="shared" si="91"/>
        <v>72.332582277188919</v>
      </c>
      <c r="BG93" s="20">
        <f t="shared" si="61"/>
        <v>658.09445966610394</v>
      </c>
      <c r="BH93" s="59">
        <f t="shared" si="62"/>
        <v>932.45210067033167</v>
      </c>
      <c r="BI93" s="59">
        <f ca="1">AVERAGE(OFFSET($BH$3,0,0,'Données projet'!$E$11+1,1))-AVERAGE(OFFSET($H$3,0,0,'Données projet'!$E$11+1,1))</f>
        <v>486.36809102684492</v>
      </c>
      <c r="BJ93" s="59">
        <f t="shared" si="92"/>
        <v>308.42890859885006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16.556332105293176</v>
      </c>
      <c r="BQ93" s="21">
        <f>EXP(-LN(2)/25)*BQ92+(1-EXP(-LN(2)/25))/(LN(2)/25)*Calculateur!BL93*Calculateur!BN93*VLOOKUP('Données projet'!$B$11,Paramètres!$A$1:$I$89,3,0)*0.475*44/12</f>
        <v>17.400965327479078</v>
      </c>
      <c r="BR93" s="21">
        <f>EXP(-LN(2)/2)*BR92+(1-EXP(-LN(2)/2))/(LN(2)/2)*BL93*BO93*VLOOKUP('Données projet'!$B$11,Paramètres!$A$1:$I$89,3,0)*0.475*44/12</f>
        <v>1.0494698277219583</v>
      </c>
      <c r="BS93" s="22">
        <f t="shared" si="63"/>
        <v>35.006767260494208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6.8212102632969618E-13</v>
      </c>
      <c r="O94" s="13">
        <f>N94*VLOOKUP('Données projet'!$B$9,Paramètres!$A$1:$I$89,3,0)*VLOOKUP('Données projet'!$B$9,Paramètres!$A$1:$I$89,5,0)</f>
        <v>3.8130565371830017E-13</v>
      </c>
      <c r="P94" s="13">
        <f t="shared" si="87"/>
        <v>4.9019074112354236E-12</v>
      </c>
      <c r="Q94" s="20">
        <f t="shared" si="54"/>
        <v>9.2015960881277352E-12</v>
      </c>
      <c r="R94" s="59">
        <f t="shared" si="55"/>
        <v>274.68682684285426</v>
      </c>
      <c r="S94" s="59">
        <f ca="1">AVERAGE(OFFSET($R$3,0,0,'Données projet'!$E$9+1,1))-AVERAGE(OFFSET($H$3,0,0,'Données projet'!$E$9+1,1))</f>
        <v>418.8940806978344</v>
      </c>
      <c r="T94" s="59">
        <f t="shared" si="88"/>
        <v>553.49616487922378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118.5716970436094</v>
      </c>
      <c r="AA94" s="21">
        <f>EXP(-LN(2)/25)*AA93+(1-EXP(-LN(2)/25))/(LN(2)/25)*Calculateur!V94*Calculateur!X94*VLOOKUP('Données projet'!$B$9,Paramètres!$A$1:$I$89,3,0)*0.475*44/12</f>
        <v>30.469737137653055</v>
      </c>
      <c r="AB94" s="21">
        <f>EXP(-LN(2)/2)*AB93+(1-EXP(-LN(2)/2))/(LN(2)/2)*V94*Y94*VLOOKUP('Données projet'!$B$9,Paramètres!$A$1:$I$89,3,0)*0.475*44/12</f>
        <v>2.4682902194600703E-4</v>
      </c>
      <c r="AC94" s="22">
        <f t="shared" si="57"/>
        <v>149.04168101028438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13.337499999999999</v>
      </c>
      <c r="AI94" s="13">
        <f>IF('Données projet'!$A$62&gt;35,AI93+AH94-AQ93,IF(A94&lt;'Données projet'!$A$62,$AF$205^A94,IF(A94='Données projet'!$A$62,'Données projet'!$B$62,AI93+AH94-AQ93)))</f>
        <v>491.8499999999994</v>
      </c>
      <c r="AJ94" s="13">
        <f>AI94*VLOOKUP('Données projet'!$B$10,Paramètres!$A$1:$I$89,3,0)*VLOOKUP('Données projet'!$B$10,Paramètres!$A$1:$I$89,5,0)</f>
        <v>230.18579999999972</v>
      </c>
      <c r="AK94" s="13">
        <f t="shared" si="89"/>
        <v>56.322853946899116</v>
      </c>
      <c r="AL94" s="20">
        <f t="shared" si="58"/>
        <v>499.00257229084878</v>
      </c>
      <c r="AM94" s="59">
        <f t="shared" si="59"/>
        <v>773.68939913369377</v>
      </c>
      <c r="AN94" s="59">
        <f ca="1">AVERAGE(OFFSET($AM$3,0,0,'Données projet'!$E$10+1,1))-AVERAGE(OFFSET($H$3,0,0,'Données projet'!$E$10+1,1))</f>
        <v>391.61151255507264</v>
      </c>
      <c r="AO94" s="59">
        <f t="shared" si="90"/>
        <v>365.61278905364281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85.01692823127388</v>
      </c>
      <c r="AV94" s="21">
        <f>EXP(-LN(2)/25)*AV93+(1-EXP(-LN(2)/25))/(LN(2)/25)*Calculateur!AQ94*Calculateur!AS94*VLOOKUP('Données projet'!$B$10,Paramètres!$A$1:$I$89,3,0)*0.475*44/12</f>
        <v>23.338477041837198</v>
      </c>
      <c r="AW94" s="21">
        <f>EXP(-LN(2)/2)*AW93+(1-EXP(-LN(2)/2))/(LN(2)/2)*AQ94*AT94*VLOOKUP('Données projet'!$B$10,Paramètres!$A$1:$I$89,3,0)*0.475*44/12</f>
        <v>2.5339660645408912</v>
      </c>
      <c r="AX94" s="21">
        <f t="shared" si="60"/>
        <v>110.88937133765197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9.2799999999999958</v>
      </c>
      <c r="BD94" s="12">
        <f>IF('Données projet'!$A$88&gt;35,BD93+BC94-BL93,IF(A94&lt;'Données projet'!$A$88,$BA$205^A94,IF(A94='Données projet'!$A$88,'Données projet'!$B$88,BD93+BC94-BL93)))</f>
        <v>330.33999999999992</v>
      </c>
      <c r="BE94" s="13">
        <f>BD94*VLOOKUP('Données projet'!$B$11,Paramètres!$A$1:$I$89,3,0)*VLOOKUP('Données projet'!$B$11,Paramètres!$A$1:$I$89,5,0)</f>
        <v>314.35154399999993</v>
      </c>
      <c r="BF94" s="13">
        <f t="shared" si="91"/>
        <v>74.176867165020042</v>
      </c>
      <c r="BG94" s="20">
        <f t="shared" si="61"/>
        <v>676.6869827790764</v>
      </c>
      <c r="BH94" s="59">
        <f t="shared" si="62"/>
        <v>951.37380962192151</v>
      </c>
      <c r="BI94" s="59">
        <f ca="1">AVERAGE(OFFSET($BH$3,0,0,'Données projet'!$E$11+1,1))-AVERAGE(OFFSET($H$3,0,0,'Données projet'!$E$11+1,1))</f>
        <v>486.36809102684492</v>
      </c>
      <c r="BJ94" s="59">
        <f t="shared" si="92"/>
        <v>308.42890859885006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16.23167253107383</v>
      </c>
      <c r="BQ94" s="21">
        <f>EXP(-LN(2)/25)*BQ93+(1-EXP(-LN(2)/25))/(LN(2)/25)*Calculateur!BL94*Calculateur!BN94*VLOOKUP('Données projet'!$B$11,Paramètres!$A$1:$I$89,3,0)*0.475*44/12</f>
        <v>16.925135015522166</v>
      </c>
      <c r="BR94" s="21">
        <f>EXP(-LN(2)/2)*BR93+(1-EXP(-LN(2)/2))/(LN(2)/2)*BL94*BO94*VLOOKUP('Données projet'!$B$11,Paramètres!$A$1:$I$89,3,0)*0.475*44/12</f>
        <v>0.74208723183287451</v>
      </c>
      <c r="BS94" s="22">
        <f t="shared" si="63"/>
        <v>33.898894778428875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6.8212102632969618E-13</v>
      </c>
      <c r="O95" s="13">
        <f>N95*VLOOKUP('Données projet'!$B$9,Paramètres!$A$1:$I$89,3,0)*VLOOKUP('Données projet'!$B$9,Paramètres!$A$1:$I$89,5,0)</f>
        <v>3.8130565371830017E-13</v>
      </c>
      <c r="P95" s="13">
        <f t="shared" si="87"/>
        <v>4.9019074112354236E-12</v>
      </c>
      <c r="Q95" s="20">
        <f t="shared" si="54"/>
        <v>9.2015960881277352E-12</v>
      </c>
      <c r="R95" s="59">
        <f t="shared" si="55"/>
        <v>275.01030204312093</v>
      </c>
      <c r="S95" s="59">
        <f ca="1">AVERAGE(OFFSET($R$3,0,0,'Données projet'!$E$9+1,1))-AVERAGE(OFFSET($H$3,0,0,'Données projet'!$E$9+1,1))</f>
        <v>418.8940806978344</v>
      </c>
      <c r="T95" s="59">
        <f t="shared" si="88"/>
        <v>553.49616487922378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116.24657838617826</v>
      </c>
      <c r="AA95" s="21">
        <f>EXP(-LN(2)/25)*AA94+(1-EXP(-LN(2)/25))/(LN(2)/25)*Calculateur!V95*Calculateur!X95*VLOOKUP('Données projet'!$B$9,Paramètres!$A$1:$I$89,3,0)*0.475*44/12</f>
        <v>29.636540573290095</v>
      </c>
      <c r="AB95" s="21">
        <f>EXP(-LN(2)/2)*AB94+(1-EXP(-LN(2)/2))/(LN(2)/2)*V95*Y95*VLOOKUP('Données projet'!$B$9,Paramètres!$A$1:$I$89,3,0)*0.475*44/12</f>
        <v>1.7453447521166473E-4</v>
      </c>
      <c r="AC95" s="22">
        <f t="shared" si="57"/>
        <v>145.88329349394357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13.337499999999999</v>
      </c>
      <c r="AI95" s="13">
        <f>IF('Données projet'!$A$62&gt;35,AI94+AH95-AQ94,IF(A95&lt;'Données projet'!$A$62,$AF$205^A95,IF(A95='Données projet'!$A$62,'Données projet'!$B$62,AI94+AH95-AQ94)))</f>
        <v>505.18749999999937</v>
      </c>
      <c r="AJ95" s="13">
        <f>AI95*VLOOKUP('Données projet'!$B$10,Paramètres!$A$1:$I$89,3,0)*VLOOKUP('Données projet'!$B$10,Paramètres!$A$1:$I$89,5,0)</f>
        <v>236.42774999999972</v>
      </c>
      <c r="AK95" s="13">
        <f t="shared" si="89"/>
        <v>57.67027397136571</v>
      </c>
      <c r="AL95" s="20">
        <f t="shared" si="58"/>
        <v>512.22072508346139</v>
      </c>
      <c r="AM95" s="59">
        <f t="shared" si="59"/>
        <v>787.23102712657305</v>
      </c>
      <c r="AN95" s="59">
        <f ca="1">AVERAGE(OFFSET($AM$3,0,0,'Données projet'!$E$10+1,1))-AVERAGE(OFFSET($H$3,0,0,'Données projet'!$E$10+1,1))</f>
        <v>391.61151255507264</v>
      </c>
      <c r="AO95" s="59">
        <f t="shared" si="90"/>
        <v>365.61278905364281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83.349798123864545</v>
      </c>
      <c r="AV95" s="21">
        <f>EXP(-LN(2)/25)*AV94+(1-EXP(-LN(2)/25))/(LN(2)/25)*Calculateur!AQ95*Calculateur!AS95*VLOOKUP('Données projet'!$B$10,Paramètres!$A$1:$I$89,3,0)*0.475*44/12</f>
        <v>22.700285159810992</v>
      </c>
      <c r="AW95" s="21">
        <f>EXP(-LN(2)/2)*AW94+(1-EXP(-LN(2)/2))/(LN(2)/2)*AQ95*AT95*VLOOKUP('Données projet'!$B$10,Paramètres!$A$1:$I$89,3,0)*0.475*44/12</f>
        <v>1.791784587533453</v>
      </c>
      <c r="AX95" s="21">
        <f t="shared" si="60"/>
        <v>107.84186787120899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9.2799999999999958</v>
      </c>
      <c r="BD95" s="12">
        <f>IF('Données projet'!$A$88&gt;35,BD94+BC95-BL94,IF(A95&lt;'Données projet'!$A$88,$BA$205^A95,IF(A95='Données projet'!$A$88,'Données projet'!$B$88,BD94+BC95-BL94)))</f>
        <v>339.61999999999989</v>
      </c>
      <c r="BE95" s="13">
        <f>BD95*VLOOKUP('Données projet'!$B$11,Paramètres!$A$1:$I$89,3,0)*VLOOKUP('Données projet'!$B$11,Paramètres!$A$1:$I$89,5,0)</f>
        <v>323.18239199999988</v>
      </c>
      <c r="BF95" s="13">
        <f t="shared" si="91"/>
        <v>76.01513036417326</v>
      </c>
      <c r="BG95" s="20">
        <f t="shared" si="61"/>
        <v>695.2690181176016</v>
      </c>
      <c r="BH95" s="59">
        <f t="shared" si="62"/>
        <v>970.27932016071327</v>
      </c>
      <c r="BI95" s="59">
        <f ca="1">AVERAGE(OFFSET($BH$3,0,0,'Données projet'!$E$11+1,1))-AVERAGE(OFFSET($H$3,0,0,'Données projet'!$E$11+1,1))</f>
        <v>486.36809102684492</v>
      </c>
      <c r="BJ95" s="59">
        <f t="shared" si="92"/>
        <v>308.42890859885006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15.913379333082139</v>
      </c>
      <c r="BQ95" s="21">
        <f>EXP(-LN(2)/25)*BQ94+(1-EXP(-LN(2)/25))/(LN(2)/25)*Calculateur!BL95*Calculateur!BN95*VLOOKUP('Données projet'!$B$11,Paramètres!$A$1:$I$89,3,0)*0.475*44/12</f>
        <v>16.462316308468544</v>
      </c>
      <c r="BR95" s="21">
        <f>EXP(-LN(2)/2)*BR94+(1-EXP(-LN(2)/2))/(LN(2)/2)*BL95*BO95*VLOOKUP('Données projet'!$B$11,Paramètres!$A$1:$I$89,3,0)*0.475*44/12</f>
        <v>0.52473491386097915</v>
      </c>
      <c r="BS95" s="22">
        <f t="shared" si="63"/>
        <v>32.900430555411667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6.8212102632969618E-13</v>
      </c>
      <c r="O96" s="13">
        <f>N96*VLOOKUP('Données projet'!$B$9,Paramètres!$A$1:$I$89,3,0)*VLOOKUP('Données projet'!$B$9,Paramètres!$A$1:$I$89,5,0)</f>
        <v>3.8130565371830017E-13</v>
      </c>
      <c r="P96" s="13">
        <f t="shared" si="87"/>
        <v>4.9019074112354236E-12</v>
      </c>
      <c r="Q96" s="20">
        <f t="shared" si="54"/>
        <v>9.2015960881277352E-12</v>
      </c>
      <c r="R96" s="59">
        <f t="shared" si="55"/>
        <v>275.32816567184517</v>
      </c>
      <c r="S96" s="59">
        <f ca="1">AVERAGE(OFFSET($R$3,0,0,'Données projet'!$E$9+1,1))-AVERAGE(OFFSET($H$3,0,0,'Données projet'!$E$9+1,1))</f>
        <v>418.8940806978344</v>
      </c>
      <c r="T96" s="59">
        <f t="shared" si="88"/>
        <v>553.49616487922378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113.96705388743699</v>
      </c>
      <c r="AA96" s="21">
        <f>EXP(-LN(2)/25)*AA95+(1-EXP(-LN(2)/25))/(LN(2)/25)*Calculateur!V96*Calculateur!X96*VLOOKUP('Données projet'!$B$9,Paramètres!$A$1:$I$89,3,0)*0.475*44/12</f>
        <v>28.826127812795544</v>
      </c>
      <c r="AB96" s="21">
        <f>EXP(-LN(2)/2)*AB95+(1-EXP(-LN(2)/2))/(LN(2)/2)*V96*Y96*VLOOKUP('Données projet'!$B$9,Paramètres!$A$1:$I$89,3,0)*0.475*44/12</f>
        <v>1.2341451097300351E-4</v>
      </c>
      <c r="AC96" s="22">
        <f t="shared" si="57"/>
        <v>142.7933051147435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13.337499999999999</v>
      </c>
      <c r="AI96" s="13">
        <f>IF('Données projet'!$A$62&gt;35,AI95+AH96-AQ95,IF(A96&lt;'Données projet'!$A$62,$AF$205^A96,IF(A96='Données projet'!$A$62,'Données projet'!$B$62,AI95+AH96-AQ95)))</f>
        <v>518.52499999999941</v>
      </c>
      <c r="AJ96" s="13">
        <f>AI96*VLOOKUP('Données projet'!$B$10,Paramètres!$A$1:$I$89,3,0)*VLOOKUP('Données projet'!$B$10,Paramètres!$A$1:$I$89,5,0)</f>
        <v>242.66969999999972</v>
      </c>
      <c r="AK96" s="13">
        <f t="shared" si="89"/>
        <v>59.013559105543813</v>
      </c>
      <c r="AL96" s="20">
        <f t="shared" si="58"/>
        <v>525.43167627548826</v>
      </c>
      <c r="AM96" s="59">
        <f t="shared" si="59"/>
        <v>800.75984194732428</v>
      </c>
      <c r="AN96" s="59">
        <f ca="1">AVERAGE(OFFSET($AM$3,0,0,'Données projet'!$E$10+1,1))-AVERAGE(OFFSET($H$3,0,0,'Données projet'!$E$10+1,1))</f>
        <v>391.61151255507264</v>
      </c>
      <c r="AO96" s="59">
        <f t="shared" si="90"/>
        <v>365.61278905364281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81.71535942101255</v>
      </c>
      <c r="AV96" s="21">
        <f>EXP(-LN(2)/25)*AV95+(1-EXP(-LN(2)/25))/(LN(2)/25)*Calculateur!AQ96*Calculateur!AS96*VLOOKUP('Données projet'!$B$10,Paramètres!$A$1:$I$89,3,0)*0.475*44/12</f>
        <v>22.079544668359848</v>
      </c>
      <c r="AW96" s="21">
        <f>EXP(-LN(2)/2)*AW95+(1-EXP(-LN(2)/2))/(LN(2)/2)*AQ96*AT96*VLOOKUP('Données projet'!$B$10,Paramètres!$A$1:$I$89,3,0)*0.475*44/12</f>
        <v>1.2669830322704458</v>
      </c>
      <c r="AX96" s="21">
        <f t="shared" si="60"/>
        <v>105.06188712164284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348.9</v>
      </c>
      <c r="BB96" s="12">
        <f>VLOOKUP(A96,'Données projet'!$A$87:$I$107,9,0)</f>
        <v>9.2799999999999958</v>
      </c>
      <c r="BC96" s="12">
        <f t="array" ref="BC96">INDEX(BB:BB,MIN(IF(ISNUMBER(BB96:BB292),ROW(BB96:BB292),"")))</f>
        <v>9.2799999999999958</v>
      </c>
      <c r="BD96" s="12">
        <f>IF('Données projet'!$A$88&gt;35,BD95+BC96-BL95,IF(A96&lt;'Données projet'!$A$88,$BA$205^A96,IF(A96='Données projet'!$A$88,'Données projet'!$B$88,BD95+BC96-BL95)))</f>
        <v>348.89999999999986</v>
      </c>
      <c r="BE96" s="13">
        <f>BD96*VLOOKUP('Données projet'!$B$11,Paramètres!$A$1:$I$89,3,0)*VLOOKUP('Données projet'!$B$11,Paramètres!$A$1:$I$89,5,0)</f>
        <v>332.01323999999988</v>
      </c>
      <c r="BF96" s="13">
        <f t="shared" si="91"/>
        <v>77.84755532216559</v>
      </c>
      <c r="BG96" s="20">
        <f t="shared" si="61"/>
        <v>713.84088518610486</v>
      </c>
      <c r="BH96" s="59">
        <f t="shared" si="62"/>
        <v>989.16905085794087</v>
      </c>
      <c r="BI96" s="59">
        <f ca="1">AVERAGE(OFFSET($BH$3,0,0,'Données projet'!$E$11+1,1))-AVERAGE(OFFSET($H$3,0,0,'Données projet'!$E$11+1,1))</f>
        <v>486.36809102684492</v>
      </c>
      <c r="BJ96" s="59">
        <f t="shared" si="92"/>
        <v>308.42890859885006</v>
      </c>
      <c r="BK96" s="15">
        <f>IF(ISNA(VLOOKUP(A96,'Données projet'!$A$87:$I$107,3,0)),0,VLOOKUP(A96,'Données projet'!$A$87:$I$107,3,0))</f>
        <v>8</v>
      </c>
      <c r="BL96" s="15">
        <f>IF(ISNA(VLOOKUP(A96,'Données projet'!$A$87:$I$107,4,0)),0,VLOOKUP(A96,'Données projet'!$A$87:$I$107,4,0))</f>
        <v>67.5</v>
      </c>
      <c r="BM96" s="16">
        <f>IF(ISNA(VLOOKUP(A96,'Données projet'!$A$87:$I$107,5,0)),0%,VLOOKUP(A96,'Données projet'!$A$87:$I$107,5,0)*VLOOKUP('Données projet'!$B$11,Paramètres!$A$1:$I$89,7,0))</f>
        <v>0.1075</v>
      </c>
      <c r="BN96" s="16">
        <f>IF(ISNA(VLOOKUP(A96,'Données projet'!$A$87:$I$107,6,0)),0%,VLOOKUP(A96,'Données projet'!$A$87:$I$107,6,0)*VLOOKUP('Données projet'!$B$11,Paramètres!$A$1:$I$89,7,0))</f>
        <v>0.1075</v>
      </c>
      <c r="BO96" s="16">
        <f>IF(ISNA(VLOOKUP(A96,'Données projet'!$A$87:$I$107,7,0)),0%,VLOOKUP(A96,'Données projet'!$A$87:$I$107,7,0))</f>
        <v>0.25</v>
      </c>
      <c r="BP96" s="21">
        <f>EXP(-LN(2)/35)*BP95+(1-EXP(-LN(2)/35))/(LN(2)/35)*BL96*BM96*VLOOKUP('Données projet'!$B$11,Paramètres!$A$1:$I$89,3,0)*0.475*44/12</f>
        <v>23.234653151081432</v>
      </c>
      <c r="BQ96" s="21">
        <f>EXP(-LN(2)/25)*BQ95+(1-EXP(-LN(2)/25))/(LN(2)/25)*Calculateur!BL96*Calculateur!BN96*VLOOKUP('Données projet'!$B$11,Paramètres!$A$1:$I$89,3,0)*0.475*44/12</f>
        <v>23.6154235728741</v>
      </c>
      <c r="BR96" s="21">
        <f>EXP(-LN(2)/2)*BR95+(1-EXP(-LN(2)/2))/(LN(2)/2)*BL96*BO96*VLOOKUP('Données projet'!$B$11,Paramètres!$A$1:$I$89,3,0)*0.475*44/12</f>
        <v>15.522434692378415</v>
      </c>
      <c r="BS96" s="22">
        <f t="shared" si="63"/>
        <v>62.37251141633395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6.8212102632969618E-13</v>
      </c>
      <c r="O97" s="13">
        <f>N97*VLOOKUP('Données projet'!$B$9,Paramètres!$A$1:$I$89,3,0)*VLOOKUP('Données projet'!$B$9,Paramètres!$A$1:$I$89,5,0)</f>
        <v>3.8130565371830017E-13</v>
      </c>
      <c r="P97" s="13">
        <f t="shared" si="87"/>
        <v>4.9019074112354236E-12</v>
      </c>
      <c r="Q97" s="20">
        <f t="shared" si="54"/>
        <v>9.2015960881277352E-12</v>
      </c>
      <c r="R97" s="59">
        <f t="shared" si="55"/>
        <v>275.6405150772477</v>
      </c>
      <c r="S97" s="59">
        <f ca="1">AVERAGE(OFFSET($R$3,0,0,'Données projet'!$E$9+1,1))-AVERAGE(OFFSET($H$3,0,0,'Données projet'!$E$9+1,1))</f>
        <v>418.8940806978344</v>
      </c>
      <c r="T97" s="59">
        <f t="shared" si="88"/>
        <v>553.49616487922378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111.73222947374337</v>
      </c>
      <c r="AA97" s="21">
        <f>EXP(-LN(2)/25)*AA96+(1-EXP(-LN(2)/25))/(LN(2)/25)*Calculateur!V97*Calculateur!X97*VLOOKUP('Données projet'!$B$9,Paramètres!$A$1:$I$89,3,0)*0.475*44/12</f>
        <v>28.037875831854471</v>
      </c>
      <c r="AB97" s="21">
        <f>EXP(-LN(2)/2)*AB96+(1-EXP(-LN(2)/2))/(LN(2)/2)*V97*Y97*VLOOKUP('Données projet'!$B$9,Paramètres!$A$1:$I$89,3,0)*0.475*44/12</f>
        <v>8.7267237605832365E-5</v>
      </c>
      <c r="AC97" s="22">
        <f t="shared" si="57"/>
        <v>139.77019257283544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13.337499999999999</v>
      </c>
      <c r="AI97" s="13">
        <f>IF('Données projet'!$A$62&gt;35,AI96+AH97-AQ96,IF(A97&lt;'Données projet'!$A$62,$AF$205^A97,IF(A97='Données projet'!$A$62,'Données projet'!$B$62,AI96+AH97-AQ96)))</f>
        <v>531.86249999999939</v>
      </c>
      <c r="AJ97" s="13">
        <f>AI97*VLOOKUP('Données projet'!$B$10,Paramètres!$A$1:$I$89,3,0)*VLOOKUP('Données projet'!$B$10,Paramètres!$A$1:$I$89,5,0)</f>
        <v>248.9116499999997</v>
      </c>
      <c r="AK97" s="13">
        <f t="shared" si="89"/>
        <v>60.352827935999137</v>
      </c>
      <c r="AL97" s="20">
        <f t="shared" si="58"/>
        <v>538.63563240519795</v>
      </c>
      <c r="AM97" s="59">
        <f t="shared" si="59"/>
        <v>814.2761474824365</v>
      </c>
      <c r="AN97" s="59">
        <f ca="1">AVERAGE(OFFSET($AM$3,0,0,'Données projet'!$E$10+1,1))-AVERAGE(OFFSET($H$3,0,0,'Données projet'!$E$10+1,1))</f>
        <v>391.61151255507264</v>
      </c>
      <c r="AO97" s="59">
        <f t="shared" si="90"/>
        <v>365.61278905364281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80.112971064214307</v>
      </c>
      <c r="AV97" s="21">
        <f>EXP(-LN(2)/25)*AV96+(1-EXP(-LN(2)/25))/(LN(2)/25)*Calculateur!AQ97*Calculateur!AS97*VLOOKUP('Données projet'!$B$10,Paramètres!$A$1:$I$89,3,0)*0.475*44/12</f>
        <v>21.475778358290757</v>
      </c>
      <c r="AW97" s="21">
        <f>EXP(-LN(2)/2)*AW96+(1-EXP(-LN(2)/2))/(LN(2)/2)*AQ97*AT97*VLOOKUP('Données projet'!$B$10,Paramètres!$A$1:$I$89,3,0)*0.475*44/12</f>
        <v>0.89589229376672674</v>
      </c>
      <c r="AX97" s="21">
        <f t="shared" si="60"/>
        <v>102.48464171627178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</v>
      </c>
      <c r="BD97" s="12">
        <f>IF('Données projet'!$A$88&gt;35,BD96+BC97-BL96,IF(A97&lt;'Données projet'!$A$88,$BA$205^A97,IF(A97='Données projet'!$A$88,'Données projet'!$B$88,BD96+BC97-BL96)))</f>
        <v>290.39999999999986</v>
      </c>
      <c r="BE97" s="13">
        <f>BD97*VLOOKUP('Données projet'!$B$11,Paramètres!$A$1:$I$89,3,0)*VLOOKUP('Données projet'!$B$11,Paramètres!$A$1:$I$89,5,0)</f>
        <v>276.34463999999991</v>
      </c>
      <c r="BF97" s="13">
        <f t="shared" si="91"/>
        <v>66.193936436046187</v>
      </c>
      <c r="BG97" s="20">
        <f t="shared" si="61"/>
        <v>596.58802062611369</v>
      </c>
      <c r="BH97" s="59">
        <f t="shared" si="62"/>
        <v>872.22853570335224</v>
      </c>
      <c r="BI97" s="59">
        <f ca="1">AVERAGE(OFFSET($BH$3,0,0,'Données projet'!$E$11+1,1))-AVERAGE(OFFSET($H$3,0,0,'Données projet'!$E$11+1,1))</f>
        <v>486.36809102684492</v>
      </c>
      <c r="BJ97" s="59">
        <f t="shared" si="92"/>
        <v>308.42890859885006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22.779035774527802</v>
      </c>
      <c r="BQ97" s="21">
        <f>EXP(-LN(2)/25)*BQ96+(1-EXP(-LN(2)/25))/(LN(2)/25)*Calculateur!BL97*Calculateur!BN97*VLOOKUP('Données projet'!$B$11,Paramètres!$A$1:$I$89,3,0)*0.475*44/12</f>
        <v>22.969658573392707</v>
      </c>
      <c r="BR97" s="21">
        <f>EXP(-LN(2)/2)*BR96+(1-EXP(-LN(2)/2))/(LN(2)/2)*BL97*BO97*VLOOKUP('Données projet'!$B$11,Paramètres!$A$1:$I$89,3,0)*0.475*44/12</f>
        <v>10.976018831506099</v>
      </c>
      <c r="BS97" s="22">
        <f t="shared" si="63"/>
        <v>56.724713179426601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6.8212102632969618E-13</v>
      </c>
      <c r="O98" s="13">
        <f>N98*VLOOKUP('Données projet'!$B$9,Paramètres!$A$1:$I$89,3,0)*VLOOKUP('Données projet'!$B$9,Paramètres!$A$1:$I$89,5,0)</f>
        <v>3.8130565371830017E-13</v>
      </c>
      <c r="P98" s="13">
        <f t="shared" si="87"/>
        <v>4.9019074112354236E-12</v>
      </c>
      <c r="Q98" s="20">
        <f t="shared" si="54"/>
        <v>9.2015960881277352E-12</v>
      </c>
      <c r="R98" s="59">
        <f t="shared" si="55"/>
        <v>275.94744591877514</v>
      </c>
      <c r="S98" s="59">
        <f ca="1">AVERAGE(OFFSET($R$3,0,0,'Données projet'!$E$9+1,1))-AVERAGE(OFFSET($H$3,0,0,'Données projet'!$E$9+1,1))</f>
        <v>418.8940806978344</v>
      </c>
      <c r="T98" s="59">
        <f t="shared" si="88"/>
        <v>553.49616487922378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109.54122860369399</v>
      </c>
      <c r="AA98" s="21">
        <f>EXP(-LN(2)/25)*AA97+(1-EXP(-LN(2)/25))/(LN(2)/25)*Calculateur!V98*Calculateur!X98*VLOOKUP('Données projet'!$B$9,Paramètres!$A$1:$I$89,3,0)*0.475*44/12</f>
        <v>27.271178642784601</v>
      </c>
      <c r="AB98" s="21">
        <f>EXP(-LN(2)/2)*AB97+(1-EXP(-LN(2)/2))/(LN(2)/2)*V98*Y98*VLOOKUP('Données projet'!$B$9,Paramètres!$A$1:$I$89,3,0)*0.475*44/12</f>
        <v>6.1707255486501757E-5</v>
      </c>
      <c r="AC98" s="22">
        <f t="shared" si="57"/>
        <v>136.81246895373408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545.20000000000005</v>
      </c>
      <c r="AG98" s="12">
        <f>VLOOKUP(A98,'Données projet'!$A$61:$I$81,9,0)</f>
        <v>13.337499999999999</v>
      </c>
      <c r="AH98" s="12">
        <f t="array" ref="AH98">INDEX(AG:AG,MIN(IF(ISNUMBER(AG98:AG294),ROW(AG98:AG294),"")))</f>
        <v>13.337499999999999</v>
      </c>
      <c r="AI98" s="13">
        <f>IF('Données projet'!$A$62&gt;35,AI97+AH98-AQ97,IF(A98&lt;'Données projet'!$A$62,$AF$205^A98,IF(A98='Données projet'!$A$62,'Données projet'!$B$62,AI97+AH98-AQ97)))</f>
        <v>545.19999999999936</v>
      </c>
      <c r="AJ98" s="13">
        <f>AI98*VLOOKUP('Données projet'!$B$10,Paramètres!$A$1:$I$89,3,0)*VLOOKUP('Données projet'!$B$10,Paramètres!$A$1:$I$89,5,0)</f>
        <v>255.1535999999997</v>
      </c>
      <c r="AK98" s="13">
        <f t="shared" si="89"/>
        <v>61.688192762754376</v>
      </c>
      <c r="AL98" s="20">
        <f t="shared" si="58"/>
        <v>551.83278906179669</v>
      </c>
      <c r="AM98" s="59">
        <f t="shared" si="59"/>
        <v>827.78023498056268</v>
      </c>
      <c r="AN98" s="59">
        <f ca="1">AVERAGE(OFFSET($AM$3,0,0,'Données projet'!$E$10+1,1))-AVERAGE(OFFSET($H$3,0,0,'Données projet'!$E$10+1,1))</f>
        <v>391.61151255507264</v>
      </c>
      <c r="AO98" s="59">
        <f t="shared" si="90"/>
        <v>365.61278905364281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272.3</v>
      </c>
      <c r="AR98" s="16">
        <f>IF(ISNA(VLOOKUP(A98,'Données projet'!$A$61:$I$81,5,0)),0%,VLOOKUP(A98,'Données projet'!$A$61:$I$81,5,0)*VLOOKUP('Données projet'!$B$10,Paramètres!$A$1:$I$89,7,0))</f>
        <v>0.33</v>
      </c>
      <c r="AS98" s="16">
        <f>IF(ISNA(VLOOKUP(A98,'Données projet'!$A$61:$I$81,6,0)),0%,VLOOKUP(A98,'Données projet'!$A$61:$I$81,6,0)*VLOOKUP('Données projet'!$B$10,Paramètres!$A$1:$I$89,7,0))</f>
        <v>0.11000000000000001</v>
      </c>
      <c r="AT98" s="16">
        <f>IF(ISNA(VLOOKUP(A98,'Données projet'!$A$61:$I$81,7,0)),0%,VLOOKUP(A98,'Données projet'!$A$61:$I$81,7,0))</f>
        <v>0.2</v>
      </c>
      <c r="AU98" s="21">
        <f>EXP(-LN(2)/35)*AU97+(1-EXP(-LN(2)/35))/(LN(2)/35)*AQ98*AR98*VLOOKUP('Données projet'!$B$10,Paramètres!$A$1:$I$89,3,0)*0.475*44/12</f>
        <v>134.32936209356038</v>
      </c>
      <c r="AV98" s="21">
        <f>EXP(-LN(2)/25)*AV97+(1-EXP(-LN(2)/25))/(LN(2)/25)*Calculateur!AQ98*Calculateur!AS98*VLOOKUP('Données projet'!$B$10,Paramètres!$A$1:$I$89,3,0)*0.475*44/12</f>
        <v>39.411089217918246</v>
      </c>
      <c r="AW98" s="21">
        <f>EXP(-LN(2)/2)*AW97+(1-EXP(-LN(2)/2))/(LN(2)/2)*AQ98*AT98*VLOOKUP('Données projet'!$B$10,Paramètres!$A$1:$I$89,3,0)*0.475*44/12</f>
        <v>29.491013108235567</v>
      </c>
      <c r="AX98" s="21">
        <f t="shared" si="60"/>
        <v>203.2314644197142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</v>
      </c>
      <c r="BD98" s="12">
        <f>IF('Données projet'!$A$88&gt;35,BD97+BC98-BL97,IF(A98&lt;'Données projet'!$A$88,$BA$205^A98,IF(A98='Données projet'!$A$88,'Données projet'!$B$88,BD97+BC98-BL97)))</f>
        <v>299.39999999999986</v>
      </c>
      <c r="BE98" s="13">
        <f>BD98*VLOOKUP('Données projet'!$B$11,Paramètres!$A$1:$I$89,3,0)*VLOOKUP('Données projet'!$B$11,Paramètres!$A$1:$I$89,5,0)</f>
        <v>284.90903999999983</v>
      </c>
      <c r="BF98" s="13">
        <f t="shared" si="91"/>
        <v>68.003378431455985</v>
      </c>
      <c r="BG98" s="20">
        <f t="shared" si="61"/>
        <v>614.65579543478555</v>
      </c>
      <c r="BH98" s="59">
        <f t="shared" si="62"/>
        <v>890.60324135355154</v>
      </c>
      <c r="BI98" s="59">
        <f ca="1">AVERAGE(OFFSET($BH$3,0,0,'Données projet'!$E$11+1,1))-AVERAGE(OFFSET($H$3,0,0,'Données projet'!$E$11+1,1))</f>
        <v>486.36809102684492</v>
      </c>
      <c r="BJ98" s="59">
        <f t="shared" si="92"/>
        <v>308.42890859885006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22.332352776829232</v>
      </c>
      <c r="BQ98" s="21">
        <f>EXP(-LN(2)/25)*BQ97+(1-EXP(-LN(2)/25))/(LN(2)/25)*Calculateur!BL98*Calculateur!BN98*VLOOKUP('Données projet'!$B$11,Paramètres!$A$1:$I$89,3,0)*0.475*44/12</f>
        <v>22.341552051781438</v>
      </c>
      <c r="BR98" s="21">
        <f>EXP(-LN(2)/2)*BR97+(1-EXP(-LN(2)/2))/(LN(2)/2)*BL98*BO98*VLOOKUP('Données projet'!$B$11,Paramètres!$A$1:$I$89,3,0)*0.475*44/12</f>
        <v>7.7612173461892091</v>
      </c>
      <c r="BS98" s="22">
        <f t="shared" si="63"/>
        <v>52.435122174799886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6.8212102632969618E-13</v>
      </c>
      <c r="O99" s="13">
        <f>N99*VLOOKUP('Données projet'!$B$9,Paramètres!$A$1:$I$89,3,0)*VLOOKUP('Données projet'!$B$9,Paramètres!$A$1:$I$89,5,0)</f>
        <v>3.8130565371830017E-13</v>
      </c>
      <c r="P99" s="13">
        <f t="shared" si="87"/>
        <v>4.9019074112354236E-12</v>
      </c>
      <c r="Q99" s="20">
        <f t="shared" ref="Q99:Q130" si="107">(O99+P99)*0.475*44/12</f>
        <v>9.2015960881277352E-12</v>
      </c>
      <c r="R99" s="59">
        <f t="shared" si="55"/>
        <v>276.24905219639663</v>
      </c>
      <c r="S99" s="59">
        <f ca="1">AVERAGE(OFFSET($R$3,0,0,'Données projet'!$E$9+1,1))-AVERAGE(OFFSET($H$3,0,0,'Données projet'!$E$9+1,1))</f>
        <v>418.8940806978344</v>
      </c>
      <c r="T99" s="59">
        <f t="shared" si="88"/>
        <v>553.49616487922378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107.39319192432771</v>
      </c>
      <c r="AA99" s="21">
        <f>EXP(-LN(2)/25)*AA98+(1-EXP(-LN(2)/25))/(LN(2)/25)*Calculateur!V99*Calculateur!X99*VLOOKUP('Données projet'!$B$9,Paramètres!$A$1:$I$89,3,0)*0.475*44/12</f>
        <v>26.525446828668702</v>
      </c>
      <c r="AB99" s="21">
        <f>EXP(-LN(2)/2)*AB98+(1-EXP(-LN(2)/2))/(LN(2)/2)*V99*Y99*VLOOKUP('Données projet'!$B$9,Paramètres!$A$1:$I$89,3,0)*0.475*44/12</f>
        <v>4.3633618802916183E-5</v>
      </c>
      <c r="AC99" s="22">
        <f t="shared" si="57"/>
        <v>133.91868238661522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8.8599999999999959</v>
      </c>
      <c r="AI99" s="13">
        <f>IF('Données projet'!$A$62&gt;35,AI98+AH99-AQ98,IF(A99&lt;'Données projet'!$A$62,$AF$205^A99,IF(A99='Données projet'!$A$62,'Données projet'!$B$62,AI98+AH99-AQ98)))</f>
        <v>281.75999999999937</v>
      </c>
      <c r="AJ99" s="13">
        <f>AI99*VLOOKUP('Données projet'!$B$10,Paramètres!$A$1:$I$89,3,0)*VLOOKUP('Données projet'!$B$10,Paramètres!$A$1:$I$89,5,0)</f>
        <v>131.8636799999997</v>
      </c>
      <c r="AK99" s="13">
        <f t="shared" si="89"/>
        <v>34.426643655655496</v>
      </c>
      <c r="AL99" s="20">
        <f t="shared" si="58"/>
        <v>289.62231370026609</v>
      </c>
      <c r="AM99" s="59">
        <f t="shared" si="59"/>
        <v>565.87136589665351</v>
      </c>
      <c r="AN99" s="59">
        <f ca="1">AVERAGE(OFFSET($AM$3,0,0,'Données projet'!$E$10+1,1))-AVERAGE(OFFSET($H$3,0,0,'Données projet'!$E$10+1,1))</f>
        <v>391.61151255507264</v>
      </c>
      <c r="AO99" s="59">
        <f t="shared" si="90"/>
        <v>365.61278905364281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131.69524523572633</v>
      </c>
      <c r="AV99" s="21">
        <f>EXP(-LN(2)/25)*AV98+(1-EXP(-LN(2)/25))/(LN(2)/25)*Calculateur!AQ99*Calculateur!AS99*VLOOKUP('Données projet'!$B$10,Paramètres!$A$1:$I$89,3,0)*0.475*44/12</f>
        <v>38.333390910715167</v>
      </c>
      <c r="AW99" s="21">
        <f>EXP(-LN(2)/2)*AW98+(1-EXP(-LN(2)/2))/(LN(2)/2)*AQ99*AT99*VLOOKUP('Données projet'!$B$10,Paramètres!$A$1:$I$89,3,0)*0.475*44/12</f>
        <v>20.853295352894733</v>
      </c>
      <c r="AX99" s="21">
        <f t="shared" si="60"/>
        <v>190.88193149933625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</v>
      </c>
      <c r="BD99" s="12">
        <f>IF('Données projet'!$A$88&gt;35,BD98+BC99-BL98,IF(A99&lt;'Données projet'!$A$88,$BA$205^A99,IF(A99='Données projet'!$A$88,'Données projet'!$B$88,BD98+BC99-BL98)))</f>
        <v>308.39999999999986</v>
      </c>
      <c r="BE99" s="13">
        <f>BD99*VLOOKUP('Données projet'!$B$11,Paramètres!$A$1:$I$89,3,0)*VLOOKUP('Données projet'!$B$11,Paramètres!$A$1:$I$89,5,0)</f>
        <v>293.47343999999987</v>
      </c>
      <c r="BF99" s="13">
        <f t="shared" si="91"/>
        <v>69.806499250685107</v>
      </c>
      <c r="BG99" s="20">
        <f t="shared" si="61"/>
        <v>632.71256086160963</v>
      </c>
      <c r="BH99" s="59">
        <f t="shared" si="62"/>
        <v>908.96161305799706</v>
      </c>
      <c r="BI99" s="59">
        <f ca="1">AVERAGE(OFFSET($BH$3,0,0,'Données projet'!$E$11+1,1))-AVERAGE(OFFSET($H$3,0,0,'Données projet'!$E$11+1,1))</f>
        <v>486.36809102684492</v>
      </c>
      <c r="BJ99" s="59">
        <f t="shared" si="92"/>
        <v>308.42890859885006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21.894428960265806</v>
      </c>
      <c r="BQ99" s="21">
        <f>EXP(-LN(2)/25)*BQ98+(1-EXP(-LN(2)/25))/(LN(2)/25)*Calculateur!BL99*Calculateur!BN99*VLOOKUP('Données projet'!$B$11,Paramètres!$A$1:$I$89,3,0)*0.475*44/12</f>
        <v>21.730621136034316</v>
      </c>
      <c r="BR99" s="21">
        <f>EXP(-LN(2)/2)*BR98+(1-EXP(-LN(2)/2))/(LN(2)/2)*BL99*BO99*VLOOKUP('Données projet'!$B$11,Paramètres!$A$1:$I$89,3,0)*0.475*44/12</f>
        <v>5.4880094157530506</v>
      </c>
      <c r="BS99" s="22">
        <f t="shared" si="63"/>
        <v>49.113059512053169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6.8212102632969618E-13</v>
      </c>
      <c r="O100" s="13">
        <f>N100*VLOOKUP('Données projet'!$B$9,Paramètres!$A$1:$I$89,3,0)*VLOOKUP('Données projet'!$B$9,Paramètres!$A$1:$I$89,5,0)</f>
        <v>3.8130565371830017E-13</v>
      </c>
      <c r="P100" s="13">
        <f t="shared" si="87"/>
        <v>4.9019074112354236E-12</v>
      </c>
      <c r="Q100" s="20">
        <f t="shared" si="107"/>
        <v>9.2015960881277352E-12</v>
      </c>
      <c r="R100" s="59">
        <f t="shared" si="55"/>
        <v>276.54542627939202</v>
      </c>
      <c r="S100" s="59">
        <f ca="1">AVERAGE(OFFSET($R$3,0,0,'Données projet'!$E$9+1,1))-AVERAGE(OFFSET($H$3,0,0,'Données projet'!$E$9+1,1))</f>
        <v>418.8940806978344</v>
      </c>
      <c r="T100" s="59">
        <f t="shared" si="88"/>
        <v>553.49616487922378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105.28727693407079</v>
      </c>
      <c r="AA100" s="21">
        <f>EXP(-LN(2)/25)*AA99+(1-EXP(-LN(2)/25))/(LN(2)/25)*Calculateur!V100*Calculateur!X100*VLOOKUP('Données projet'!$B$9,Paramètres!$A$1:$I$89,3,0)*0.475*44/12</f>
        <v>25.800107090226131</v>
      </c>
      <c r="AB100" s="21">
        <f>EXP(-LN(2)/2)*AB99+(1-EXP(-LN(2)/2))/(LN(2)/2)*V100*Y100*VLOOKUP('Données projet'!$B$9,Paramètres!$A$1:$I$89,3,0)*0.475*44/12</f>
        <v>3.0853627743250878E-5</v>
      </c>
      <c r="AC100" s="22">
        <f t="shared" si="57"/>
        <v>131.08741487792466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8.8599999999999959</v>
      </c>
      <c r="AI100" s="13">
        <f>IF('Données projet'!$A$62&gt;35,AI99+AH100-AQ99,IF(A100&lt;'Données projet'!$A$62,$AF$205^A100,IF(A100='Données projet'!$A$62,'Données projet'!$B$62,AI99+AH100-AQ99)))</f>
        <v>290.61999999999938</v>
      </c>
      <c r="AJ100" s="13">
        <f>AI100*VLOOKUP('Données projet'!$B$10,Paramètres!$A$1:$I$89,3,0)*VLOOKUP('Données projet'!$B$10,Paramètres!$A$1:$I$89,5,0)</f>
        <v>136.0101599999997</v>
      </c>
      <c r="AK100" s="13">
        <f t="shared" si="89"/>
        <v>35.381456835345809</v>
      </c>
      <c r="AL100" s="20">
        <f t="shared" si="58"/>
        <v>298.50706598822677</v>
      </c>
      <c r="AM100" s="59">
        <f t="shared" si="59"/>
        <v>575.05249226760952</v>
      </c>
      <c r="AN100" s="59">
        <f ca="1">AVERAGE(OFFSET($AM$3,0,0,'Données projet'!$E$10+1,1))-AVERAGE(OFFSET($H$3,0,0,'Données projet'!$E$10+1,1))</f>
        <v>391.61151255507264</v>
      </c>
      <c r="AO100" s="59">
        <f t="shared" si="90"/>
        <v>365.61278905364281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129.11278180282179</v>
      </c>
      <c r="AV100" s="21">
        <f>EXP(-LN(2)/25)*AV99+(1-EXP(-LN(2)/25))/(LN(2)/25)*Calculateur!AQ100*Calculateur!AS100*VLOOKUP('Données projet'!$B$10,Paramètres!$A$1:$I$89,3,0)*0.475*44/12</f>
        <v>37.285162320396246</v>
      </c>
      <c r="AW100" s="21">
        <f>EXP(-LN(2)/2)*AW99+(1-EXP(-LN(2)/2))/(LN(2)/2)*AQ100*AT100*VLOOKUP('Données projet'!$B$10,Paramètres!$A$1:$I$89,3,0)*0.475*44/12</f>
        <v>14.745506554117785</v>
      </c>
      <c r="AX100" s="21">
        <f t="shared" si="60"/>
        <v>181.14345067733581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</v>
      </c>
      <c r="BD100" s="12">
        <f>IF('Données projet'!$A$88&gt;35,BD99+BC100-BL99,IF(A100&lt;'Données projet'!$A$88,$BA$205^A100,IF(A100='Données projet'!$A$88,'Données projet'!$B$88,BD99+BC100-BL99)))</f>
        <v>317.39999999999986</v>
      </c>
      <c r="BE100" s="13">
        <f>BD100*VLOOKUP('Données projet'!$B$11,Paramètres!$A$1:$I$89,3,0)*VLOOKUP('Données projet'!$B$11,Paramètres!$A$1:$I$89,5,0)</f>
        <v>302.0378399999999</v>
      </c>
      <c r="BF100" s="13">
        <f t="shared" si="91"/>
        <v>71.603504545962622</v>
      </c>
      <c r="BG100" s="20">
        <f t="shared" si="61"/>
        <v>650.758675084218</v>
      </c>
      <c r="BH100" s="59">
        <f t="shared" si="62"/>
        <v>927.30410136360081</v>
      </c>
      <c r="BI100" s="59">
        <f ca="1">AVERAGE(OFFSET($BH$3,0,0,'Données projet'!$E$11+1,1))-AVERAGE(OFFSET($H$3,0,0,'Données projet'!$E$11+1,1))</f>
        <v>486.36809102684492</v>
      </c>
      <c r="BJ100" s="59">
        <f t="shared" si="92"/>
        <v>308.42890859885006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21.465092562638034</v>
      </c>
      <c r="BQ100" s="21">
        <f>EXP(-LN(2)/25)*BQ99+(1-EXP(-LN(2)/25))/(LN(2)/25)*Calculateur!BL100*Calculateur!BN100*VLOOKUP('Données projet'!$B$11,Paramètres!$A$1:$I$89,3,0)*0.475*44/12</f>
        <v>21.136396158305757</v>
      </c>
      <c r="BR100" s="21">
        <f>EXP(-LN(2)/2)*BR99+(1-EXP(-LN(2)/2))/(LN(2)/2)*BL100*BO100*VLOOKUP('Données projet'!$B$11,Paramètres!$A$1:$I$89,3,0)*0.475*44/12</f>
        <v>3.880608673094605</v>
      </c>
      <c r="BS100" s="22">
        <f t="shared" si="63"/>
        <v>46.482097394038398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6.8212102632969618E-13</v>
      </c>
      <c r="O101" s="13">
        <f>N101*VLOOKUP('Données projet'!$B$9,Paramètres!$A$1:$I$89,3,0)*VLOOKUP('Données projet'!$B$9,Paramètres!$A$1:$I$89,5,0)</f>
        <v>3.8130565371830017E-13</v>
      </c>
      <c r="P101" s="13">
        <f t="shared" si="87"/>
        <v>4.9019074112354236E-12</v>
      </c>
      <c r="Q101" s="20">
        <f t="shared" si="107"/>
        <v>9.2015960881277352E-12</v>
      </c>
      <c r="R101" s="59">
        <f t="shared" si="55"/>
        <v>276.83665893464058</v>
      </c>
      <c r="S101" s="59">
        <f ca="1">AVERAGE(OFFSET($R$3,0,0,'Données projet'!$E$9+1,1))-AVERAGE(OFFSET($H$3,0,0,'Données projet'!$E$9+1,1))</f>
        <v>418.8940806978344</v>
      </c>
      <c r="T101" s="59">
        <f t="shared" si="88"/>
        <v>553.49616487922378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103.2226576522915</v>
      </c>
      <c r="AA101" s="21">
        <f>EXP(-LN(2)/25)*AA100+(1-EXP(-LN(2)/25))/(LN(2)/25)*Calculateur!V101*Calculateur!X101*VLOOKUP('Données projet'!$B$9,Paramètres!$A$1:$I$89,3,0)*0.475*44/12</f>
        <v>25.094601805075232</v>
      </c>
      <c r="AB101" s="21">
        <f>EXP(-LN(2)/2)*AB100+(1-EXP(-LN(2)/2))/(LN(2)/2)*V101*Y101*VLOOKUP('Données projet'!$B$9,Paramètres!$A$1:$I$89,3,0)*0.475*44/12</f>
        <v>2.1816809401458091E-5</v>
      </c>
      <c r="AC101" s="22">
        <f t="shared" si="57"/>
        <v>128.31728127417614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8.8599999999999959</v>
      </c>
      <c r="AI101" s="13">
        <f>IF('Données projet'!$A$62&gt;35,AI100+AH101-AQ100,IF(A101&lt;'Données projet'!$A$62,$AF$205^A101,IF(A101='Données projet'!$A$62,'Données projet'!$B$62,AI100+AH101-AQ100)))</f>
        <v>299.47999999999939</v>
      </c>
      <c r="AJ101" s="13">
        <f>AI101*VLOOKUP('Données projet'!$B$10,Paramètres!$A$1:$I$89,3,0)*VLOOKUP('Données projet'!$B$10,Paramètres!$A$1:$I$89,5,0)</f>
        <v>140.15663999999973</v>
      </c>
      <c r="AK101" s="13">
        <f t="shared" si="89"/>
        <v>36.332887183691668</v>
      </c>
      <c r="AL101" s="20">
        <f t="shared" si="58"/>
        <v>307.38592651159581</v>
      </c>
      <c r="AM101" s="59">
        <f t="shared" si="59"/>
        <v>584.22258544622719</v>
      </c>
      <c r="AN101" s="59">
        <f ca="1">AVERAGE(OFFSET($AM$3,0,0,'Données projet'!$E$10+1,1))-AVERAGE(OFFSET($H$3,0,0,'Données projet'!$E$10+1,1))</f>
        <v>391.61151255507264</v>
      </c>
      <c r="AO101" s="59">
        <f t="shared" si="90"/>
        <v>365.61278905364281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126.58095890268933</v>
      </c>
      <c r="AV101" s="21">
        <f>EXP(-LN(2)/25)*AV100+(1-EXP(-LN(2)/25))/(LN(2)/25)*Calculateur!AQ101*Calculateur!AS101*VLOOKUP('Données projet'!$B$10,Paramètres!$A$1:$I$89,3,0)*0.475*44/12</f>
        <v>36.265597596003538</v>
      </c>
      <c r="AW101" s="21">
        <f>EXP(-LN(2)/2)*AW100+(1-EXP(-LN(2)/2))/(LN(2)/2)*AQ101*AT101*VLOOKUP('Données projet'!$B$10,Paramètres!$A$1:$I$89,3,0)*0.475*44/12</f>
        <v>10.426647676447368</v>
      </c>
      <c r="AX101" s="21">
        <f t="shared" si="60"/>
        <v>173.27320417514025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</v>
      </c>
      <c r="BD101" s="12">
        <f>IF('Données projet'!$A$88&gt;35,BD100+BC101-BL100,IF(A101&lt;'Données projet'!$A$88,$BA$205^A101,IF(A101='Données projet'!$A$88,'Données projet'!$B$88,BD100+BC101-BL100)))</f>
        <v>326.39999999999986</v>
      </c>
      <c r="BE101" s="13">
        <f>BD101*VLOOKUP('Données projet'!$B$11,Paramètres!$A$1:$I$89,3,0)*VLOOKUP('Données projet'!$B$11,Paramètres!$A$1:$I$89,5,0)</f>
        <v>310.60223999999988</v>
      </c>
      <c r="BF101" s="13">
        <f t="shared" si="91"/>
        <v>73.394587643399319</v>
      </c>
      <c r="BG101" s="20">
        <f t="shared" si="61"/>
        <v>668.79447481225361</v>
      </c>
      <c r="BH101" s="59">
        <f t="shared" si="62"/>
        <v>945.63113374688498</v>
      </c>
      <c r="BI101" s="59">
        <f ca="1">AVERAGE(OFFSET($BH$3,0,0,'Données projet'!$E$11+1,1))-AVERAGE(OFFSET($H$3,0,0,'Données projet'!$E$11+1,1))</f>
        <v>486.36809102684492</v>
      </c>
      <c r="BJ101" s="59">
        <f t="shared" si="92"/>
        <v>308.42890859885006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21.044175189898397</v>
      </c>
      <c r="BQ101" s="21">
        <f>EXP(-LN(2)/25)*BQ100+(1-EXP(-LN(2)/25))/(LN(2)/25)*Calculateur!BL101*Calculateur!BN101*VLOOKUP('Données projet'!$B$11,Paramètres!$A$1:$I$89,3,0)*0.475*44/12</f>
        <v>20.558420293842122</v>
      </c>
      <c r="BR101" s="21">
        <f>EXP(-LN(2)/2)*BR100+(1-EXP(-LN(2)/2))/(LN(2)/2)*BL101*BO101*VLOOKUP('Données projet'!$B$11,Paramètres!$A$1:$I$89,3,0)*0.475*44/12</f>
        <v>2.7440047078765257</v>
      </c>
      <c r="BS101" s="22">
        <f t="shared" si="63"/>
        <v>44.346600191617043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6.8212102632969618E-13</v>
      </c>
      <c r="O102" s="13">
        <f>N102*VLOOKUP('Données projet'!$B$9,Paramètres!$A$1:$I$89,3,0)*VLOOKUP('Données projet'!$B$9,Paramètres!$A$1:$I$89,5,0)</f>
        <v>3.8130565371830017E-13</v>
      </c>
      <c r="P102" s="13">
        <f t="shared" si="87"/>
        <v>4.9019074112354236E-12</v>
      </c>
      <c r="Q102" s="20">
        <f t="shared" si="107"/>
        <v>9.2015960881277352E-12</v>
      </c>
      <c r="R102" s="59">
        <f t="shared" si="55"/>
        <v>277.12283935441934</v>
      </c>
      <c r="S102" s="59">
        <f ca="1">AVERAGE(OFFSET($R$3,0,0,'Données projet'!$E$9+1,1))-AVERAGE(OFFSET($H$3,0,0,'Données projet'!$E$9+1,1))</f>
        <v>418.8940806978344</v>
      </c>
      <c r="T102" s="59">
        <f t="shared" si="88"/>
        <v>553.49616487922378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101.19852429533449</v>
      </c>
      <c r="AA102" s="21">
        <f>EXP(-LN(2)/25)*AA101+(1-EXP(-LN(2)/25))/(LN(2)/25)*Calculateur!V102*Calculateur!X102*VLOOKUP('Données projet'!$B$9,Paramètres!$A$1:$I$89,3,0)*0.475*44/12</f>
        <v>24.408388599047697</v>
      </c>
      <c r="AB102" s="21">
        <f>EXP(-LN(2)/2)*AB101+(1-EXP(-LN(2)/2))/(LN(2)/2)*V102*Y102*VLOOKUP('Données projet'!$B$9,Paramètres!$A$1:$I$89,3,0)*0.475*44/12</f>
        <v>1.5426813871625439E-5</v>
      </c>
      <c r="AC102" s="22">
        <f t="shared" si="57"/>
        <v>125.60692832119607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8.8599999999999959</v>
      </c>
      <c r="AI102" s="13">
        <f>IF('Données projet'!$A$62&gt;35,AI101+AH102-AQ101,IF(A102&lt;'Données projet'!$A$62,$AF$205^A102,IF(A102='Données projet'!$A$62,'Données projet'!$B$62,AI101+AH102-AQ101)))</f>
        <v>308.33999999999941</v>
      </c>
      <c r="AJ102" s="13">
        <f>AI102*VLOOKUP('Données projet'!$B$10,Paramètres!$A$1:$I$89,3,0)*VLOOKUP('Données projet'!$B$10,Paramètres!$A$1:$I$89,5,0)</f>
        <v>144.30311999999972</v>
      </c>
      <c r="AK102" s="13">
        <f t="shared" si="89"/>
        <v>37.281046270574386</v>
      </c>
      <c r="AL102" s="20">
        <f t="shared" si="58"/>
        <v>316.25908958791655</v>
      </c>
      <c r="AM102" s="59">
        <f t="shared" si="59"/>
        <v>593.38192894232668</v>
      </c>
      <c r="AN102" s="59">
        <f ca="1">AVERAGE(OFFSET($AM$3,0,0,'Données projet'!$E$10+1,1))-AVERAGE(OFFSET($H$3,0,0,'Données projet'!$E$10+1,1))</f>
        <v>391.61151255507264</v>
      </c>
      <c r="AO102" s="59">
        <f t="shared" si="90"/>
        <v>365.61278905364281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124.09878350536898</v>
      </c>
      <c r="AV102" s="21">
        <f>EXP(-LN(2)/25)*AV101+(1-EXP(-LN(2)/25))/(LN(2)/25)*Calculateur!AQ102*Calculateur!AS102*VLOOKUP('Données projet'!$B$10,Paramètres!$A$1:$I$89,3,0)*0.475*44/12</f>
        <v>35.273912922615928</v>
      </c>
      <c r="AW102" s="21">
        <f>EXP(-LN(2)/2)*AW101+(1-EXP(-LN(2)/2))/(LN(2)/2)*AQ102*AT102*VLOOKUP('Données projet'!$B$10,Paramètres!$A$1:$I$89,3,0)*0.475*44/12</f>
        <v>7.3727532770588944</v>
      </c>
      <c r="AX102" s="21">
        <f t="shared" si="60"/>
        <v>166.74544970504382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9</v>
      </c>
      <c r="BD102" s="12">
        <f>IF('Données projet'!$A$88&gt;35,BD101+BC102-BL101,IF(A102&lt;'Données projet'!$A$88,$BA$205^A102,IF(A102='Données projet'!$A$88,'Données projet'!$B$88,BD101+BC102-BL101)))</f>
        <v>335.39999999999986</v>
      </c>
      <c r="BE102" s="13">
        <f>BD102*VLOOKUP('Données projet'!$B$11,Paramètres!$A$1:$I$89,3,0)*VLOOKUP('Données projet'!$B$11,Paramètres!$A$1:$I$89,5,0)</f>
        <v>319.16663999999986</v>
      </c>
      <c r="BF102" s="13">
        <f t="shared" si="91"/>
        <v>75.179930601017531</v>
      </c>
      <c r="BG102" s="20">
        <f t="shared" si="61"/>
        <v>686.82027713010518</v>
      </c>
      <c r="BH102" s="59">
        <f t="shared" si="62"/>
        <v>963.94311648451526</v>
      </c>
      <c r="BI102" s="59">
        <f ca="1">AVERAGE(OFFSET($BH$3,0,0,'Données projet'!$E$11+1,1))-AVERAGE(OFFSET($H$3,0,0,'Données projet'!$E$11+1,1))</f>
        <v>486.36809102684492</v>
      </c>
      <c r="BJ102" s="59">
        <f t="shared" si="92"/>
        <v>308.42890859885006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20.631511750103936</v>
      </c>
      <c r="BQ102" s="21">
        <f>EXP(-LN(2)/25)*BQ101+(1-EXP(-LN(2)/25))/(LN(2)/25)*Calculateur!BL102*Calculateur!BN102*VLOOKUP('Données projet'!$B$11,Paramètres!$A$1:$I$89,3,0)*0.475*44/12</f>
        <v>19.996249209786672</v>
      </c>
      <c r="BR102" s="21">
        <f>EXP(-LN(2)/2)*BR101+(1-EXP(-LN(2)/2))/(LN(2)/2)*BL102*BO102*VLOOKUP('Données projet'!$B$11,Paramètres!$A$1:$I$89,3,0)*0.475*44/12</f>
        <v>1.9403043365473029</v>
      </c>
      <c r="BS102" s="22">
        <f t="shared" si="63"/>
        <v>42.568065296437908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6.8212102632969618E-13</v>
      </c>
      <c r="O103" s="13">
        <f>N103*VLOOKUP('Données projet'!$B$9,Paramètres!$A$1:$I$89,3,0)*VLOOKUP('Données projet'!$B$9,Paramètres!$A$1:$I$89,5,0)</f>
        <v>3.8130565371830017E-13</v>
      </c>
      <c r="P103" s="13">
        <f t="shared" si="87"/>
        <v>4.9019074112354236E-12</v>
      </c>
      <c r="Q103" s="20">
        <f t="shared" si="107"/>
        <v>9.2015960881277352E-12</v>
      </c>
      <c r="R103" s="59">
        <f t="shared" si="55"/>
        <v>277.40405518371841</v>
      </c>
      <c r="S103" s="59">
        <f ca="1">AVERAGE(OFFSET($R$3,0,0,'Données projet'!$E$9+1,1))-AVERAGE(OFFSET($H$3,0,0,'Données projet'!$E$9+1,1))</f>
        <v>418.8940806978344</v>
      </c>
      <c r="T103" s="59">
        <f t="shared" si="88"/>
        <v>553.49616487922378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99.214082958907966</v>
      </c>
      <c r="AA103" s="21">
        <f>EXP(-LN(2)/25)*AA102+(1-EXP(-LN(2)/25))/(LN(2)/25)*Calculateur!V103*Calculateur!X103*VLOOKUP('Données projet'!$B$9,Paramètres!$A$1:$I$89,3,0)*0.475*44/12</f>
        <v>23.740939929225366</v>
      </c>
      <c r="AB103" s="21">
        <f>EXP(-LN(2)/2)*AB102+(1-EXP(-LN(2)/2))/(LN(2)/2)*V103*Y103*VLOOKUP('Données projet'!$B$9,Paramètres!$A$1:$I$89,3,0)*0.475*44/12</f>
        <v>1.0908404700729046E-5</v>
      </c>
      <c r="AC103" s="22">
        <f t="shared" si="57"/>
        <v>122.95503379653803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8.8599999999999959</v>
      </c>
      <c r="AI103" s="13">
        <f>IF('Données projet'!$A$62&gt;35,AI102+AH103-AQ102,IF(A103&lt;'Données projet'!$A$62,$AF$205^A103,IF(A103='Données projet'!$A$62,'Données projet'!$B$62,AI102+AH103-AQ102)))</f>
        <v>317.19999999999942</v>
      </c>
      <c r="AJ103" s="13">
        <f>AI103*VLOOKUP('Données projet'!$B$10,Paramètres!$A$1:$I$89,3,0)*VLOOKUP('Données projet'!$B$10,Paramètres!$A$1:$I$89,5,0)</f>
        <v>148.44959999999975</v>
      </c>
      <c r="AK103" s="13">
        <f t="shared" si="89"/>
        <v>38.226038889407434</v>
      </c>
      <c r="AL103" s="20">
        <f t="shared" si="58"/>
        <v>325.12673773238419</v>
      </c>
      <c r="AM103" s="59">
        <f t="shared" si="59"/>
        <v>602.53079291609333</v>
      </c>
      <c r="AN103" s="59">
        <f ca="1">AVERAGE(OFFSET($AM$3,0,0,'Données projet'!$E$10+1,1))-AVERAGE(OFFSET($H$3,0,0,'Données projet'!$E$10+1,1))</f>
        <v>391.61151255507264</v>
      </c>
      <c r="AO103" s="59">
        <f t="shared" si="90"/>
        <v>365.61278905364281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121.6652820536126</v>
      </c>
      <c r="AV103" s="21">
        <f>EXP(-LN(2)/25)*AV102+(1-EXP(-LN(2)/25))/(LN(2)/25)*Calculateur!AQ103*Calculateur!AS103*VLOOKUP('Données projet'!$B$10,Paramètres!$A$1:$I$89,3,0)*0.475*44/12</f>
        <v>34.309345918772536</v>
      </c>
      <c r="AW103" s="21">
        <f>EXP(-LN(2)/2)*AW102+(1-EXP(-LN(2)/2))/(LN(2)/2)*AQ103*AT103*VLOOKUP('Données projet'!$B$10,Paramètres!$A$1:$I$89,3,0)*0.475*44/12</f>
        <v>5.2133238382236851</v>
      </c>
      <c r="AX103" s="21">
        <f t="shared" si="60"/>
        <v>161.18795181060881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</v>
      </c>
      <c r="BD103" s="12">
        <f>IF('Données projet'!$A$88&gt;35,BD102+BC103-BL102,IF(A103&lt;'Données projet'!$A$88,$BA$205^A103,IF(A103='Données projet'!$A$88,'Données projet'!$B$88,BD102+BC103-BL102)))</f>
        <v>344.39999999999986</v>
      </c>
      <c r="BE103" s="13">
        <f>BD103*VLOOKUP('Données projet'!$B$11,Paramètres!$A$1:$I$89,3,0)*VLOOKUP('Données projet'!$B$11,Paramètres!$A$1:$I$89,5,0)</f>
        <v>327.73103999999989</v>
      </c>
      <c r="BF103" s="13">
        <f t="shared" si="91"/>
        <v>76.959705150024604</v>
      </c>
      <c r="BG103" s="20">
        <f t="shared" si="61"/>
        <v>704.83638113629274</v>
      </c>
      <c r="BH103" s="59">
        <f t="shared" si="62"/>
        <v>982.24043632000189</v>
      </c>
      <c r="BI103" s="59">
        <f ca="1">AVERAGE(OFFSET($BH$3,0,0,'Données projet'!$E$11+1,1))-AVERAGE(OFFSET($H$3,0,0,'Données projet'!$E$11+1,1))</f>
        <v>486.36809102684492</v>
      </c>
      <c r="BJ103" s="59">
        <f t="shared" si="92"/>
        <v>308.42890859885006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20.226940388664001</v>
      </c>
      <c r="BQ103" s="21">
        <f>EXP(-LN(2)/25)*BQ102+(1-EXP(-LN(2)/25))/(LN(2)/25)*Calculateur!BL103*Calculateur!BN103*VLOOKUP('Données projet'!$B$11,Paramètres!$A$1:$I$89,3,0)*0.475*44/12</f>
        <v>19.449450723588011</v>
      </c>
      <c r="BR103" s="21">
        <f>EXP(-LN(2)/2)*BR102+(1-EXP(-LN(2)/2))/(LN(2)/2)*BL103*BO103*VLOOKUP('Données projet'!$B$11,Paramètres!$A$1:$I$89,3,0)*0.475*44/12</f>
        <v>1.3720023539382631</v>
      </c>
      <c r="BS103" s="22">
        <f t="shared" si="63"/>
        <v>41.048393466190277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6.8212102632969618E-13</v>
      </c>
      <c r="O104" s="13">
        <f>N104*VLOOKUP('Données projet'!$B$9,Paramètres!$A$1:$I$89,3,0)*VLOOKUP('Données projet'!$B$9,Paramètres!$A$1:$I$89,5,0)</f>
        <v>3.8130565371830017E-13</v>
      </c>
      <c r="P104" s="13">
        <f t="shared" si="87"/>
        <v>4.9019074112354236E-12</v>
      </c>
      <c r="Q104" s="20">
        <f t="shared" si="107"/>
        <v>9.2015960881277352E-12</v>
      </c>
      <c r="R104" s="59">
        <f t="shared" si="55"/>
        <v>277.68039254708361</v>
      </c>
      <c r="S104" s="59">
        <f ca="1">AVERAGE(OFFSET($R$3,0,0,'Données projet'!$E$9+1,1))-AVERAGE(OFFSET($H$3,0,0,'Données projet'!$E$9+1,1))</f>
        <v>418.8940806978344</v>
      </c>
      <c r="T104" s="59">
        <f t="shared" si="88"/>
        <v>553.49616487922378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97.268555306699056</v>
      </c>
      <c r="AA104" s="21">
        <f>EXP(-LN(2)/25)*AA103+(1-EXP(-LN(2)/25))/(LN(2)/25)*Calculateur!V104*Calculateur!X104*VLOOKUP('Données projet'!$B$9,Paramètres!$A$1:$I$89,3,0)*0.475*44/12</f>
        <v>23.091742678378928</v>
      </c>
      <c r="AB104" s="21">
        <f>EXP(-LN(2)/2)*AB103+(1-EXP(-LN(2)/2))/(LN(2)/2)*V104*Y104*VLOOKUP('Données projet'!$B$9,Paramètres!$A$1:$I$89,3,0)*0.475*44/12</f>
        <v>7.7134069358127196E-6</v>
      </c>
      <c r="AC104" s="22">
        <f t="shared" si="57"/>
        <v>120.36030569848491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8.8599999999999959</v>
      </c>
      <c r="AI104" s="13">
        <f>IF('Données projet'!$A$62&gt;35,AI103+AH104-AQ103,IF(A104&lt;'Données projet'!$A$62,$AF$205^A104,IF(A104='Données projet'!$A$62,'Données projet'!$B$62,AI103+AH104-AQ103)))</f>
        <v>326.05999999999943</v>
      </c>
      <c r="AJ104" s="13">
        <f>AI104*VLOOKUP('Données projet'!$B$10,Paramètres!$A$1:$I$89,3,0)*VLOOKUP('Données projet'!$B$10,Paramètres!$A$1:$I$89,5,0)</f>
        <v>152.59607999999974</v>
      </c>
      <c r="AK104" s="13">
        <f t="shared" si="89"/>
        <v>39.167963646359965</v>
      </c>
      <c r="AL104" s="20">
        <f t="shared" si="58"/>
        <v>333.98904268407648</v>
      </c>
      <c r="AM104" s="59">
        <f t="shared" si="59"/>
        <v>611.66943523115083</v>
      </c>
      <c r="AN104" s="59">
        <f ca="1">AVERAGE(OFFSET($AM$3,0,0,'Données projet'!$E$10+1,1))-AVERAGE(OFFSET($H$3,0,0,'Données projet'!$E$10+1,1))</f>
        <v>391.61151255507264</v>
      </c>
      <c r="AO104" s="59">
        <f t="shared" si="90"/>
        <v>365.61278905364281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119.27950008103583</v>
      </c>
      <c r="AV104" s="21">
        <f>EXP(-LN(2)/25)*AV103+(1-EXP(-LN(2)/25))/(LN(2)/25)*Calculateur!AQ104*Calculateur!AS104*VLOOKUP('Données projet'!$B$10,Paramètres!$A$1:$I$89,3,0)*0.475*44/12</f>
        <v>33.371155050373616</v>
      </c>
      <c r="AW104" s="21">
        <f>EXP(-LN(2)/2)*AW103+(1-EXP(-LN(2)/2))/(LN(2)/2)*AQ104*AT104*VLOOKUP('Données projet'!$B$10,Paramètres!$A$1:$I$89,3,0)*0.475*44/12</f>
        <v>3.6863766385294476</v>
      </c>
      <c r="AX104" s="21">
        <f t="shared" si="60"/>
        <v>156.3370317699389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</v>
      </c>
      <c r="BD104" s="12">
        <f>IF('Données projet'!$A$88&gt;35,BD103+BC104-BL103,IF(A104&lt;'Données projet'!$A$88,$BA$205^A104,IF(A104='Données projet'!$A$88,'Données projet'!$B$88,BD103+BC104-BL103)))</f>
        <v>353.39999999999986</v>
      </c>
      <c r="BE104" s="13">
        <f>BD104*VLOOKUP('Données projet'!$B$11,Paramètres!$A$1:$I$89,3,0)*VLOOKUP('Données projet'!$B$11,Paramètres!$A$1:$I$89,5,0)</f>
        <v>336.29543999999987</v>
      </c>
      <c r="BF104" s="13">
        <f t="shared" si="91"/>
        <v>78.734073534927049</v>
      </c>
      <c r="BG104" s="20">
        <f t="shared" si="61"/>
        <v>722.84306940666431</v>
      </c>
      <c r="BH104" s="59">
        <f t="shared" si="62"/>
        <v>1000.5234619537387</v>
      </c>
      <c r="BI104" s="59">
        <f ca="1">AVERAGE(OFFSET($BH$3,0,0,'Données projet'!$E$11+1,1))-AVERAGE(OFFSET($H$3,0,0,'Données projet'!$E$11+1,1))</f>
        <v>486.36809102684492</v>
      </c>
      <c r="BJ104" s="59">
        <f t="shared" si="92"/>
        <v>308.42890859885006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19.830302424857738</v>
      </c>
      <c r="BQ104" s="21">
        <f>EXP(-LN(2)/25)*BQ103+(1-EXP(-LN(2)/25))/(LN(2)/25)*Calculateur!BL104*Calculateur!BN104*VLOOKUP('Données projet'!$B$11,Paramètres!$A$1:$I$89,3,0)*0.475*44/12</f>
        <v>18.917604470749335</v>
      </c>
      <c r="BR104" s="21">
        <f>EXP(-LN(2)/2)*BR103+(1-EXP(-LN(2)/2))/(LN(2)/2)*BL104*BO104*VLOOKUP('Données projet'!$B$11,Paramètres!$A$1:$I$89,3,0)*0.475*44/12</f>
        <v>0.97015216827365158</v>
      </c>
      <c r="BS104" s="22">
        <f t="shared" si="63"/>
        <v>39.718059063880723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6.8212102632969618E-13</v>
      </c>
      <c r="O105" s="13">
        <f>N105*VLOOKUP('Données projet'!$B$9,Paramètres!$A$1:$I$89,3,0)*VLOOKUP('Données projet'!$B$9,Paramètres!$A$1:$I$89,5,0)</f>
        <v>3.8130565371830017E-13</v>
      </c>
      <c r="P105" s="13">
        <f t="shared" si="87"/>
        <v>4.9019074112354236E-12</v>
      </c>
      <c r="Q105" s="20">
        <f t="shared" si="107"/>
        <v>9.2015960881277352E-12</v>
      </c>
      <c r="R105" s="59">
        <f t="shared" si="55"/>
        <v>277.95193607499215</v>
      </c>
      <c r="S105" s="59">
        <f ca="1">AVERAGE(OFFSET($R$3,0,0,'Données projet'!$E$9+1,1))-AVERAGE(OFFSET($H$3,0,0,'Données projet'!$E$9+1,1))</f>
        <v>418.8940806978344</v>
      </c>
      <c r="T105" s="59">
        <f t="shared" si="88"/>
        <v>553.49616487922378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95.361178265095276</v>
      </c>
      <c r="AA105" s="21">
        <f>EXP(-LN(2)/25)*AA104+(1-EXP(-LN(2)/25))/(LN(2)/25)*Calculateur!V105*Calculateur!X105*VLOOKUP('Données projet'!$B$9,Paramètres!$A$1:$I$89,3,0)*0.475*44/12</f>
        <v>22.460297760496687</v>
      </c>
      <c r="AB105" s="21">
        <f>EXP(-LN(2)/2)*AB104+(1-EXP(-LN(2)/2))/(LN(2)/2)*V105*Y105*VLOOKUP('Données projet'!$B$9,Paramètres!$A$1:$I$89,3,0)*0.475*44/12</f>
        <v>5.4542023503645228E-6</v>
      </c>
      <c r="AC105" s="22">
        <f t="shared" si="57"/>
        <v>117.82148147979431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8.8599999999999959</v>
      </c>
      <c r="AI105" s="13">
        <f>IF('Données projet'!$A$62&gt;35,AI104+AH105-AQ104,IF(A105&lt;'Données projet'!$A$62,$AF$205^A105,IF(A105='Données projet'!$A$62,'Données projet'!$B$62,AI104+AH105-AQ104)))</f>
        <v>334.91999999999945</v>
      </c>
      <c r="AJ105" s="13">
        <f>AI105*VLOOKUP('Données projet'!$B$10,Paramètres!$A$1:$I$89,3,0)*VLOOKUP('Données projet'!$B$10,Paramètres!$A$1:$I$89,5,0)</f>
        <v>156.74255999999974</v>
      </c>
      <c r="AK105" s="13">
        <f t="shared" si="89"/>
        <v>40.106913483736022</v>
      </c>
      <c r="AL105" s="20">
        <f t="shared" si="58"/>
        <v>342.84616631750646</v>
      </c>
      <c r="AM105" s="59">
        <f t="shared" si="59"/>
        <v>620.79810239248945</v>
      </c>
      <c r="AN105" s="59">
        <f ca="1">AVERAGE(OFFSET($AM$3,0,0,'Données projet'!$E$10+1,1))-AVERAGE(OFFSET($H$3,0,0,'Données projet'!$E$10+1,1))</f>
        <v>391.61151255507264</v>
      </c>
      <c r="AO105" s="59">
        <f t="shared" si="90"/>
        <v>365.61278905364281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116.94050183775798</v>
      </c>
      <c r="AV105" s="21">
        <f>EXP(-LN(2)/25)*AV104+(1-EXP(-LN(2)/25))/(LN(2)/25)*Calculateur!AQ105*Calculateur!AS105*VLOOKUP('Données projet'!$B$10,Paramètres!$A$1:$I$89,3,0)*0.475*44/12</f>
        <v>32.458619060608378</v>
      </c>
      <c r="AW105" s="21">
        <f>EXP(-LN(2)/2)*AW104+(1-EXP(-LN(2)/2))/(LN(2)/2)*AQ105*AT105*VLOOKUP('Données projet'!$B$10,Paramètres!$A$1:$I$89,3,0)*0.475*44/12</f>
        <v>2.606661919111843</v>
      </c>
      <c r="AX105" s="21">
        <f t="shared" si="60"/>
        <v>152.00578281747821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</v>
      </c>
      <c r="BD105" s="12">
        <f>IF('Données projet'!$A$88&gt;35,BD104+BC105-BL104,IF(A105&lt;'Données projet'!$A$88,$BA$205^A105,IF(A105='Données projet'!$A$88,'Données projet'!$B$88,BD104+BC105-BL104)))</f>
        <v>362.39999999999986</v>
      </c>
      <c r="BE105" s="13">
        <f>BD105*VLOOKUP('Données projet'!$B$11,Paramètres!$A$1:$I$89,3,0)*VLOOKUP('Données projet'!$B$11,Paramètres!$A$1:$I$89,5,0)</f>
        <v>344.85983999999985</v>
      </c>
      <c r="BF105" s="13">
        <f t="shared" si="91"/>
        <v>80.503189265656189</v>
      </c>
      <c r="BG105" s="20">
        <f t="shared" si="61"/>
        <v>740.84060930435089</v>
      </c>
      <c r="BH105" s="59">
        <f t="shared" si="62"/>
        <v>1018.7925453793339</v>
      </c>
      <c r="BI105" s="59">
        <f ca="1">AVERAGE(OFFSET($BH$3,0,0,'Données projet'!$E$11+1,1))-AVERAGE(OFFSET($H$3,0,0,'Données projet'!$E$11+1,1))</f>
        <v>486.36809102684492</v>
      </c>
      <c r="BJ105" s="59">
        <f t="shared" si="92"/>
        <v>308.42890859885006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19.441442289596445</v>
      </c>
      <c r="BQ105" s="21">
        <f>EXP(-LN(2)/25)*BQ104+(1-EXP(-LN(2)/25))/(LN(2)/25)*Calculateur!BL105*Calculateur!BN105*VLOOKUP('Données projet'!$B$11,Paramètres!$A$1:$I$89,3,0)*0.475*44/12</f>
        <v>18.400301581663111</v>
      </c>
      <c r="BR105" s="21">
        <f>EXP(-LN(2)/2)*BR104+(1-EXP(-LN(2)/2))/(LN(2)/2)*BL105*BO105*VLOOKUP('Données projet'!$B$11,Paramètres!$A$1:$I$89,3,0)*0.475*44/12</f>
        <v>0.68600117696913165</v>
      </c>
      <c r="BS105" s="22">
        <f t="shared" si="63"/>
        <v>38.527745048228681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6.8212102632969618E-13</v>
      </c>
      <c r="O106" s="13">
        <f>N106*VLOOKUP('Données projet'!$B$9,Paramètres!$A$1:$I$89,3,0)*VLOOKUP('Données projet'!$B$9,Paramètres!$A$1:$I$89,5,0)</f>
        <v>3.8130565371830017E-13</v>
      </c>
      <c r="P106" s="13">
        <f t="shared" si="87"/>
        <v>4.9019074112354236E-12</v>
      </c>
      <c r="Q106" s="20">
        <f t="shared" si="107"/>
        <v>9.2015960881277352E-12</v>
      </c>
      <c r="R106" s="59">
        <f t="shared" si="55"/>
        <v>278.2187689297719</v>
      </c>
      <c r="S106" s="59">
        <f ca="1">AVERAGE(OFFSET($R$3,0,0,'Données projet'!$E$9+1,1))-AVERAGE(OFFSET($H$3,0,0,'Données projet'!$E$9+1,1))</f>
        <v>418.8940806978344</v>
      </c>
      <c r="T106" s="59">
        <f t="shared" si="88"/>
        <v>553.49616487922378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93.491203723892227</v>
      </c>
      <c r="AA106" s="21">
        <f>EXP(-LN(2)/25)*AA105+(1-EXP(-LN(2)/25))/(LN(2)/25)*Calculateur!V106*Calculateur!X106*VLOOKUP('Données projet'!$B$9,Paramètres!$A$1:$I$89,3,0)*0.475*44/12</f>
        <v>21.846119737100178</v>
      </c>
      <c r="AB106" s="21">
        <f>EXP(-LN(2)/2)*AB105+(1-EXP(-LN(2)/2))/(LN(2)/2)*V106*Y106*VLOOKUP('Données projet'!$B$9,Paramètres!$A$1:$I$89,3,0)*0.475*44/12</f>
        <v>3.8567034679063598E-6</v>
      </c>
      <c r="AC106" s="22">
        <f t="shared" si="57"/>
        <v>115.33732731769588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8.8599999999999959</v>
      </c>
      <c r="AI106" s="13">
        <f>IF('Données projet'!$A$62&gt;35,AI105+AH106-AQ105,IF(A106&lt;'Données projet'!$A$62,$AF$205^A106,IF(A106='Données projet'!$A$62,'Données projet'!$B$62,AI105+AH106-AQ105)))</f>
        <v>343.77999999999946</v>
      </c>
      <c r="AJ106" s="13">
        <f>AI106*VLOOKUP('Données projet'!$B$10,Paramètres!$A$1:$I$89,3,0)*VLOOKUP('Données projet'!$B$10,Paramètres!$A$1:$I$89,5,0)</f>
        <v>160.88903999999974</v>
      </c>
      <c r="AK106" s="13">
        <f t="shared" si="89"/>
        <v>41.042976146413629</v>
      </c>
      <c r="AL106" s="20">
        <f t="shared" si="58"/>
        <v>351.69826145500332</v>
      </c>
      <c r="AM106" s="59">
        <f t="shared" si="59"/>
        <v>629.91703038476601</v>
      </c>
      <c r="AN106" s="59">
        <f ca="1">AVERAGE(OFFSET($AM$3,0,0,'Données projet'!$E$10+1,1))-AVERAGE(OFFSET($H$3,0,0,'Données projet'!$E$10+1,1))</f>
        <v>391.61151255507264</v>
      </c>
      <c r="AO106" s="59">
        <f t="shared" si="90"/>
        <v>365.61278905364281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114.64736992338274</v>
      </c>
      <c r="AV106" s="21">
        <f>EXP(-LN(2)/25)*AV105+(1-EXP(-LN(2)/25))/(LN(2)/25)*Calculateur!AQ106*Calculateur!AS106*VLOOKUP('Données projet'!$B$10,Paramètres!$A$1:$I$89,3,0)*0.475*44/12</f>
        <v>31.57103641547145</v>
      </c>
      <c r="AW106" s="21">
        <f>EXP(-LN(2)/2)*AW105+(1-EXP(-LN(2)/2))/(LN(2)/2)*AQ106*AT106*VLOOKUP('Données projet'!$B$10,Paramètres!$A$1:$I$89,3,0)*0.475*44/12</f>
        <v>1.843188319264724</v>
      </c>
      <c r="AX106" s="21">
        <f t="shared" si="60"/>
        <v>148.06159465811891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371.4</v>
      </c>
      <c r="BB106" s="12">
        <f>VLOOKUP(A106,'Données projet'!$A$87:$I$107,9,0)</f>
        <v>9</v>
      </c>
      <c r="BC106" s="12">
        <f t="array" ref="BC106">INDEX(BB:BB,MIN(IF(ISNUMBER(BB106:BB302),ROW(BB106:BB302),"")))</f>
        <v>9</v>
      </c>
      <c r="BD106" s="12">
        <f>IF('Données projet'!$A$88&gt;35,BD105+BC106-BL105,IF(A106&lt;'Données projet'!$A$88,$BA$205^A106,IF(A106='Données projet'!$A$88,'Données projet'!$B$88,BD105+BC106-BL105)))</f>
        <v>371.39999999999986</v>
      </c>
      <c r="BE106" s="13">
        <f>BD106*VLOOKUP('Données projet'!$B$11,Paramètres!$A$1:$I$89,3,0)*VLOOKUP('Données projet'!$B$11,Paramètres!$A$1:$I$89,5,0)</f>
        <v>353.42423999999988</v>
      </c>
      <c r="BF106" s="13">
        <f t="shared" si="91"/>
        <v>82.267197792875777</v>
      </c>
      <c r="BG106" s="20">
        <f t="shared" si="61"/>
        <v>758.82925415592501</v>
      </c>
      <c r="BH106" s="59">
        <f t="shared" si="62"/>
        <v>1037.0480230856876</v>
      </c>
      <c r="BI106" s="59">
        <f ca="1">AVERAGE(OFFSET($BH$3,0,0,'Données projet'!$E$11+1,1))-AVERAGE(OFFSET($H$3,0,0,'Données projet'!$E$11+1,1))</f>
        <v>486.36809102684492</v>
      </c>
      <c r="BJ106" s="59">
        <f t="shared" si="92"/>
        <v>308.42890859885006</v>
      </c>
      <c r="BK106" s="15">
        <f>IF(ISNA(VLOOKUP(A106,'Données projet'!$A$87:$I$107,3,0)),0,VLOOKUP(A106,'Données projet'!$A$87:$I$107,3,0))</f>
        <v>9</v>
      </c>
      <c r="BL106" s="15">
        <f>IF(ISNA(VLOOKUP(A106,'Données projet'!$A$87:$I$107,4,0)),0,VLOOKUP(A106,'Données projet'!$A$87:$I$107,4,0))</f>
        <v>67.8</v>
      </c>
      <c r="BM106" s="16">
        <f>IF(ISNA(VLOOKUP(A106,'Données projet'!$A$87:$I$107,5,0)),0%,VLOOKUP(A106,'Données projet'!$A$87:$I$107,5,0)*VLOOKUP('Données projet'!$B$11,Paramètres!$A$1:$I$89,7,0))</f>
        <v>0.1075</v>
      </c>
      <c r="BN106" s="16">
        <f>IF(ISNA(VLOOKUP(A106,'Données projet'!$A$87:$I$107,6,0)),0%,VLOOKUP(A106,'Données projet'!$A$87:$I$107,6,0)*VLOOKUP('Données projet'!$B$11,Paramètres!$A$1:$I$89,7,0))</f>
        <v>0.1075</v>
      </c>
      <c r="BO106" s="16">
        <f>IF(ISNA(VLOOKUP(A106,'Données projet'!$A$87:$I$107,7,0)),0%,VLOOKUP(A106,'Données projet'!$A$87:$I$107,7,0))</f>
        <v>0.25</v>
      </c>
      <c r="BP106" s="21">
        <f>EXP(-LN(2)/35)*BP105+(1-EXP(-LN(2)/35))/(LN(2)/35)*BL106*BM106*VLOOKUP('Données projet'!$B$11,Paramètres!$A$1:$I$89,3,0)*0.475*44/12</f>
        <v>26.727458835948934</v>
      </c>
      <c r="BQ106" s="21">
        <f>EXP(-LN(2)/25)*BQ105+(1-EXP(-LN(2)/25))/(LN(2)/25)*Calculateur!BL106*Calculateur!BN106*VLOOKUP('Données projet'!$B$11,Paramètres!$A$1:$I$89,3,0)*0.475*44/12</f>
        <v>25.534206848723727</v>
      </c>
      <c r="BR106" s="21">
        <f>EXP(-LN(2)/2)*BR105+(1-EXP(-LN(2)/2))/(LN(2)/2)*BL106*BO106*VLOOKUP('Données projet'!$B$11,Paramètres!$A$1:$I$89,3,0)*0.475*44/12</f>
        <v>15.703806676494187</v>
      </c>
      <c r="BS106" s="22">
        <f t="shared" si="63"/>
        <v>67.965472361166846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6.8212102632969618E-13</v>
      </c>
      <c r="O107" s="13">
        <f>N107*VLOOKUP('Données projet'!$B$9,Paramètres!$A$1:$I$89,3,0)*VLOOKUP('Données projet'!$B$9,Paramètres!$A$1:$I$89,5,0)</f>
        <v>3.8130565371830017E-13</v>
      </c>
      <c r="P107" s="13">
        <f t="shared" si="87"/>
        <v>4.9019074112354236E-12</v>
      </c>
      <c r="Q107" s="20">
        <f t="shared" si="107"/>
        <v>9.2015960881277352E-12</v>
      </c>
      <c r="R107" s="59">
        <f t="shared" si="55"/>
        <v>278.48097283107012</v>
      </c>
      <c r="S107" s="59">
        <f ca="1">AVERAGE(OFFSET($R$3,0,0,'Données projet'!$E$9+1,1))-AVERAGE(OFFSET($H$3,0,0,'Données projet'!$E$9+1,1))</f>
        <v>418.8940806978344</v>
      </c>
      <c r="T107" s="59">
        <f t="shared" si="88"/>
        <v>553.49616487922378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91.657898242870317</v>
      </c>
      <c r="AA107" s="21">
        <f>EXP(-LN(2)/25)*AA106+(1-EXP(-LN(2)/25))/(LN(2)/25)*Calculateur!V107*Calculateur!X107*VLOOKUP('Données projet'!$B$9,Paramètres!$A$1:$I$89,3,0)*0.475*44/12</f>
        <v>21.248736444051666</v>
      </c>
      <c r="AB107" s="21">
        <f>EXP(-LN(2)/2)*AB106+(1-EXP(-LN(2)/2))/(LN(2)/2)*V107*Y107*VLOOKUP('Données projet'!$B$9,Paramètres!$A$1:$I$89,3,0)*0.475*44/12</f>
        <v>2.7271011751822614E-6</v>
      </c>
      <c r="AC107" s="22">
        <f t="shared" si="57"/>
        <v>112.90663741402317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8.8599999999999959</v>
      </c>
      <c r="AI107" s="13">
        <f>IF('Données projet'!$A$62&gt;35,AI106+AH107-AQ106,IF(A107&lt;'Données projet'!$A$62,$AF$205^A107,IF(A107='Données projet'!$A$62,'Données projet'!$B$62,AI106+AH107-AQ106)))</f>
        <v>352.63999999999947</v>
      </c>
      <c r="AJ107" s="13">
        <f>AI107*VLOOKUP('Données projet'!$B$10,Paramètres!$A$1:$I$89,3,0)*VLOOKUP('Données projet'!$B$10,Paramètres!$A$1:$I$89,5,0)</f>
        <v>165.03551999999974</v>
      </c>
      <c r="AK107" s="13">
        <f t="shared" si="89"/>
        <v>41.976234598846439</v>
      </c>
      <c r="AL107" s="20">
        <f t="shared" si="58"/>
        <v>360.54547259299039</v>
      </c>
      <c r="AM107" s="59">
        <f t="shared" si="59"/>
        <v>639.0264454240513</v>
      </c>
      <c r="AN107" s="59">
        <f ca="1">AVERAGE(OFFSET($AM$3,0,0,'Données projet'!$E$10+1,1))-AVERAGE(OFFSET($H$3,0,0,'Données projet'!$E$10+1,1))</f>
        <v>391.61151255507264</v>
      </c>
      <c r="AO107" s="59">
        <f t="shared" si="90"/>
        <v>365.61278905364281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112.39920492717604</v>
      </c>
      <c r="AV107" s="21">
        <f>EXP(-LN(2)/25)*AV106+(1-EXP(-LN(2)/25))/(LN(2)/25)*Calculateur!AQ107*Calculateur!AS107*VLOOKUP('Données projet'!$B$10,Paramètres!$A$1:$I$89,3,0)*0.475*44/12</f>
        <v>30.707724764441735</v>
      </c>
      <c r="AW107" s="21">
        <f>EXP(-LN(2)/2)*AW106+(1-EXP(-LN(2)/2))/(LN(2)/2)*AQ107*AT107*VLOOKUP('Données projet'!$B$10,Paramètres!$A$1:$I$89,3,0)*0.475*44/12</f>
        <v>1.3033309595559217</v>
      </c>
      <c r="AX107" s="21">
        <f t="shared" si="60"/>
        <v>144.4102606511737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8.7600000000000016</v>
      </c>
      <c r="BD107" s="12">
        <f>IF('Données projet'!$A$88&gt;35,BD106+BC107-BL106,IF(A107&lt;'Données projet'!$A$88,$BA$205^A107,IF(A107='Données projet'!$A$88,'Données projet'!$B$88,BD106+BC107-BL106)))</f>
        <v>312.35999999999984</v>
      </c>
      <c r="BE107" s="13">
        <f>BD107*VLOOKUP('Données projet'!$B$11,Paramètres!$A$1:$I$89,3,0)*VLOOKUP('Données projet'!$B$11,Paramètres!$A$1:$I$89,5,0)</f>
        <v>297.24177599999985</v>
      </c>
      <c r="BF107" s="13">
        <f t="shared" si="91"/>
        <v>70.597923308857816</v>
      </c>
      <c r="BG107" s="20">
        <f t="shared" si="61"/>
        <v>640.65414296292715</v>
      </c>
      <c r="BH107" s="59">
        <f t="shared" si="62"/>
        <v>919.13511579398801</v>
      </c>
      <c r="BI107" s="59">
        <f ca="1">AVERAGE(OFFSET($BH$3,0,0,'Données projet'!$E$11+1,1))-AVERAGE(OFFSET($H$3,0,0,'Données projet'!$E$11+1,1))</f>
        <v>486.36809102684492</v>
      </c>
      <c r="BJ107" s="59">
        <f t="shared" si="92"/>
        <v>308.42890859885006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26.203349670316161</v>
      </c>
      <c r="BQ107" s="21">
        <f>EXP(-LN(2)/25)*BQ106+(1-EXP(-LN(2)/25))/(LN(2)/25)*Calculateur!BL107*Calculateur!BN107*VLOOKUP('Données projet'!$B$11,Paramètres!$A$1:$I$89,3,0)*0.475*44/12</f>
        <v>24.835972619659799</v>
      </c>
      <c r="BR107" s="21">
        <f>EXP(-LN(2)/2)*BR106+(1-EXP(-LN(2)/2))/(LN(2)/2)*BL107*BO107*VLOOKUP('Données projet'!$B$11,Paramètres!$A$1:$I$89,3,0)*0.475*44/12</f>
        <v>11.10426819139162</v>
      </c>
      <c r="BS107" s="22">
        <f t="shared" si="63"/>
        <v>62.143590481367575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6.8212102632969618E-13</v>
      </c>
      <c r="O108" s="13">
        <f>N108*VLOOKUP('Données projet'!$B$9,Paramètres!$A$1:$I$89,3,0)*VLOOKUP('Données projet'!$B$9,Paramètres!$A$1:$I$89,5,0)</f>
        <v>3.8130565371830017E-13</v>
      </c>
      <c r="P108" s="13">
        <f t="shared" si="87"/>
        <v>4.9019074112354236E-12</v>
      </c>
      <c r="Q108" s="20">
        <f t="shared" si="107"/>
        <v>9.2015960881277352E-12</v>
      </c>
      <c r="R108" s="59">
        <f t="shared" si="55"/>
        <v>278.73862808088097</v>
      </c>
      <c r="S108" s="59">
        <f ca="1">AVERAGE(OFFSET($R$3,0,0,'Données projet'!$E$9+1,1))-AVERAGE(OFFSET($H$3,0,0,'Données projet'!$E$9+1,1))</f>
        <v>418.8940806978344</v>
      </c>
      <c r="T108" s="59">
        <f t="shared" si="88"/>
        <v>553.49616487922378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89.860542764125313</v>
      </c>
      <c r="AA108" s="21">
        <f>EXP(-LN(2)/25)*AA107+(1-EXP(-LN(2)/25))/(LN(2)/25)*Calculateur!V108*Calculateur!X108*VLOOKUP('Données projet'!$B$9,Paramètres!$A$1:$I$89,3,0)*0.475*44/12</f>
        <v>20.667688628566587</v>
      </c>
      <c r="AB108" s="21">
        <f>EXP(-LN(2)/2)*AB107+(1-EXP(-LN(2)/2))/(LN(2)/2)*V108*Y108*VLOOKUP('Données projet'!$B$9,Paramètres!$A$1:$I$89,3,0)*0.475*44/12</f>
        <v>1.9283517339531799E-6</v>
      </c>
      <c r="AC108" s="22">
        <f t="shared" si="57"/>
        <v>110.52823332104364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361.5</v>
      </c>
      <c r="AG108" s="12">
        <f>VLOOKUP(A108,'Données projet'!$A$61:$I$81,9,0)</f>
        <v>8.8599999999999959</v>
      </c>
      <c r="AH108" s="12">
        <f t="array" ref="AH108">INDEX(AG:AG,MIN(IF(ISNUMBER(AG108:AG304),ROW(AG108:AG304),"")))</f>
        <v>8.8599999999999959</v>
      </c>
      <c r="AI108" s="13">
        <f>IF('Données projet'!$A$62&gt;35,AI107+AH108-AQ107,IF(A108&lt;'Données projet'!$A$62,$AF$205^A108,IF(A108='Données projet'!$A$62,'Données projet'!$B$62,AI107+AH108-AQ107)))</f>
        <v>361.49999999999949</v>
      </c>
      <c r="AJ108" s="13">
        <f>AI108*VLOOKUP('Données projet'!$B$10,Paramètres!$A$1:$I$89,3,0)*VLOOKUP('Données projet'!$B$10,Paramètres!$A$1:$I$89,5,0)</f>
        <v>169.18199999999976</v>
      </c>
      <c r="AK108" s="13">
        <f t="shared" si="89"/>
        <v>42.906767398977081</v>
      </c>
      <c r="AL108" s="20">
        <f t="shared" si="58"/>
        <v>369.38793655321797</v>
      </c>
      <c r="AM108" s="59">
        <f t="shared" si="59"/>
        <v>648.12656463408973</v>
      </c>
      <c r="AN108" s="59">
        <f ca="1">AVERAGE(OFFSET($AM$3,0,0,'Données projet'!$E$10+1,1))-AVERAGE(OFFSET($H$3,0,0,'Données projet'!$E$10+1,1))</f>
        <v>391.61151255507264</v>
      </c>
      <c r="AO108" s="59">
        <f t="shared" si="90"/>
        <v>365.61278905364281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361.5</v>
      </c>
      <c r="AR108" s="16">
        <f>IF(ISNA(VLOOKUP(A108,'Données projet'!$A$61:$I$81,5,0)),0%,VLOOKUP(A108,'Données projet'!$A$61:$I$81,5,0)*VLOOKUP('Données projet'!$B$10,Paramètres!$A$1:$I$89,7,0))</f>
        <v>0.33</v>
      </c>
      <c r="AS108" s="16">
        <f>IF(ISNA(VLOOKUP(A108,'Données projet'!$A$61:$I$81,6,0)),0%,VLOOKUP(A108,'Données projet'!$A$61:$I$81,6,0)*VLOOKUP('Données projet'!$B$10,Paramètres!$A$1:$I$89,7,0))</f>
        <v>0.11000000000000001</v>
      </c>
      <c r="AT108" s="16">
        <f>IF(ISNA(VLOOKUP(A108,'Données projet'!$A$61:$I$81,7,0)),0%,VLOOKUP(A108,'Données projet'!$A$61:$I$81,7,0))</f>
        <v>0.2</v>
      </c>
      <c r="AU108" s="21">
        <f>EXP(-LN(2)/35)*AU107+(1-EXP(-LN(2)/35))/(LN(2)/35)*AQ108*AR108*VLOOKUP('Données projet'!$B$10,Paramètres!$A$1:$I$89,3,0)*0.475*44/12</f>
        <v>184.25729821635656</v>
      </c>
      <c r="AV108" s="21">
        <f>EXP(-LN(2)/25)*AV107+(1-EXP(-LN(2)/25))/(LN(2)/25)*Calculateur!AQ108*Calculateur!AS108*VLOOKUP('Données projet'!$B$10,Paramètres!$A$1:$I$89,3,0)*0.475*44/12</f>
        <v>54.458207797742403</v>
      </c>
      <c r="AW108" s="21">
        <f>EXP(-LN(2)/2)*AW107+(1-EXP(-LN(2)/2))/(LN(2)/2)*AQ108*AT108*VLOOKUP('Données projet'!$B$10,Paramètres!$A$1:$I$89,3,0)*0.475*44/12</f>
        <v>39.232259071656877</v>
      </c>
      <c r="AX108" s="21">
        <f t="shared" si="60"/>
        <v>277.94776508575586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8.7600000000000016</v>
      </c>
      <c r="BD108" s="12">
        <f>IF('Données projet'!$A$88&gt;35,BD107+BC108-BL107,IF(A108&lt;'Données projet'!$A$88,$BA$205^A108,IF(A108='Données projet'!$A$88,'Données projet'!$B$88,BD107+BC108-BL107)))</f>
        <v>321.11999999999983</v>
      </c>
      <c r="BE108" s="13">
        <f>BD108*VLOOKUP('Données projet'!$B$11,Paramètres!$A$1:$I$89,3,0)*VLOOKUP('Données projet'!$B$11,Paramètres!$A$1:$I$89,5,0)</f>
        <v>305.57779199999987</v>
      </c>
      <c r="BF108" s="13">
        <f t="shared" si="91"/>
        <v>72.344526282907452</v>
      </c>
      <c r="BG108" s="20">
        <f t="shared" si="61"/>
        <v>658.21470434273022</v>
      </c>
      <c r="BH108" s="59">
        <f t="shared" si="62"/>
        <v>936.95333242360198</v>
      </c>
      <c r="BI108" s="59">
        <f ca="1">AVERAGE(OFFSET($BH$3,0,0,'Données projet'!$E$11+1,1))-AVERAGE(OFFSET($H$3,0,0,'Données projet'!$E$11+1,1))</f>
        <v>486.36809102684492</v>
      </c>
      <c r="BJ108" s="59">
        <f t="shared" si="92"/>
        <v>308.42890859885006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25.689517965746422</v>
      </c>
      <c r="BQ108" s="21">
        <f>EXP(-LN(2)/25)*BQ107+(1-EXP(-LN(2)/25))/(LN(2)/25)*Calculateur!BL108*Calculateur!BN108*VLOOKUP('Données projet'!$B$11,Paramètres!$A$1:$I$89,3,0)*0.475*44/12</f>
        <v>24.156831642308166</v>
      </c>
      <c r="BR108" s="21">
        <f>EXP(-LN(2)/2)*BR107+(1-EXP(-LN(2)/2))/(LN(2)/2)*BL108*BO108*VLOOKUP('Données projet'!$B$11,Paramètres!$A$1:$I$89,3,0)*0.475*44/12</f>
        <v>7.8519033382470944</v>
      </c>
      <c r="BS108" s="22">
        <f t="shared" si="63"/>
        <v>57.698252946301679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6.8212102632969618E-13</v>
      </c>
      <c r="O109" s="13">
        <f>N109*VLOOKUP('Données projet'!$B$9,Paramètres!$A$1:$I$89,3,0)*VLOOKUP('Données projet'!$B$9,Paramètres!$A$1:$I$89,5,0)</f>
        <v>3.8130565371830017E-13</v>
      </c>
      <c r="P109" s="13">
        <f t="shared" si="87"/>
        <v>4.9019074112354236E-12</v>
      </c>
      <c r="Q109" s="20">
        <f t="shared" si="107"/>
        <v>9.2015960881277352E-12</v>
      </c>
      <c r="R109" s="59">
        <f t="shared" si="55"/>
        <v>278.99181358813831</v>
      </c>
      <c r="S109" s="59">
        <f ca="1">AVERAGE(OFFSET($R$3,0,0,'Données projet'!$E$9+1,1))-AVERAGE(OFFSET($H$3,0,0,'Données projet'!$E$9+1,1))</f>
        <v>418.8940806978344</v>
      </c>
      <c r="T109" s="59">
        <f t="shared" si="88"/>
        <v>553.49616487922378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88.098432330039913</v>
      </c>
      <c r="AA109" s="21">
        <f>EXP(-LN(2)/25)*AA108+(1-EXP(-LN(2)/25))/(LN(2)/25)*Calculateur!V109*Calculateur!X109*VLOOKUP('Données projet'!$B$9,Paramètres!$A$1:$I$89,3,0)*0.475*44/12</f>
        <v>20.102529596151925</v>
      </c>
      <c r="AB109" s="21">
        <f>EXP(-LN(2)/2)*AB108+(1-EXP(-LN(2)/2))/(LN(2)/2)*V109*Y109*VLOOKUP('Données projet'!$B$9,Paramètres!$A$1:$I$89,3,0)*0.475*44/12</f>
        <v>1.3635505875911307E-6</v>
      </c>
      <c r="AC109" s="22">
        <f t="shared" si="57"/>
        <v>108.20096328974242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-5.1159076974727213E-13</v>
      </c>
      <c r="AJ109" s="13">
        <f>AI109*VLOOKUP('Données projet'!$B$10,Paramètres!$A$1:$I$89,3,0)*VLOOKUP('Données projet'!$B$10,Paramètres!$A$1:$I$89,5,0)</f>
        <v>-2.3942448024172334E-13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391.61151255507264</v>
      </c>
      <c r="AO109" s="59">
        <f t="shared" si="90"/>
        <v>365.61278905364281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180.64412498418855</v>
      </c>
      <c r="AV109" s="21">
        <f>EXP(-LN(2)/25)*AV108+(1-EXP(-LN(2)/25))/(LN(2)/25)*Calculateur!AQ109*Calculateur!AS109*VLOOKUP('Données projet'!$B$10,Paramètres!$A$1:$I$89,3,0)*0.475*44/12</f>
        <v>52.969045241680455</v>
      </c>
      <c r="AW109" s="21">
        <f>EXP(-LN(2)/2)*AW108+(1-EXP(-LN(2)/2))/(LN(2)/2)*AQ109*AT109*VLOOKUP('Données projet'!$B$10,Paramètres!$A$1:$I$89,3,0)*0.475*44/12</f>
        <v>27.741396430836026</v>
      </c>
      <c r="AX109" s="21">
        <f t="shared" si="60"/>
        <v>261.354566656705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8.7600000000000016</v>
      </c>
      <c r="BD109" s="12">
        <f>IF('Données projet'!$A$88&gt;35,BD108+BC109-BL108,IF(A109&lt;'Données projet'!$A$88,$BA$205^A109,IF(A109='Données projet'!$A$88,'Données projet'!$B$88,BD108+BC109-BL108)))</f>
        <v>329.87999999999982</v>
      </c>
      <c r="BE109" s="13">
        <f>BD109*VLOOKUP('Données projet'!$B$11,Paramètres!$A$1:$I$89,3,0)*VLOOKUP('Données projet'!$B$11,Paramètres!$A$1:$I$89,5,0)</f>
        <v>313.91380799999985</v>
      </c>
      <c r="BF109" s="13">
        <f t="shared" si="91"/>
        <v>74.085591275247239</v>
      </c>
      <c r="BG109" s="20">
        <f t="shared" si="61"/>
        <v>675.76562040438864</v>
      </c>
      <c r="BH109" s="59">
        <f t="shared" si="62"/>
        <v>954.75743399251769</v>
      </c>
      <c r="BI109" s="59">
        <f ca="1">AVERAGE(OFFSET($BH$3,0,0,'Données projet'!$E$11+1,1))-AVERAGE(OFFSET($H$3,0,0,'Données projet'!$E$11+1,1))</f>
        <v>486.36809102684492</v>
      </c>
      <c r="BJ109" s="59">
        <f t="shared" si="92"/>
        <v>308.42890859885006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25.185762187496902</v>
      </c>
      <c r="BQ109" s="21">
        <f>EXP(-LN(2)/25)*BQ108+(1-EXP(-LN(2)/25))/(LN(2)/25)*Calculateur!BL109*Calculateur!BN109*VLOOKUP('Données projet'!$B$11,Paramètres!$A$1:$I$89,3,0)*0.475*44/12</f>
        <v>23.496261810696684</v>
      </c>
      <c r="BR109" s="21">
        <f>EXP(-LN(2)/2)*BR108+(1-EXP(-LN(2)/2))/(LN(2)/2)*BL109*BO109*VLOOKUP('Données projet'!$B$11,Paramètres!$A$1:$I$89,3,0)*0.475*44/12</f>
        <v>5.552134095695811</v>
      </c>
      <c r="BS109" s="22">
        <f t="shared" si="63"/>
        <v>54.234158093889398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6.8212102632969618E-13</v>
      </c>
      <c r="O110" s="13">
        <f>N110*VLOOKUP('Données projet'!$B$9,Paramètres!$A$1:$I$89,3,0)*VLOOKUP('Données projet'!$B$9,Paramètres!$A$1:$I$89,5,0)</f>
        <v>3.8130565371830017E-13</v>
      </c>
      <c r="P110" s="13">
        <f t="shared" si="87"/>
        <v>4.9019074112354236E-12</v>
      </c>
      <c r="Q110" s="20">
        <f t="shared" si="107"/>
        <v>9.2015960881277352E-12</v>
      </c>
      <c r="R110" s="59">
        <f t="shared" si="55"/>
        <v>279.24060689288285</v>
      </c>
      <c r="S110" s="59">
        <f ca="1">AVERAGE(OFFSET($R$3,0,0,'Données projet'!$E$9+1,1))-AVERAGE(OFFSET($H$3,0,0,'Données projet'!$E$9+1,1))</f>
        <v>418.8940806978344</v>
      </c>
      <c r="T110" s="59">
        <f t="shared" si="88"/>
        <v>553.49616487922378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86.370875806785691</v>
      </c>
      <c r="AA110" s="21">
        <f>EXP(-LN(2)/25)*AA109+(1-EXP(-LN(2)/25))/(LN(2)/25)*Calculateur!V110*Calculateur!X110*VLOOKUP('Données projet'!$B$9,Paramètres!$A$1:$I$89,3,0)*0.475*44/12</f>
        <v>19.552824867199064</v>
      </c>
      <c r="AB110" s="21">
        <f>EXP(-LN(2)/2)*AB109+(1-EXP(-LN(2)/2))/(LN(2)/2)*V110*Y110*VLOOKUP('Données projet'!$B$9,Paramètres!$A$1:$I$89,3,0)*0.475*44/12</f>
        <v>9.6417586697658995E-7</v>
      </c>
      <c r="AC110" s="22">
        <f t="shared" si="57"/>
        <v>105.92370163816062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-5.1159076974727213E-13</v>
      </c>
      <c r="AJ110" s="13">
        <f>AI110*VLOOKUP('Données projet'!$B$10,Paramètres!$A$1:$I$89,3,0)*VLOOKUP('Données projet'!$B$10,Paramètres!$A$1:$I$89,5,0)</f>
        <v>-2.3942448024172334E-13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391.61151255507264</v>
      </c>
      <c r="AO110" s="59">
        <f t="shared" si="90"/>
        <v>365.61278905364281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177.10180387528527</v>
      </c>
      <c r="AV110" s="21">
        <f>EXP(-LN(2)/25)*AV109+(1-EXP(-LN(2)/25))/(LN(2)/25)*Calculateur!AQ110*Calculateur!AS110*VLOOKUP('Données projet'!$B$10,Paramètres!$A$1:$I$89,3,0)*0.475*44/12</f>
        <v>51.520603914025678</v>
      </c>
      <c r="AW110" s="21">
        <f>EXP(-LN(2)/2)*AW109+(1-EXP(-LN(2)/2))/(LN(2)/2)*AQ110*AT110*VLOOKUP('Données projet'!$B$10,Paramètres!$A$1:$I$89,3,0)*0.475*44/12</f>
        <v>19.616129535828442</v>
      </c>
      <c r="AX110" s="21">
        <f t="shared" si="60"/>
        <v>248.23853732513939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8.7600000000000016</v>
      </c>
      <c r="BD110" s="12">
        <f>IF('Données projet'!$A$88&gt;35,BD109+BC110-BL109,IF(A110&lt;'Données projet'!$A$88,$BA$205^A110,IF(A110='Données projet'!$A$88,'Données projet'!$B$88,BD109+BC110-BL109)))</f>
        <v>338.63999999999982</v>
      </c>
      <c r="BE110" s="13">
        <f>BD110*VLOOKUP('Données projet'!$B$11,Paramètres!$A$1:$I$89,3,0)*VLOOKUP('Données projet'!$B$11,Paramètres!$A$1:$I$89,5,0)</f>
        <v>322.24982399999982</v>
      </c>
      <c r="BF110" s="13">
        <f t="shared" si="91"/>
        <v>75.821282251114198</v>
      </c>
      <c r="BG110" s="20">
        <f t="shared" si="61"/>
        <v>693.30717672069022</v>
      </c>
      <c r="BH110" s="59">
        <f t="shared" si="62"/>
        <v>972.54778361356387</v>
      </c>
      <c r="BI110" s="59">
        <f ca="1">AVERAGE(OFFSET($BH$3,0,0,'Données projet'!$E$11+1,1))-AVERAGE(OFFSET($H$3,0,0,'Données projet'!$E$11+1,1))</f>
        <v>486.36809102684492</v>
      </c>
      <c r="BJ110" s="59">
        <f t="shared" si="92"/>
        <v>308.42890859885006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24.69188475279817</v>
      </c>
      <c r="BQ110" s="21">
        <f>EXP(-LN(2)/25)*BQ109+(1-EXP(-LN(2)/25))/(LN(2)/25)*Calculateur!BL110*Calculateur!BN110*VLOOKUP('Données projet'!$B$11,Paramètres!$A$1:$I$89,3,0)*0.475*44/12</f>
        <v>22.853755295868474</v>
      </c>
      <c r="BR110" s="21">
        <f>EXP(-LN(2)/2)*BR109+(1-EXP(-LN(2)/2))/(LN(2)/2)*BL110*BO110*VLOOKUP('Données projet'!$B$11,Paramètres!$A$1:$I$89,3,0)*0.475*44/12</f>
        <v>3.9259516691235481</v>
      </c>
      <c r="BS110" s="22">
        <f t="shared" si="63"/>
        <v>51.47159171779019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6.8212102632969618E-13</v>
      </c>
      <c r="O111" s="13">
        <f>N111*VLOOKUP('Données projet'!$B$9,Paramètres!$A$1:$I$89,3,0)*VLOOKUP('Données projet'!$B$9,Paramètres!$A$1:$I$89,5,0)</f>
        <v>3.8130565371830017E-13</v>
      </c>
      <c r="P111" s="13">
        <f t="shared" si="87"/>
        <v>4.9019074112354236E-12</v>
      </c>
      <c r="Q111" s="20">
        <f t="shared" si="107"/>
        <v>9.2015960881277352E-12</v>
      </c>
      <c r="R111" s="59">
        <f t="shared" si="55"/>
        <v>279.48508419000854</v>
      </c>
      <c r="S111" s="59">
        <f ca="1">AVERAGE(OFFSET($R$3,0,0,'Données projet'!$E$9+1,1))-AVERAGE(OFFSET($H$3,0,0,'Données projet'!$E$9+1,1))</f>
        <v>418.8940806978344</v>
      </c>
      <c r="T111" s="59">
        <f t="shared" si="88"/>
        <v>553.49616487922378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84.677195613247051</v>
      </c>
      <c r="AA111" s="21">
        <f>EXP(-LN(2)/25)*AA110+(1-EXP(-LN(2)/25))/(LN(2)/25)*Calculateur!V111*Calculateur!X111*VLOOKUP('Données projet'!$B$9,Paramètres!$A$1:$I$89,3,0)*0.475*44/12</f>
        <v>19.018151842967136</v>
      </c>
      <c r="AB111" s="21">
        <f>EXP(-LN(2)/2)*AB110+(1-EXP(-LN(2)/2))/(LN(2)/2)*V111*Y111*VLOOKUP('Données projet'!$B$9,Paramètres!$A$1:$I$89,3,0)*0.475*44/12</f>
        <v>6.8177529379556535E-7</v>
      </c>
      <c r="AC111" s="22">
        <f t="shared" si="57"/>
        <v>103.69534813798948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-5.1159076974727213E-13</v>
      </c>
      <c r="AJ111" s="13">
        <f>AI111*VLOOKUP('Données projet'!$B$10,Paramètres!$A$1:$I$89,3,0)*VLOOKUP('Données projet'!$B$10,Paramètres!$A$1:$I$89,5,0)</f>
        <v>-2.3942448024172334E-13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391.61151255507264</v>
      </c>
      <c r="AO111" s="59">
        <f t="shared" si="90"/>
        <v>365.61278905364281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173.62894552272505</v>
      </c>
      <c r="AV111" s="21">
        <f>EXP(-LN(2)/25)*AV110+(1-EXP(-LN(2)/25))/(LN(2)/25)*Calculateur!AQ111*Calculateur!AS111*VLOOKUP('Données projet'!$B$10,Paramètres!$A$1:$I$89,3,0)*0.475*44/12</f>
        <v>50.111770290645836</v>
      </c>
      <c r="AW111" s="21">
        <f>EXP(-LN(2)/2)*AW110+(1-EXP(-LN(2)/2))/(LN(2)/2)*AQ111*AT111*VLOOKUP('Données projet'!$B$10,Paramètres!$A$1:$I$89,3,0)*0.475*44/12</f>
        <v>13.870698215418015</v>
      </c>
      <c r="AX111" s="21">
        <f t="shared" si="60"/>
        <v>237.61141402878889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8.7600000000000016</v>
      </c>
      <c r="BD111" s="12">
        <f>IF('Données projet'!$A$88&gt;35,BD110+BC111-BL110,IF(A111&lt;'Données projet'!$A$88,$BA$205^A111,IF(A111='Données projet'!$A$88,'Données projet'!$B$88,BD110+BC111-BL110)))</f>
        <v>347.39999999999981</v>
      </c>
      <c r="BE111" s="13">
        <f>BD111*VLOOKUP('Données projet'!$B$11,Paramètres!$A$1:$I$89,3,0)*VLOOKUP('Données projet'!$B$11,Paramètres!$A$1:$I$89,5,0)</f>
        <v>330.58583999999979</v>
      </c>
      <c r="BF111" s="13">
        <f t="shared" si="91"/>
        <v>77.55175420955635</v>
      </c>
      <c r="BG111" s="20">
        <f t="shared" si="61"/>
        <v>710.83964324831015</v>
      </c>
      <c r="BH111" s="59">
        <f t="shared" si="62"/>
        <v>990.32472743830954</v>
      </c>
      <c r="BI111" s="59">
        <f ca="1">AVERAGE(OFFSET($BH$3,0,0,'Données projet'!$E$11+1,1))-AVERAGE(OFFSET($H$3,0,0,'Données projet'!$E$11+1,1))</f>
        <v>486.36809102684492</v>
      </c>
      <c r="BJ111" s="59">
        <f t="shared" si="92"/>
        <v>308.42890859885006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24.207691953358392</v>
      </c>
      <c r="BQ111" s="21">
        <f>EXP(-LN(2)/25)*BQ110+(1-EXP(-LN(2)/25))/(LN(2)/25)*Calculateur!BL111*Calculateur!BN111*VLOOKUP('Données projet'!$B$11,Paramètres!$A$1:$I$89,3,0)*0.475*44/12</f>
        <v>22.228818155476194</v>
      </c>
      <c r="BR111" s="21">
        <f>EXP(-LN(2)/2)*BR110+(1-EXP(-LN(2)/2))/(LN(2)/2)*BL111*BO111*VLOOKUP('Données projet'!$B$11,Paramètres!$A$1:$I$89,3,0)*0.475*44/12</f>
        <v>2.7760670478479059</v>
      </c>
      <c r="BS111" s="22">
        <f t="shared" si="63"/>
        <v>49.212577156682485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6.8212102632969618E-13</v>
      </c>
      <c r="O112" s="13">
        <f>N112*VLOOKUP('Données projet'!$B$9,Paramètres!$A$1:$I$89,3,0)*VLOOKUP('Données projet'!$B$9,Paramètres!$A$1:$I$89,5,0)</f>
        <v>3.8130565371830017E-13</v>
      </c>
      <c r="P112" s="13">
        <f t="shared" si="87"/>
        <v>4.9019074112354236E-12</v>
      </c>
      <c r="Q112" s="20">
        <f t="shared" si="107"/>
        <v>9.2015960881277352E-12</v>
      </c>
      <c r="R112" s="59">
        <f t="shared" si="55"/>
        <v>279.72532035259849</v>
      </c>
      <c r="S112" s="59">
        <f ca="1">AVERAGE(OFFSET($R$3,0,0,'Données projet'!$E$9+1,1))-AVERAGE(OFFSET($H$3,0,0,'Données projet'!$E$9+1,1))</f>
        <v>418.8940806978344</v>
      </c>
      <c r="T112" s="59">
        <f t="shared" si="88"/>
        <v>553.49616487922378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83.016727455260778</v>
      </c>
      <c r="AA112" s="21">
        <f>EXP(-LN(2)/25)*AA111+(1-EXP(-LN(2)/25))/(LN(2)/25)*Calculateur!V112*Calculateur!X112*VLOOKUP('Données projet'!$B$9,Paramètres!$A$1:$I$89,3,0)*0.475*44/12</f>
        <v>18.498099480700059</v>
      </c>
      <c r="AB112" s="21">
        <f>EXP(-LN(2)/2)*AB111+(1-EXP(-LN(2)/2))/(LN(2)/2)*V112*Y112*VLOOKUP('Données projet'!$B$9,Paramètres!$A$1:$I$89,3,0)*0.475*44/12</f>
        <v>4.8208793348829498E-7</v>
      </c>
      <c r="AC112" s="22">
        <f t="shared" si="57"/>
        <v>101.51482741804877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-5.1159076974727213E-13</v>
      </c>
      <c r="AJ112" s="13">
        <f>AI112*VLOOKUP('Données projet'!$B$10,Paramètres!$A$1:$I$89,3,0)*VLOOKUP('Données projet'!$B$10,Paramètres!$A$1:$I$89,5,0)</f>
        <v>-2.3942448024172334E-13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391.61151255507264</v>
      </c>
      <c r="AO112" s="59">
        <f t="shared" si="90"/>
        <v>365.61278905364281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170.2241878042241</v>
      </c>
      <c r="AV112" s="21">
        <f>EXP(-LN(2)/25)*AV111+(1-EXP(-LN(2)/25))/(LN(2)/25)*Calculateur!AQ112*Calculateur!AS112*VLOOKUP('Données projet'!$B$10,Paramètres!$A$1:$I$89,3,0)*0.475*44/12</f>
        <v>48.741461296784657</v>
      </c>
      <c r="AW112" s="21">
        <f>EXP(-LN(2)/2)*AW111+(1-EXP(-LN(2)/2))/(LN(2)/2)*AQ112*AT112*VLOOKUP('Données projet'!$B$10,Paramètres!$A$1:$I$89,3,0)*0.475*44/12</f>
        <v>9.8080647679142228</v>
      </c>
      <c r="AX112" s="21">
        <f t="shared" si="60"/>
        <v>228.77371386892298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8.7600000000000016</v>
      </c>
      <c r="BD112" s="12">
        <f>IF('Données projet'!$A$88&gt;35,BD111+BC112-BL111,IF(A112&lt;'Données projet'!$A$88,$BA$205^A112,IF(A112='Données projet'!$A$88,'Données projet'!$B$88,BD111+BC112-BL111)))</f>
        <v>356.1599999999998</v>
      </c>
      <c r="BE112" s="13">
        <f>BD112*VLOOKUP('Données projet'!$B$11,Paramètres!$A$1:$I$89,3,0)*VLOOKUP('Données projet'!$B$11,Paramètres!$A$1:$I$89,5,0)</f>
        <v>338.92185599999982</v>
      </c>
      <c r="BF112" s="13">
        <f t="shared" si="91"/>
        <v>79.277153887289245</v>
      </c>
      <c r="BG112" s="20">
        <f t="shared" si="61"/>
        <v>728.36327555369519</v>
      </c>
      <c r="BH112" s="59">
        <f t="shared" si="62"/>
        <v>1008.0885959062845</v>
      </c>
      <c r="BI112" s="59">
        <f ca="1">AVERAGE(OFFSET($BH$3,0,0,'Données projet'!$E$11+1,1))-AVERAGE(OFFSET($H$3,0,0,'Données projet'!$E$11+1,1))</f>
        <v>486.36809102684492</v>
      </c>
      <c r="BJ112" s="59">
        <f t="shared" si="92"/>
        <v>308.42890859885006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23.73299387938718</v>
      </c>
      <c r="BQ112" s="21">
        <f>EXP(-LN(2)/25)*BQ111+(1-EXP(-LN(2)/25))/(LN(2)/25)*Calculateur!BL112*Calculateur!BN112*VLOOKUP('Données projet'!$B$11,Paramètres!$A$1:$I$89,3,0)*0.475*44/12</f>
        <v>21.620969954051954</v>
      </c>
      <c r="BR112" s="21">
        <f>EXP(-LN(2)/2)*BR111+(1-EXP(-LN(2)/2))/(LN(2)/2)*BL112*BO112*VLOOKUP('Données projet'!$B$11,Paramètres!$A$1:$I$89,3,0)*0.475*44/12</f>
        <v>1.9629758345617743</v>
      </c>
      <c r="BS112" s="22">
        <f t="shared" si="63"/>
        <v>47.316939668000913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6.8212102632969618E-13</v>
      </c>
      <c r="O113" s="13">
        <f>N113*VLOOKUP('Données projet'!$B$9,Paramètres!$A$1:$I$89,3,0)*VLOOKUP('Données projet'!$B$9,Paramètres!$A$1:$I$89,5,0)</f>
        <v>3.8130565371830017E-13</v>
      </c>
      <c r="P113" s="13">
        <f t="shared" si="87"/>
        <v>4.9019074112354236E-12</v>
      </c>
      <c r="Q113" s="20">
        <f t="shared" si="107"/>
        <v>9.2015960881277352E-12</v>
      </c>
      <c r="R113" s="59">
        <f t="shared" si="55"/>
        <v>279.96138895485507</v>
      </c>
      <c r="S113" s="59">
        <f ca="1">AVERAGE(OFFSET($R$3,0,0,'Données projet'!$E$9+1,1))-AVERAGE(OFFSET($H$3,0,0,'Données projet'!$E$9+1,1))</f>
        <v>418.8940806978344</v>
      </c>
      <c r="T113" s="59">
        <f t="shared" si="88"/>
        <v>553.49616487922378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81.388820065067051</v>
      </c>
      <c r="AA113" s="21">
        <f>EXP(-LN(2)/25)*AA112+(1-EXP(-LN(2)/25))/(LN(2)/25)*Calculateur!V113*Calculateur!X113*VLOOKUP('Données projet'!$B$9,Paramètres!$A$1:$I$89,3,0)*0.475*44/12</f>
        <v>17.992267977627542</v>
      </c>
      <c r="AB113" s="21">
        <f>EXP(-LN(2)/2)*AB112+(1-EXP(-LN(2)/2))/(LN(2)/2)*V113*Y113*VLOOKUP('Données projet'!$B$9,Paramètres!$A$1:$I$89,3,0)*0.475*44/12</f>
        <v>3.4088764689778268E-7</v>
      </c>
      <c r="AC113" s="22">
        <f t="shared" si="57"/>
        <v>99.381088383582238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-5.1159076974727213E-13</v>
      </c>
      <c r="AJ113" s="13">
        <f>AI113*VLOOKUP('Données projet'!$B$10,Paramètres!$A$1:$I$89,3,0)*VLOOKUP('Données projet'!$B$10,Paramètres!$A$1:$I$89,5,0)</f>
        <v>-2.3942448024172334E-13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391.61151255507264</v>
      </c>
      <c r="AO113" s="59">
        <f t="shared" si="90"/>
        <v>365.61278905364281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166.8861953078858</v>
      </c>
      <c r="AV113" s="21">
        <f>EXP(-LN(2)/25)*AV112+(1-EXP(-LN(2)/25))/(LN(2)/25)*Calculateur!AQ113*Calculateur!AS113*VLOOKUP('Données projet'!$B$10,Paramètres!$A$1:$I$89,3,0)*0.475*44/12</f>
        <v>47.408623474422029</v>
      </c>
      <c r="AW113" s="21">
        <f>EXP(-LN(2)/2)*AW112+(1-EXP(-LN(2)/2))/(LN(2)/2)*AQ113*AT113*VLOOKUP('Données projet'!$B$10,Paramètres!$A$1:$I$89,3,0)*0.475*44/12</f>
        <v>6.9353491077090093</v>
      </c>
      <c r="AX113" s="21">
        <f t="shared" si="60"/>
        <v>221.23016789001684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8.7600000000000016</v>
      </c>
      <c r="BD113" s="12">
        <f>IF('Données projet'!$A$88&gt;35,BD112+BC113-BL112,IF(A113&lt;'Données projet'!$A$88,$BA$205^A113,IF(A113='Données projet'!$A$88,'Données projet'!$B$88,BD112+BC113-BL112)))</f>
        <v>364.91999999999979</v>
      </c>
      <c r="BE113" s="13">
        <f>BD113*VLOOKUP('Données projet'!$B$11,Paramètres!$A$1:$I$89,3,0)*VLOOKUP('Données projet'!$B$11,Paramètres!$A$1:$I$89,5,0)</f>
        <v>347.25787199999979</v>
      </c>
      <c r="BF113" s="13">
        <f t="shared" si="91"/>
        <v>80.997620391354872</v>
      </c>
      <c r="BG113" s="20">
        <f t="shared" si="61"/>
        <v>745.87831591494262</v>
      </c>
      <c r="BH113" s="59">
        <f t="shared" si="62"/>
        <v>1025.8397048697884</v>
      </c>
      <c r="BI113" s="59">
        <f ca="1">AVERAGE(OFFSET($BH$3,0,0,'Données projet'!$E$11+1,1))-AVERAGE(OFFSET($H$3,0,0,'Données projet'!$E$11+1,1))</f>
        <v>486.36809102684492</v>
      </c>
      <c r="BJ113" s="59">
        <f t="shared" si="92"/>
        <v>308.42890859885006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23.267604345109309</v>
      </c>
      <c r="BQ113" s="21">
        <f>EXP(-LN(2)/25)*BQ112+(1-EXP(-LN(2)/25))/(LN(2)/25)*Calculateur!BL113*Calculateur!BN113*VLOOKUP('Données projet'!$B$11,Paramètres!$A$1:$I$89,3,0)*0.475*44/12</f>
        <v>21.029743393661008</v>
      </c>
      <c r="BR113" s="21">
        <f>EXP(-LN(2)/2)*BR112+(1-EXP(-LN(2)/2))/(LN(2)/2)*BL113*BO113*VLOOKUP('Données projet'!$B$11,Paramètres!$A$1:$I$89,3,0)*0.475*44/12</f>
        <v>1.3880335239239532</v>
      </c>
      <c r="BS113" s="22">
        <f t="shared" si="63"/>
        <v>45.685381262694264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6.8212102632969618E-13</v>
      </c>
      <c r="O114" s="13">
        <f>N114*VLOOKUP('Données projet'!$B$9,Paramètres!$A$1:$I$89,3,0)*VLOOKUP('Données projet'!$B$9,Paramètres!$A$1:$I$89,5,0)</f>
        <v>3.8130565371830017E-13</v>
      </c>
      <c r="P114" s="13">
        <f t="shared" si="87"/>
        <v>4.9019074112354236E-12</v>
      </c>
      <c r="Q114" s="20">
        <f t="shared" si="107"/>
        <v>9.2015960881277352E-12</v>
      </c>
      <c r="R114" s="59">
        <f t="shared" si="55"/>
        <v>280.19336229463278</v>
      </c>
      <c r="S114" s="59">
        <f ca="1">AVERAGE(OFFSET($R$3,0,0,'Données projet'!$E$9+1,1))-AVERAGE(OFFSET($H$3,0,0,'Données projet'!$E$9+1,1))</f>
        <v>418.8940806978344</v>
      </c>
      <c r="T114" s="59">
        <f t="shared" si="88"/>
        <v>553.49616487922378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79.792834945869558</v>
      </c>
      <c r="AA114" s="21">
        <f>EXP(-LN(2)/25)*AA113+(1-EXP(-LN(2)/25))/(LN(2)/25)*Calculateur!V114*Calculateur!X114*VLOOKUP('Données projet'!$B$9,Paramètres!$A$1:$I$89,3,0)*0.475*44/12</f>
        <v>17.500268463607064</v>
      </c>
      <c r="AB114" s="21">
        <f>EXP(-LN(2)/2)*AB113+(1-EXP(-LN(2)/2))/(LN(2)/2)*V114*Y114*VLOOKUP('Données projet'!$B$9,Paramètres!$A$1:$I$89,3,0)*0.475*44/12</f>
        <v>2.4104396674414749E-7</v>
      </c>
      <c r="AC114" s="22">
        <f t="shared" si="57"/>
        <v>97.293103650520592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-5.1159076974727213E-13</v>
      </c>
      <c r="AJ114" s="13">
        <f>AI114*VLOOKUP('Données projet'!$B$10,Paramètres!$A$1:$I$89,3,0)*VLOOKUP('Données projet'!$B$10,Paramètres!$A$1:$I$89,5,0)</f>
        <v>-2.3942448024172334E-13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391.61151255507264</v>
      </c>
      <c r="AO114" s="59">
        <f t="shared" si="90"/>
        <v>365.61278905364281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163.61365880842632</v>
      </c>
      <c r="AV114" s="21">
        <f>EXP(-LN(2)/25)*AV113+(1-EXP(-LN(2)/25))/(LN(2)/25)*Calculateur!AQ114*Calculateur!AS114*VLOOKUP('Données projet'!$B$10,Paramètres!$A$1:$I$89,3,0)*0.475*44/12</f>
        <v>46.112232172402805</v>
      </c>
      <c r="AW114" s="21">
        <f>EXP(-LN(2)/2)*AW113+(1-EXP(-LN(2)/2))/(LN(2)/2)*AQ114*AT114*VLOOKUP('Données projet'!$B$10,Paramètres!$A$1:$I$89,3,0)*0.475*44/12</f>
        <v>4.9040323839571123</v>
      </c>
      <c r="AX114" s="21">
        <f t="shared" si="60"/>
        <v>214.62992336478624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8.7600000000000016</v>
      </c>
      <c r="BD114" s="12">
        <f>IF('Données projet'!$A$88&gt;35,BD113+BC114-BL113,IF(A114&lt;'Données projet'!$A$88,$BA$205^A114,IF(A114='Données projet'!$A$88,'Données projet'!$B$88,BD113+BC114-BL113)))</f>
        <v>373.67999999999978</v>
      </c>
      <c r="BE114" s="13">
        <f>BD114*VLOOKUP('Données projet'!$B$11,Paramètres!$A$1:$I$89,3,0)*VLOOKUP('Données projet'!$B$11,Paramètres!$A$1:$I$89,5,0)</f>
        <v>355.59388799999982</v>
      </c>
      <c r="BF114" s="13">
        <f t="shared" si="91"/>
        <v>82.713285769321445</v>
      </c>
      <c r="BG114" s="20">
        <f t="shared" si="61"/>
        <v>763.38499431490118</v>
      </c>
      <c r="BH114" s="59">
        <f t="shared" si="62"/>
        <v>1043.5783566095247</v>
      </c>
      <c r="BI114" s="59">
        <f ca="1">AVERAGE(OFFSET($BH$3,0,0,'Données projet'!$E$11+1,1))-AVERAGE(OFFSET($H$3,0,0,'Données projet'!$E$11+1,1))</f>
        <v>486.36809102684492</v>
      </c>
      <c r="BJ114" s="59">
        <f t="shared" si="92"/>
        <v>308.42890859885006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22.811340815739037</v>
      </c>
      <c r="BQ114" s="21">
        <f>EXP(-LN(2)/25)*BQ113+(1-EXP(-LN(2)/25))/(LN(2)/25)*Calculateur!BL114*Calculateur!BN114*VLOOKUP('Données projet'!$B$11,Paramètres!$A$1:$I$89,3,0)*0.475*44/12</f>
        <v>20.454683954655206</v>
      </c>
      <c r="BR114" s="21">
        <f>EXP(-LN(2)/2)*BR113+(1-EXP(-LN(2)/2))/(LN(2)/2)*BL114*BO114*VLOOKUP('Données projet'!$B$11,Paramètres!$A$1:$I$89,3,0)*0.475*44/12</f>
        <v>0.98148791728088736</v>
      </c>
      <c r="BS114" s="22">
        <f t="shared" si="63"/>
        <v>44.247512687675126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6.8212102632969618E-13</v>
      </c>
      <c r="O115" s="13">
        <f>N115*VLOOKUP('Données projet'!$B$9,Paramètres!$A$1:$I$89,3,0)*VLOOKUP('Données projet'!$B$9,Paramètres!$A$1:$I$89,5,0)</f>
        <v>3.8130565371830017E-13</v>
      </c>
      <c r="P115" s="13">
        <f t="shared" si="87"/>
        <v>4.9019074112354236E-12</v>
      </c>
      <c r="Q115" s="20">
        <f t="shared" si="107"/>
        <v>9.2015960881277352E-12</v>
      </c>
      <c r="R115" s="59">
        <f t="shared" si="55"/>
        <v>280.42131141558008</v>
      </c>
      <c r="S115" s="59">
        <f ca="1">AVERAGE(OFFSET($R$3,0,0,'Données projet'!$E$9+1,1))-AVERAGE(OFFSET($H$3,0,0,'Données projet'!$E$9+1,1))</f>
        <v>418.8940806978344</v>
      </c>
      <c r="T115" s="59">
        <f t="shared" si="88"/>
        <v>553.49616487922378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78.22814612140472</v>
      </c>
      <c r="AA115" s="21">
        <f>EXP(-LN(2)/25)*AA114+(1-EXP(-LN(2)/25))/(LN(2)/25)*Calculateur!V115*Calculateur!X115*VLOOKUP('Données projet'!$B$9,Paramètres!$A$1:$I$89,3,0)*0.475*44/12</f>
        <v>17.021722702170607</v>
      </c>
      <c r="AB115" s="21">
        <f>EXP(-LN(2)/2)*AB114+(1-EXP(-LN(2)/2))/(LN(2)/2)*V115*Y115*VLOOKUP('Données projet'!$B$9,Paramètres!$A$1:$I$89,3,0)*0.475*44/12</f>
        <v>1.7044382344889134E-7</v>
      </c>
      <c r="AC115" s="22">
        <f t="shared" si="57"/>
        <v>95.249868994019153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-5.1159076974727213E-13</v>
      </c>
      <c r="AJ115" s="13">
        <f>AI115*VLOOKUP('Données projet'!$B$10,Paramètres!$A$1:$I$89,3,0)*VLOOKUP('Données projet'!$B$10,Paramètres!$A$1:$I$89,5,0)</f>
        <v>-2.3942448024172334E-13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391.61151255507264</v>
      </c>
      <c r="AO115" s="59">
        <f t="shared" si="90"/>
        <v>365.61278905364281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160.40529475367106</v>
      </c>
      <c r="AV115" s="21">
        <f>EXP(-LN(2)/25)*AV114+(1-EXP(-LN(2)/25))/(LN(2)/25)*Calculateur!AQ115*Calculateur!AS115*VLOOKUP('Données projet'!$B$10,Paramètres!$A$1:$I$89,3,0)*0.475*44/12</f>
        <v>44.851290758711549</v>
      </c>
      <c r="AW115" s="21">
        <f>EXP(-LN(2)/2)*AW114+(1-EXP(-LN(2)/2))/(LN(2)/2)*AQ115*AT115*VLOOKUP('Données projet'!$B$10,Paramètres!$A$1:$I$89,3,0)*0.475*44/12</f>
        <v>3.4676745538545051</v>
      </c>
      <c r="AX115" s="21">
        <f t="shared" si="60"/>
        <v>208.72426006623709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8.7600000000000016</v>
      </c>
      <c r="BD115" s="12">
        <f>IF('Données projet'!$A$88&gt;35,BD114+BC115-BL114,IF(A115&lt;'Données projet'!$A$88,$BA$205^A115,IF(A115='Données projet'!$A$88,'Données projet'!$B$88,BD114+BC115-BL114)))</f>
        <v>382.43999999999977</v>
      </c>
      <c r="BE115" s="13">
        <f>BD115*VLOOKUP('Données projet'!$B$11,Paramètres!$A$1:$I$89,3,0)*VLOOKUP('Données projet'!$B$11,Paramètres!$A$1:$I$89,5,0)</f>
        <v>363.92990399999979</v>
      </c>
      <c r="BF115" s="13">
        <f t="shared" si="91"/>
        <v>84.424275524508971</v>
      </c>
      <c r="BG115" s="20">
        <f t="shared" si="61"/>
        <v>780.88352933851945</v>
      </c>
      <c r="BH115" s="59">
        <f t="shared" si="62"/>
        <v>1061.3048407540903</v>
      </c>
      <c r="BI115" s="59">
        <f ca="1">AVERAGE(OFFSET($BH$3,0,0,'Données projet'!$E$11+1,1))-AVERAGE(OFFSET($H$3,0,0,'Données projet'!$E$11+1,1))</f>
        <v>486.36809102684492</v>
      </c>
      <c r="BJ115" s="59">
        <f t="shared" si="92"/>
        <v>308.42890859885006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22.364024335886445</v>
      </c>
      <c r="BQ115" s="21">
        <f>EXP(-LN(2)/25)*BQ114+(1-EXP(-LN(2)/25))/(LN(2)/25)*Calculateur!BL115*Calculateur!BN115*VLOOKUP('Données projet'!$B$11,Paramètres!$A$1:$I$89,3,0)*0.475*44/12</f>
        <v>19.895349546250081</v>
      </c>
      <c r="BR115" s="21">
        <f>EXP(-LN(2)/2)*BR114+(1-EXP(-LN(2)/2))/(LN(2)/2)*BL115*BO115*VLOOKUP('Données projet'!$B$11,Paramètres!$A$1:$I$89,3,0)*0.475*44/12</f>
        <v>0.6940167619619767</v>
      </c>
      <c r="BS115" s="22">
        <f t="shared" si="63"/>
        <v>42.953390644098505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6.8212102632969618E-13</v>
      </c>
      <c r="O116" s="13">
        <f>N116*VLOOKUP('Données projet'!$B$9,Paramètres!$A$1:$I$89,3,0)*VLOOKUP('Données projet'!$B$9,Paramètres!$A$1:$I$89,5,0)</f>
        <v>3.8130565371830017E-13</v>
      </c>
      <c r="P116" s="13">
        <f t="shared" si="87"/>
        <v>4.9019074112354236E-12</v>
      </c>
      <c r="Q116" s="20">
        <f t="shared" si="107"/>
        <v>9.2015960881277352E-12</v>
      </c>
      <c r="R116" s="59">
        <f t="shared" si="55"/>
        <v>280.64530612889683</v>
      </c>
      <c r="S116" s="59">
        <f ca="1">AVERAGE(OFFSET($R$3,0,0,'Données projet'!$E$9+1,1))-AVERAGE(OFFSET($H$3,0,0,'Données projet'!$E$9+1,1))</f>
        <v>418.8940806978344</v>
      </c>
      <c r="T116" s="59">
        <f t="shared" si="88"/>
        <v>553.49616487922378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76.694139890421695</v>
      </c>
      <c r="AA116" s="21">
        <f>EXP(-LN(2)/25)*AA115+(1-EXP(-LN(2)/25))/(LN(2)/25)*Calculateur!V116*Calculateur!X116*VLOOKUP('Données projet'!$B$9,Paramètres!$A$1:$I$89,3,0)*0.475*44/12</f>
        <v>16.556262799746257</v>
      </c>
      <c r="AB116" s="21">
        <f>EXP(-LN(2)/2)*AB115+(1-EXP(-LN(2)/2))/(LN(2)/2)*V116*Y116*VLOOKUP('Données projet'!$B$9,Paramètres!$A$1:$I$89,3,0)*0.475*44/12</f>
        <v>1.2052198337207374E-7</v>
      </c>
      <c r="AC116" s="22">
        <f t="shared" si="57"/>
        <v>93.250402810689948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-5.1159076974727213E-13</v>
      </c>
      <c r="AJ116" s="13">
        <f>AI116*VLOOKUP('Données projet'!$B$10,Paramètres!$A$1:$I$89,3,0)*VLOOKUP('Données projet'!$B$10,Paramètres!$A$1:$I$89,5,0)</f>
        <v>-2.3942448024172334E-13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391.61151255507264</v>
      </c>
      <c r="AO116" s="59">
        <f t="shared" si="90"/>
        <v>365.61278905364281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157.25984476112072</v>
      </c>
      <c r="AV116" s="21">
        <f>EXP(-LN(2)/25)*AV115+(1-EXP(-LN(2)/25))/(LN(2)/25)*Calculateur!AQ116*Calculateur!AS116*VLOOKUP('Données projet'!$B$10,Paramètres!$A$1:$I$89,3,0)*0.475*44/12</f>
        <v>43.624829854287711</v>
      </c>
      <c r="AW116" s="21">
        <f>EXP(-LN(2)/2)*AW115+(1-EXP(-LN(2)/2))/(LN(2)/2)*AQ116*AT116*VLOOKUP('Données projet'!$B$10,Paramètres!$A$1:$I$89,3,0)*0.475*44/12</f>
        <v>2.4520161919785566</v>
      </c>
      <c r="AX116" s="21">
        <f t="shared" si="60"/>
        <v>203.33669080738696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391.2</v>
      </c>
      <c r="BB116" s="12">
        <f>VLOOKUP(A116,'Données projet'!$A$87:$I$107,9,0)</f>
        <v>8.7600000000000016</v>
      </c>
      <c r="BC116" s="12">
        <f t="array" ref="BC116">INDEX(BB:BB,MIN(IF(ISNUMBER(BB116:BB312),ROW(BB116:BB312),"")))</f>
        <v>8.7600000000000016</v>
      </c>
      <c r="BD116" s="12">
        <f>IF('Données projet'!$A$88&gt;35,BD115+BC116-BL115,IF(A116&lt;'Données projet'!$A$88,$BA$205^A116,IF(A116='Données projet'!$A$88,'Données projet'!$B$88,BD115+BC116-BL115)))</f>
        <v>391.19999999999976</v>
      </c>
      <c r="BE116" s="13">
        <f>BD116*VLOOKUP('Données projet'!$B$11,Paramètres!$A$1:$I$89,3,0)*VLOOKUP('Données projet'!$B$11,Paramètres!$A$1:$I$89,5,0)</f>
        <v>372.26591999999982</v>
      </c>
      <c r="BF116" s="13">
        <f t="shared" si="91"/>
        <v>86.130709082678464</v>
      </c>
      <c r="BG116" s="20">
        <f t="shared" si="61"/>
        <v>798.3741289856647</v>
      </c>
      <c r="BH116" s="59">
        <f t="shared" si="62"/>
        <v>1079.0194351145524</v>
      </c>
      <c r="BI116" s="59">
        <f ca="1">AVERAGE(OFFSET($BH$3,0,0,'Données projet'!$E$11+1,1))-AVERAGE(OFFSET($H$3,0,0,'Données projet'!$E$11+1,1))</f>
        <v>486.36809102684492</v>
      </c>
      <c r="BJ116" s="59">
        <f t="shared" si="92"/>
        <v>308.42890859885006</v>
      </c>
      <c r="BK116" s="15">
        <f>IF(ISNA(VLOOKUP(A116,'Données projet'!$A$87:$I$107,3,0)),0,VLOOKUP(A116,'Données projet'!$A$87:$I$107,3,0))</f>
        <v>10</v>
      </c>
      <c r="BL116" s="15">
        <f>IF(ISNA(VLOOKUP(A116,'Données projet'!$A$87:$I$107,4,0)),0,VLOOKUP(A116,'Données projet'!$A$87:$I$107,4,0))</f>
        <v>68.7</v>
      </c>
      <c r="BM116" s="16">
        <f>IF(ISNA(VLOOKUP(A116,'Données projet'!$A$87:$I$107,5,0)),0%,VLOOKUP(A116,'Données projet'!$A$87:$I$107,5,0)*VLOOKUP('Données projet'!$B$11,Paramètres!$A$1:$I$89,7,0))</f>
        <v>0.1075</v>
      </c>
      <c r="BN116" s="16">
        <f>IF(ISNA(VLOOKUP(A116,'Données projet'!$A$87:$I$107,6,0)),0%,VLOOKUP(A116,'Données projet'!$A$87:$I$107,6,0)*VLOOKUP('Données projet'!$B$11,Paramètres!$A$1:$I$89,7,0))</f>
        <v>0.1075</v>
      </c>
      <c r="BO116" s="16">
        <f>IF(ISNA(VLOOKUP(A116,'Données projet'!$A$87:$I$107,7,0)),0%,VLOOKUP(A116,'Données projet'!$A$87:$I$107,7,0))</f>
        <v>0.25</v>
      </c>
      <c r="BP116" s="21">
        <f>EXP(-LN(2)/35)*BP115+(1-EXP(-LN(2)/35))/(LN(2)/35)*BL116*BM116*VLOOKUP('Données projet'!$B$11,Paramètres!$A$1:$I$89,3,0)*0.475*44/12</f>
        <v>29.694508503983794</v>
      </c>
      <c r="BQ116" s="21">
        <f>EXP(-LN(2)/25)*BQ115+(1-EXP(-LN(2)/25))/(LN(2)/25)*Calculateur!BL116*Calculateur!BN116*VLOOKUP('Données projet'!$B$11,Paramètres!$A$1:$I$89,3,0)*0.475*44/12</f>
        <v>27.08974958369226</v>
      </c>
      <c r="BR116" s="21">
        <f>EXP(-LN(2)/2)*BR115+(1-EXP(-LN(2)/2))/(LN(2)/2)*BL116*BO116*VLOOKUP('Données projet'!$B$11,Paramètres!$A$1:$I$89,3,0)*0.475*44/12</f>
        <v>15.911493098683968</v>
      </c>
      <c r="BS116" s="22">
        <f t="shared" si="63"/>
        <v>72.695751186360013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6.8212102632969618E-13</v>
      </c>
      <c r="O117" s="13">
        <f>N117*VLOOKUP('Données projet'!$B$9,Paramètres!$A$1:$I$89,3,0)*VLOOKUP('Données projet'!$B$9,Paramètres!$A$1:$I$89,5,0)</f>
        <v>3.8130565371830017E-13</v>
      </c>
      <c r="P117" s="13">
        <f t="shared" si="87"/>
        <v>4.9019074112354236E-12</v>
      </c>
      <c r="Q117" s="20">
        <f t="shared" si="107"/>
        <v>9.2015960881277352E-12</v>
      </c>
      <c r="R117" s="59">
        <f t="shared" si="55"/>
        <v>280.86541503471466</v>
      </c>
      <c r="S117" s="59">
        <f ca="1">AVERAGE(OFFSET($R$3,0,0,'Données projet'!$E$9+1,1))-AVERAGE(OFFSET($H$3,0,0,'Données projet'!$E$9+1,1))</f>
        <v>418.8940806978344</v>
      </c>
      <c r="T117" s="59">
        <f t="shared" si="88"/>
        <v>553.49616487922378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75.190214585976832</v>
      </c>
      <c r="AA117" s="21">
        <f>EXP(-LN(2)/25)*AA116+(1-EXP(-LN(2)/25))/(LN(2)/25)*Calculateur!V117*Calculateur!X117*VLOOKUP('Données projet'!$B$9,Paramètres!$A$1:$I$89,3,0)*0.475*44/12</f>
        <v>16.103530922831176</v>
      </c>
      <c r="AB117" s="21">
        <f>EXP(-LN(2)/2)*AB116+(1-EXP(-LN(2)/2))/(LN(2)/2)*V117*Y117*VLOOKUP('Données projet'!$B$9,Paramètres!$A$1:$I$89,3,0)*0.475*44/12</f>
        <v>8.5221911724445669E-8</v>
      </c>
      <c r="AC117" s="22">
        <f t="shared" si="57"/>
        <v>91.293745594029915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-5.1159076974727213E-13</v>
      </c>
      <c r="AJ117" s="13">
        <f>AI117*VLOOKUP('Données projet'!$B$10,Paramètres!$A$1:$I$89,3,0)*VLOOKUP('Données projet'!$B$10,Paramètres!$A$1:$I$89,5,0)</f>
        <v>-2.3942448024172334E-13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391.61151255507264</v>
      </c>
      <c r="AO117" s="59">
        <f t="shared" si="90"/>
        <v>365.61278905364281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154.17607512438923</v>
      </c>
      <c r="AV117" s="21">
        <f>EXP(-LN(2)/25)*AV116+(1-EXP(-LN(2)/25))/(LN(2)/25)*Calculateur!AQ117*Calculateur!AS117*VLOOKUP('Données projet'!$B$10,Paramètres!$A$1:$I$89,3,0)*0.475*44/12</f>
        <v>42.43190658779212</v>
      </c>
      <c r="AW117" s="21">
        <f>EXP(-LN(2)/2)*AW116+(1-EXP(-LN(2)/2))/(LN(2)/2)*AQ117*AT117*VLOOKUP('Données projet'!$B$10,Paramètres!$A$1:$I$89,3,0)*0.475*44/12</f>
        <v>1.7338372769272528</v>
      </c>
      <c r="AX117" s="21">
        <f t="shared" si="60"/>
        <v>198.34181898910862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8.6999999999999993</v>
      </c>
      <c r="BD117" s="12">
        <f>IF('Données projet'!$A$88&gt;35,BD116+BC117-BL116,IF(A117&lt;'Données projet'!$A$88,$BA$205^A117,IF(A117='Données projet'!$A$88,'Données projet'!$B$88,BD116+BC117-BL116)))</f>
        <v>331.19999999999976</v>
      </c>
      <c r="BE117" s="13">
        <f>BD117*VLOOKUP('Données projet'!$B$11,Paramètres!$A$1:$I$89,3,0)*VLOOKUP('Données projet'!$B$11,Paramètres!$A$1:$I$89,5,0)</f>
        <v>315.16991999999976</v>
      </c>
      <c r="BF117" s="13">
        <f t="shared" si="91"/>
        <v>74.347473729230742</v>
      </c>
      <c r="BG117" s="20">
        <f t="shared" si="61"/>
        <v>678.40946074507644</v>
      </c>
      <c r="BH117" s="59">
        <f t="shared" si="62"/>
        <v>959.27487577978195</v>
      </c>
      <c r="BI117" s="59">
        <f ca="1">AVERAGE(OFFSET($BH$3,0,0,'Données projet'!$E$11+1,1))-AVERAGE(OFFSET($H$3,0,0,'Données projet'!$E$11+1,1))</f>
        <v>486.36809102684492</v>
      </c>
      <c r="BJ117" s="59">
        <f t="shared" si="92"/>
        <v>308.42890859885006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29.11221730408246</v>
      </c>
      <c r="BQ117" s="21">
        <f>EXP(-LN(2)/25)*BQ116+(1-EXP(-LN(2)/25))/(LN(2)/25)*Calculateur!BL117*Calculateur!BN117*VLOOKUP('Données projet'!$B$11,Paramètres!$A$1:$I$89,3,0)*0.475*44/12</f>
        <v>26.348978956738179</v>
      </c>
      <c r="BR117" s="21">
        <f>EXP(-LN(2)/2)*BR116+(1-EXP(-LN(2)/2))/(LN(2)/2)*BL117*BO117*VLOOKUP('Données projet'!$B$11,Paramètres!$A$1:$I$89,3,0)*0.475*44/12</f>
        <v>11.251124668882387</v>
      </c>
      <c r="BS117" s="22">
        <f t="shared" si="63"/>
        <v>66.712320929703026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6.8212102632969618E-13</v>
      </c>
      <c r="O118" s="13">
        <f>N118*VLOOKUP('Données projet'!$B$9,Paramètres!$A$1:$I$89,3,0)*VLOOKUP('Données projet'!$B$9,Paramètres!$A$1:$I$89,5,0)</f>
        <v>3.8130565371830017E-13</v>
      </c>
      <c r="P118" s="13">
        <f t="shared" si="87"/>
        <v>4.9019074112354236E-12</v>
      </c>
      <c r="Q118" s="20">
        <f t="shared" si="107"/>
        <v>9.2015960881277352E-12</v>
      </c>
      <c r="R118" s="59">
        <f t="shared" si="55"/>
        <v>281.08170554310647</v>
      </c>
      <c r="S118" s="59">
        <f ca="1">AVERAGE(OFFSET($R$3,0,0,'Données projet'!$E$9+1,1))-AVERAGE(OFFSET($H$3,0,0,'Données projet'!$E$9+1,1))</f>
        <v>418.8940806978344</v>
      </c>
      <c r="T118" s="59">
        <f t="shared" si="88"/>
        <v>553.49616487922378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73.715780339448273</v>
      </c>
      <c r="AA118" s="21">
        <f>EXP(-LN(2)/25)*AA117+(1-EXP(-LN(2)/25))/(LN(2)/25)*Calculateur!V118*Calculateur!X118*VLOOKUP('Données projet'!$B$9,Paramètres!$A$1:$I$89,3,0)*0.475*44/12</f>
        <v>15.663179022898472</v>
      </c>
      <c r="AB118" s="21">
        <f>EXP(-LN(2)/2)*AB117+(1-EXP(-LN(2)/2))/(LN(2)/2)*V118*Y118*VLOOKUP('Données projet'!$B$9,Paramètres!$A$1:$I$89,3,0)*0.475*44/12</f>
        <v>6.0260991686036872E-8</v>
      </c>
      <c r="AC118" s="22">
        <f t="shared" si="57"/>
        <v>89.378959422607736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-5.1159076974727213E-13</v>
      </c>
      <c r="AJ118" s="13">
        <f>AI118*VLOOKUP('Données projet'!$B$10,Paramètres!$A$1:$I$89,3,0)*VLOOKUP('Données projet'!$B$10,Paramètres!$A$1:$I$89,5,0)</f>
        <v>-2.3942448024172334E-13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391.61151255507264</v>
      </c>
      <c r="AO118" s="59">
        <f t="shared" si="90"/>
        <v>365.61278905364281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151.15277632932029</v>
      </c>
      <c r="AV118" s="21">
        <f>EXP(-LN(2)/25)*AV117+(1-EXP(-LN(2)/25))/(LN(2)/25)*Calculateur!AQ118*Calculateur!AS118*VLOOKUP('Données projet'!$B$10,Paramètres!$A$1:$I$89,3,0)*0.475*44/12</f>
        <v>41.27160387075196</v>
      </c>
      <c r="AW118" s="21">
        <f>EXP(-LN(2)/2)*AW117+(1-EXP(-LN(2)/2))/(LN(2)/2)*AQ118*AT118*VLOOKUP('Données projet'!$B$10,Paramètres!$A$1:$I$89,3,0)*0.475*44/12</f>
        <v>1.2260080959892785</v>
      </c>
      <c r="AX118" s="21">
        <f t="shared" si="60"/>
        <v>193.65038829606152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8.6999999999999993</v>
      </c>
      <c r="BD118" s="12">
        <f>IF('Données projet'!$A$88&gt;35,BD117+BC118-BL117,IF(A118&lt;'Données projet'!$A$88,$BA$205^A118,IF(A118='Données projet'!$A$88,'Données projet'!$B$88,BD117+BC118-BL117)))</f>
        <v>339.89999999999975</v>
      </c>
      <c r="BE118" s="13">
        <f>BD118*VLOOKUP('Données projet'!$B$11,Paramètres!$A$1:$I$89,3,0)*VLOOKUP('Données projet'!$B$11,Paramètres!$A$1:$I$89,5,0)</f>
        <v>323.44883999999979</v>
      </c>
      <c r="BF118" s="13">
        <f t="shared" si="91"/>
        <v>76.070503573185633</v>
      </c>
      <c r="BG118" s="20">
        <f t="shared" si="61"/>
        <v>695.82952338996472</v>
      </c>
      <c r="BH118" s="59">
        <f t="shared" si="62"/>
        <v>976.91122893306192</v>
      </c>
      <c r="BI118" s="59">
        <f ca="1">AVERAGE(OFFSET($BH$3,0,0,'Données projet'!$E$11+1,1))-AVERAGE(OFFSET($H$3,0,0,'Données projet'!$E$11+1,1))</f>
        <v>486.36809102684492</v>
      </c>
      <c r="BJ118" s="59">
        <f t="shared" si="92"/>
        <v>308.42890859885006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28.541344479448629</v>
      </c>
      <c r="BQ118" s="21">
        <f>EXP(-LN(2)/25)*BQ117+(1-EXP(-LN(2)/25))/(LN(2)/25)*Calculateur!BL118*Calculateur!BN118*VLOOKUP('Données projet'!$B$11,Paramètres!$A$1:$I$89,3,0)*0.475*44/12</f>
        <v>25.628464741533591</v>
      </c>
      <c r="BR118" s="21">
        <f>EXP(-LN(2)/2)*BR117+(1-EXP(-LN(2)/2))/(LN(2)/2)*BL118*BO118*VLOOKUP('Données projet'!$B$11,Paramètres!$A$1:$I$89,3,0)*0.475*44/12</f>
        <v>7.9557465493419857</v>
      </c>
      <c r="BS118" s="22">
        <f t="shared" si="63"/>
        <v>62.125555770324205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6.8212102632969618E-13</v>
      </c>
      <c r="O119" s="13">
        <f>N119*VLOOKUP('Données projet'!$B$9,Paramètres!$A$1:$I$89,3,0)*VLOOKUP('Données projet'!$B$9,Paramètres!$A$1:$I$89,5,0)</f>
        <v>3.8130565371830017E-13</v>
      </c>
      <c r="P119" s="13">
        <f t="shared" si="87"/>
        <v>4.9019074112354236E-12</v>
      </c>
      <c r="Q119" s="20">
        <f t="shared" si="107"/>
        <v>9.2015960881277352E-12</v>
      </c>
      <c r="R119" s="59">
        <f t="shared" si="55"/>
        <v>281.2942438947307</v>
      </c>
      <c r="S119" s="59">
        <f ca="1">AVERAGE(OFFSET($R$3,0,0,'Données projet'!$E$9+1,1))-AVERAGE(OFFSET($H$3,0,0,'Données projet'!$E$9+1,1))</f>
        <v>418.8940806978344</v>
      </c>
      <c r="T119" s="59">
        <f t="shared" si="88"/>
        <v>553.49616487922378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72.270258849178049</v>
      </c>
      <c r="AA119" s="21">
        <f>EXP(-LN(2)/25)*AA118+(1-EXP(-LN(2)/25))/(LN(2)/25)*Calculateur!V119*Calculateur!X119*VLOOKUP('Données projet'!$B$9,Paramètres!$A$1:$I$89,3,0)*0.475*44/12</f>
        <v>15.234868568826528</v>
      </c>
      <c r="AB119" s="21">
        <f>EXP(-LN(2)/2)*AB118+(1-EXP(-LN(2)/2))/(LN(2)/2)*V119*Y119*VLOOKUP('Données projet'!$B$9,Paramètres!$A$1:$I$89,3,0)*0.475*44/12</f>
        <v>4.2610955862222835E-8</v>
      </c>
      <c r="AC119" s="22">
        <f t="shared" si="57"/>
        <v>87.505127460615526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-5.1159076974727213E-13</v>
      </c>
      <c r="AJ119" s="13">
        <f>AI119*VLOOKUP('Données projet'!$B$10,Paramètres!$A$1:$I$89,3,0)*VLOOKUP('Données projet'!$B$10,Paramètres!$A$1:$I$89,5,0)</f>
        <v>-2.3942448024172334E-13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391.61151255507264</v>
      </c>
      <c r="AO119" s="59">
        <f t="shared" si="90"/>
        <v>365.61278905364281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148.18876257959246</v>
      </c>
      <c r="AV119" s="21">
        <f>EXP(-LN(2)/25)*AV118+(1-EXP(-LN(2)/25))/(LN(2)/25)*Calculateur!AQ119*Calculateur!AS119*VLOOKUP('Données projet'!$B$10,Paramètres!$A$1:$I$89,3,0)*0.475*44/12</f>
        <v>40.14302969252693</v>
      </c>
      <c r="AW119" s="21">
        <f>EXP(-LN(2)/2)*AW118+(1-EXP(-LN(2)/2))/(LN(2)/2)*AQ119*AT119*VLOOKUP('Données projet'!$B$10,Paramètres!$A$1:$I$89,3,0)*0.475*44/12</f>
        <v>0.8669186384636266</v>
      </c>
      <c r="AX119" s="21">
        <f t="shared" si="60"/>
        <v>189.19871091058303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8.6999999999999993</v>
      </c>
      <c r="BD119" s="12">
        <f>IF('Données projet'!$A$88&gt;35,BD118+BC119-BL118,IF(A119&lt;'Données projet'!$A$88,$BA$205^A119,IF(A119='Données projet'!$A$88,'Données projet'!$B$88,BD118+BC119-BL118)))</f>
        <v>348.59999999999974</v>
      </c>
      <c r="BE119" s="13">
        <f>BD119*VLOOKUP('Données projet'!$B$11,Paramètres!$A$1:$I$89,3,0)*VLOOKUP('Données projet'!$B$11,Paramètres!$A$1:$I$89,5,0)</f>
        <v>331.72775999999976</v>
      </c>
      <c r="BF119" s="13">
        <f t="shared" si="91"/>
        <v>77.788406961678191</v>
      </c>
      <c r="BG119" s="20">
        <f t="shared" si="61"/>
        <v>713.24065745825567</v>
      </c>
      <c r="BH119" s="59">
        <f t="shared" si="62"/>
        <v>994.53490135297716</v>
      </c>
      <c r="BI119" s="59">
        <f ca="1">AVERAGE(OFFSET($BH$3,0,0,'Données projet'!$E$11+1,1))-AVERAGE(OFFSET($H$3,0,0,'Données projet'!$E$11+1,1))</f>
        <v>486.36809102684492</v>
      </c>
      <c r="BJ119" s="59">
        <f t="shared" si="92"/>
        <v>308.42890859885006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27.981666122707828</v>
      </c>
      <c r="BQ119" s="21">
        <f>EXP(-LN(2)/25)*BQ118+(1-EXP(-LN(2)/25))/(LN(2)/25)*Calculateur!BL119*Calculateur!BN119*VLOOKUP('Données projet'!$B$11,Paramètres!$A$1:$I$89,3,0)*0.475*44/12</f>
        <v>24.927653025433969</v>
      </c>
      <c r="BR119" s="21">
        <f>EXP(-LN(2)/2)*BR118+(1-EXP(-LN(2)/2))/(LN(2)/2)*BL119*BO119*VLOOKUP('Données projet'!$B$11,Paramètres!$A$1:$I$89,3,0)*0.475*44/12</f>
        <v>5.6255623344411942</v>
      </c>
      <c r="BS119" s="22">
        <f t="shared" si="63"/>
        <v>58.534881482582989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6.8212102632969618E-13</v>
      </c>
      <c r="O120" s="13">
        <f>N120*VLOOKUP('Données projet'!$B$9,Paramètres!$A$1:$I$89,3,0)*VLOOKUP('Données projet'!$B$9,Paramètres!$A$1:$I$89,5,0)</f>
        <v>3.8130565371830017E-13</v>
      </c>
      <c r="P120" s="13">
        <f t="shared" si="87"/>
        <v>4.9019074112354236E-12</v>
      </c>
      <c r="Q120" s="20">
        <f t="shared" si="107"/>
        <v>9.2015960881277352E-12</v>
      </c>
      <c r="R120" s="59">
        <f t="shared" si="55"/>
        <v>281.50309518111885</v>
      </c>
      <c r="S120" s="59">
        <f ca="1">AVERAGE(OFFSET($R$3,0,0,'Données projet'!$E$9+1,1))-AVERAGE(OFFSET($H$3,0,0,'Données projet'!$E$9+1,1))</f>
        <v>418.8940806978344</v>
      </c>
      <c r="T120" s="59">
        <f t="shared" si="88"/>
        <v>553.49616487922378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70.853083153650971</v>
      </c>
      <c r="AA120" s="21">
        <f>EXP(-LN(2)/25)*AA119+(1-EXP(-LN(2)/25))/(LN(2)/25)*Calculateur!V120*Calculateur!X120*VLOOKUP('Données projet'!$B$9,Paramètres!$A$1:$I$89,3,0)*0.475*44/12</f>
        <v>14.818270286645047</v>
      </c>
      <c r="AB120" s="21">
        <f>EXP(-LN(2)/2)*AB119+(1-EXP(-LN(2)/2))/(LN(2)/2)*V120*Y120*VLOOKUP('Données projet'!$B$9,Paramètres!$A$1:$I$89,3,0)*0.475*44/12</f>
        <v>3.0130495843018436E-8</v>
      </c>
      <c r="AC120" s="22">
        <f t="shared" si="57"/>
        <v>85.67135347042651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-5.1159076974727213E-13</v>
      </c>
      <c r="AJ120" s="13">
        <f>AI120*VLOOKUP('Données projet'!$B$10,Paramètres!$A$1:$I$89,3,0)*VLOOKUP('Données projet'!$B$10,Paramètres!$A$1:$I$89,5,0)</f>
        <v>-2.3942448024172334E-13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391.61151255507264</v>
      </c>
      <c r="AO120" s="59">
        <f t="shared" si="90"/>
        <v>365.61278905364281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145.28287133162692</v>
      </c>
      <c r="AV120" s="21">
        <f>EXP(-LN(2)/25)*AV119+(1-EXP(-LN(2)/25))/(LN(2)/25)*Calculateur!AQ120*Calculateur!AS120*VLOOKUP('Données projet'!$B$10,Paramètres!$A$1:$I$89,3,0)*0.475*44/12</f>
        <v>39.0453164345546</v>
      </c>
      <c r="AW120" s="21">
        <f>EXP(-LN(2)/2)*AW119+(1-EXP(-LN(2)/2))/(LN(2)/2)*AQ120*AT120*VLOOKUP('Données projet'!$B$10,Paramètres!$A$1:$I$89,3,0)*0.475*44/12</f>
        <v>0.61300404799463937</v>
      </c>
      <c r="AX120" s="21">
        <f t="shared" si="60"/>
        <v>184.94119181417616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8.6999999999999993</v>
      </c>
      <c r="BD120" s="12">
        <f>IF('Données projet'!$A$88&gt;35,BD119+BC120-BL119,IF(A120&lt;'Données projet'!$A$88,$BA$205^A120,IF(A120='Données projet'!$A$88,'Données projet'!$B$88,BD119+BC120-BL119)))</f>
        <v>357.29999999999973</v>
      </c>
      <c r="BE120" s="13">
        <f>BD120*VLOOKUP('Données projet'!$B$11,Paramètres!$A$1:$I$89,3,0)*VLOOKUP('Données projet'!$B$11,Paramètres!$A$1:$I$89,5,0)</f>
        <v>340.00667999999973</v>
      </c>
      <c r="BF120" s="13">
        <f t="shared" si="91"/>
        <v>79.501326550510683</v>
      </c>
      <c r="BG120" s="20">
        <f t="shared" si="61"/>
        <v>730.64311140880557</v>
      </c>
      <c r="BH120" s="59">
        <f t="shared" si="62"/>
        <v>1012.1462065899152</v>
      </c>
      <c r="BI120" s="59">
        <f ca="1">AVERAGE(OFFSET($BH$3,0,0,'Données projet'!$E$11+1,1))-AVERAGE(OFFSET($H$3,0,0,'Données projet'!$E$11+1,1))</f>
        <v>486.36809102684492</v>
      </c>
      <c r="BJ120" s="59">
        <f t="shared" si="92"/>
        <v>308.42890859885006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27.432962717172625</v>
      </c>
      <c r="BQ120" s="21">
        <f>EXP(-LN(2)/25)*BQ119+(1-EXP(-LN(2)/25))/(LN(2)/25)*Calculateur!BL120*Calculateur!BN120*VLOOKUP('Données projet'!$B$11,Paramètres!$A$1:$I$89,3,0)*0.475*44/12</f>
        <v>24.246005042565177</v>
      </c>
      <c r="BR120" s="21">
        <f>EXP(-LN(2)/2)*BR119+(1-EXP(-LN(2)/2))/(LN(2)/2)*BL120*BO120*VLOOKUP('Données projet'!$B$11,Paramètres!$A$1:$I$89,3,0)*0.475*44/12</f>
        <v>3.9778732746709933</v>
      </c>
      <c r="BS120" s="22">
        <f t="shared" si="63"/>
        <v>55.656841034408792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6.8212102632969618E-13</v>
      </c>
      <c r="O121" s="13">
        <f>N121*VLOOKUP('Données projet'!$B$9,Paramètres!$A$1:$I$89,3,0)*VLOOKUP('Données projet'!$B$9,Paramètres!$A$1:$I$89,5,0)</f>
        <v>3.8130565371830017E-13</v>
      </c>
      <c r="P121" s="13">
        <f t="shared" si="87"/>
        <v>4.9019074112354236E-12</v>
      </c>
      <c r="Q121" s="20">
        <f t="shared" si="107"/>
        <v>9.2015960881277352E-12</v>
      </c>
      <c r="R121" s="59">
        <f t="shared" si="55"/>
        <v>281.70832336460961</v>
      </c>
      <c r="S121" s="59">
        <f ca="1">AVERAGE(OFFSET($R$3,0,0,'Données projet'!$E$9+1,1))-AVERAGE(OFFSET($H$3,0,0,'Données projet'!$E$9+1,1))</f>
        <v>418.8940806978344</v>
      </c>
      <c r="T121" s="59">
        <f t="shared" si="88"/>
        <v>553.49616487922378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69.463697409121366</v>
      </c>
      <c r="AA121" s="21">
        <f>EXP(-LN(2)/25)*AA120+(1-EXP(-LN(2)/25))/(LN(2)/25)*Calculateur!V121*Calculateur!X121*VLOOKUP('Données projet'!$B$9,Paramètres!$A$1:$I$89,3,0)*0.475*44/12</f>
        <v>14.413063906397772</v>
      </c>
      <c r="AB121" s="21">
        <f>EXP(-LN(2)/2)*AB120+(1-EXP(-LN(2)/2))/(LN(2)/2)*V121*Y121*VLOOKUP('Données projet'!$B$9,Paramètres!$A$1:$I$89,3,0)*0.475*44/12</f>
        <v>2.1305477931111417E-8</v>
      </c>
      <c r="AC121" s="22">
        <f t="shared" si="57"/>
        <v>83.876761336824615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-5.1159076974727213E-13</v>
      </c>
      <c r="AJ121" s="13">
        <f>AI121*VLOOKUP('Données projet'!$B$10,Paramètres!$A$1:$I$89,3,0)*VLOOKUP('Données projet'!$B$10,Paramètres!$A$1:$I$89,5,0)</f>
        <v>-2.3942448024172334E-13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391.61151255507264</v>
      </c>
      <c r="AO121" s="59">
        <f t="shared" si="90"/>
        <v>365.61278905364281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142.43396283861534</v>
      </c>
      <c r="AV121" s="21">
        <f>EXP(-LN(2)/25)*AV120+(1-EXP(-LN(2)/25))/(LN(2)/25)*Calculateur!AQ121*Calculateur!AS121*VLOOKUP('Données projet'!$B$10,Paramètres!$A$1:$I$89,3,0)*0.475*44/12</f>
        <v>37.977620203347755</v>
      </c>
      <c r="AW121" s="21">
        <f>EXP(-LN(2)/2)*AW120+(1-EXP(-LN(2)/2))/(LN(2)/2)*AQ121*AT121*VLOOKUP('Données projet'!$B$10,Paramètres!$A$1:$I$89,3,0)*0.475*44/12</f>
        <v>0.43345931923181336</v>
      </c>
      <c r="AX121" s="21">
        <f t="shared" si="60"/>
        <v>180.84504236119491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8.6999999999999993</v>
      </c>
      <c r="BD121" s="12">
        <f>IF('Données projet'!$A$88&gt;35,BD120+BC121-BL120,IF(A121&lt;'Données projet'!$A$88,$BA$205^A121,IF(A121='Données projet'!$A$88,'Données projet'!$B$88,BD120+BC121-BL120)))</f>
        <v>365.99999999999972</v>
      </c>
      <c r="BE121" s="13">
        <f>BD121*VLOOKUP('Données projet'!$B$11,Paramètres!$A$1:$I$89,3,0)*VLOOKUP('Données projet'!$B$11,Paramètres!$A$1:$I$89,5,0)</f>
        <v>348.2855999999997</v>
      </c>
      <c r="BF121" s="13">
        <f t="shared" si="91"/>
        <v>81.209397652250232</v>
      </c>
      <c r="BG121" s="20">
        <f t="shared" si="61"/>
        <v>748.03712091100203</v>
      </c>
      <c r="BH121" s="59">
        <f t="shared" si="62"/>
        <v>1029.7454442756025</v>
      </c>
      <c r="BI121" s="59">
        <f ca="1">AVERAGE(OFFSET($BH$3,0,0,'Données projet'!$E$11+1,1))-AVERAGE(OFFSET($H$3,0,0,'Données projet'!$E$11+1,1))</f>
        <v>486.36809102684492</v>
      </c>
      <c r="BJ121" s="59">
        <f t="shared" si="92"/>
        <v>308.42890859885006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26.895019050743933</v>
      </c>
      <c r="BQ121" s="21">
        <f>EXP(-LN(2)/25)*BQ120+(1-EXP(-LN(2)/25))/(LN(2)/25)*Calculateur!BL121*Calculateur!BN121*VLOOKUP('Données projet'!$B$11,Paramètres!$A$1:$I$89,3,0)*0.475*44/12</f>
        <v>23.582996759634241</v>
      </c>
      <c r="BR121" s="21">
        <f>EXP(-LN(2)/2)*BR120+(1-EXP(-LN(2)/2))/(LN(2)/2)*BL121*BO121*VLOOKUP('Données projet'!$B$11,Paramètres!$A$1:$I$89,3,0)*0.475*44/12</f>
        <v>2.8127811672205976</v>
      </c>
      <c r="BS121" s="22">
        <f t="shared" si="63"/>
        <v>53.290796977598774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6.8212102632969618E-13</v>
      </c>
      <c r="O122" s="13">
        <f>N122*VLOOKUP('Données projet'!$B$9,Paramètres!$A$1:$I$89,3,0)*VLOOKUP('Données projet'!$B$9,Paramètres!$A$1:$I$89,5,0)</f>
        <v>3.8130565371830017E-13</v>
      </c>
      <c r="P122" s="13">
        <f t="shared" si="87"/>
        <v>4.9019074112354236E-12</v>
      </c>
      <c r="Q122" s="20">
        <f t="shared" si="107"/>
        <v>9.2015960881277352E-12</v>
      </c>
      <c r="R122" s="59">
        <f t="shared" si="55"/>
        <v>281.90999129793835</v>
      </c>
      <c r="S122" s="59">
        <f ca="1">AVERAGE(OFFSET($R$3,0,0,'Données projet'!$E$9+1,1))-AVERAGE(OFFSET($H$3,0,0,'Données projet'!$E$9+1,1))</f>
        <v>418.8940806978344</v>
      </c>
      <c r="T122" s="59">
        <f t="shared" si="88"/>
        <v>553.49616487922378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68.101556671600363</v>
      </c>
      <c r="AA122" s="21">
        <f>EXP(-LN(2)/25)*AA121+(1-EXP(-LN(2)/25))/(LN(2)/25)*Calculateur!V122*Calculateur!X122*VLOOKUP('Données projet'!$B$9,Paramètres!$A$1:$I$89,3,0)*0.475*44/12</f>
        <v>14.018937915927236</v>
      </c>
      <c r="AB122" s="21">
        <f>EXP(-LN(2)/2)*AB121+(1-EXP(-LN(2)/2))/(LN(2)/2)*V122*Y122*VLOOKUP('Données projet'!$B$9,Paramètres!$A$1:$I$89,3,0)*0.475*44/12</f>
        <v>1.5065247921509218E-8</v>
      </c>
      <c r="AC122" s="22">
        <f t="shared" si="57"/>
        <v>82.120494602592856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-5.1159076974727213E-13</v>
      </c>
      <c r="AJ122" s="13">
        <f>AI122*VLOOKUP('Données projet'!$B$10,Paramètres!$A$1:$I$89,3,0)*VLOOKUP('Données projet'!$B$10,Paramètres!$A$1:$I$89,5,0)</f>
        <v>-2.3942448024172334E-13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391.61151255507264</v>
      </c>
      <c r="AO122" s="59">
        <f t="shared" si="90"/>
        <v>365.61278905364281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139.64091970348912</v>
      </c>
      <c r="AV122" s="21">
        <f>EXP(-LN(2)/25)*AV121+(1-EXP(-LN(2)/25))/(LN(2)/25)*Calculateur!AQ122*Calculateur!AS122*VLOOKUP('Données projet'!$B$10,Paramètres!$A$1:$I$89,3,0)*0.475*44/12</f>
        <v>36.939120181730964</v>
      </c>
      <c r="AW122" s="21">
        <f>EXP(-LN(2)/2)*AW121+(1-EXP(-LN(2)/2))/(LN(2)/2)*AQ122*AT122*VLOOKUP('Données projet'!$B$10,Paramètres!$A$1:$I$89,3,0)*0.475*44/12</f>
        <v>0.30650202399731974</v>
      </c>
      <c r="AX122" s="21">
        <f t="shared" si="60"/>
        <v>176.88654190921741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8.6999999999999993</v>
      </c>
      <c r="BD122" s="12">
        <f>IF('Données projet'!$A$88&gt;35,BD121+BC122-BL121,IF(A122&lt;'Données projet'!$A$88,$BA$205^A122,IF(A122='Données projet'!$A$88,'Données projet'!$B$88,BD121+BC122-BL121)))</f>
        <v>374.6999999999997</v>
      </c>
      <c r="BE122" s="13">
        <f>BD122*VLOOKUP('Données projet'!$B$11,Paramètres!$A$1:$I$89,3,0)*VLOOKUP('Données projet'!$B$11,Paramètres!$A$1:$I$89,5,0)</f>
        <v>356.56451999999973</v>
      </c>
      <c r="BF122" s="13">
        <f t="shared" si="91"/>
        <v>82.912748779658031</v>
      </c>
      <c r="BG122" s="20">
        <f t="shared" si="61"/>
        <v>765.4229097912372</v>
      </c>
      <c r="BH122" s="59">
        <f t="shared" si="62"/>
        <v>1047.3329010891664</v>
      </c>
      <c r="BI122" s="59">
        <f ca="1">AVERAGE(OFFSET($BH$3,0,0,'Données projet'!$E$11+1,1))-AVERAGE(OFFSET($H$3,0,0,'Données projet'!$E$11+1,1))</f>
        <v>486.36809102684492</v>
      </c>
      <c r="BJ122" s="59">
        <f t="shared" si="92"/>
        <v>308.42890859885006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26.367624131500673</v>
      </c>
      <c r="BQ122" s="21">
        <f>EXP(-LN(2)/25)*BQ121+(1-EXP(-LN(2)/25))/(LN(2)/25)*Calculateur!BL122*Calculateur!BN122*VLOOKUP('Données projet'!$B$11,Paramètres!$A$1:$I$89,3,0)*0.475*44/12</f>
        <v>22.938118473066144</v>
      </c>
      <c r="BR122" s="21">
        <f>EXP(-LN(2)/2)*BR121+(1-EXP(-LN(2)/2))/(LN(2)/2)*BL122*BO122*VLOOKUP('Données projet'!$B$11,Paramètres!$A$1:$I$89,3,0)*0.475*44/12</f>
        <v>1.9889366373354969</v>
      </c>
      <c r="BS122" s="22">
        <f t="shared" si="63"/>
        <v>51.294679241902315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6.8212102632969618E-13</v>
      </c>
      <c r="O123" s="13">
        <f>N123*VLOOKUP('Données projet'!$B$9,Paramètres!$A$1:$I$89,3,0)*VLOOKUP('Données projet'!$B$9,Paramètres!$A$1:$I$89,5,0)</f>
        <v>3.8130565371830017E-13</v>
      </c>
      <c r="P123" s="13">
        <f t="shared" si="87"/>
        <v>4.9019074112354236E-12</v>
      </c>
      <c r="Q123" s="20">
        <f t="shared" si="107"/>
        <v>9.2015960881277352E-12</v>
      </c>
      <c r="R123" s="59">
        <f t="shared" si="55"/>
        <v>282.10816074348583</v>
      </c>
      <c r="S123" s="59">
        <f ca="1">AVERAGE(OFFSET($R$3,0,0,'Données projet'!$E$9+1,1))-AVERAGE(OFFSET($H$3,0,0,'Données projet'!$E$9+1,1))</f>
        <v>418.8940806978344</v>
      </c>
      <c r="T123" s="59">
        <f t="shared" si="88"/>
        <v>553.49616487922378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66.76612668311833</v>
      </c>
      <c r="AA123" s="21">
        <f>EXP(-LN(2)/25)*AA122+(1-EXP(-LN(2)/25))/(LN(2)/25)*Calculateur!V123*Calculateur!X123*VLOOKUP('Données projet'!$B$9,Paramètres!$A$1:$I$89,3,0)*0.475*44/12</f>
        <v>13.635589321392301</v>
      </c>
      <c r="AB123" s="21">
        <f>EXP(-LN(2)/2)*AB122+(1-EXP(-LN(2)/2))/(LN(2)/2)*V123*Y123*VLOOKUP('Données projet'!$B$9,Paramètres!$A$1:$I$89,3,0)*0.475*44/12</f>
        <v>1.0652738965555709E-8</v>
      </c>
      <c r="AC123" s="22">
        <f t="shared" si="57"/>
        <v>80.401716015163373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-5.1159076974727213E-13</v>
      </c>
      <c r="AJ123" s="13">
        <f>AI123*VLOOKUP('Données projet'!$B$10,Paramètres!$A$1:$I$89,3,0)*VLOOKUP('Données projet'!$B$10,Paramètres!$A$1:$I$89,5,0)</f>
        <v>-2.3942448024172334E-13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391.61151255507264</v>
      </c>
      <c r="AO123" s="59">
        <f t="shared" si="90"/>
        <v>365.61278905364281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136.90264644065462</v>
      </c>
      <c r="AV123" s="21">
        <f>EXP(-LN(2)/25)*AV122+(1-EXP(-LN(2)/25))/(LN(2)/25)*Calculateur!AQ123*Calculateur!AS123*VLOOKUP('Données projet'!$B$10,Paramètres!$A$1:$I$89,3,0)*0.475*44/12</f>
        <v>35.929017997817624</v>
      </c>
      <c r="AW123" s="21">
        <f>EXP(-LN(2)/2)*AW122+(1-EXP(-LN(2)/2))/(LN(2)/2)*AQ123*AT123*VLOOKUP('Données projet'!$B$10,Paramètres!$A$1:$I$89,3,0)*0.475*44/12</f>
        <v>0.21672965961590673</v>
      </c>
      <c r="AX123" s="21">
        <f t="shared" si="60"/>
        <v>173.04839409808815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8.6999999999999993</v>
      </c>
      <c r="BD123" s="12">
        <f>IF('Données projet'!$A$88&gt;35,BD122+BC123-BL122,IF(A123&lt;'Données projet'!$A$88,$BA$205^A123,IF(A123='Données projet'!$A$88,'Données projet'!$B$88,BD122+BC123-BL122)))</f>
        <v>383.39999999999969</v>
      </c>
      <c r="BE123" s="13">
        <f>BD123*VLOOKUP('Données projet'!$B$11,Paramètres!$A$1:$I$89,3,0)*VLOOKUP('Données projet'!$B$11,Paramètres!$A$1:$I$89,5,0)</f>
        <v>364.8434399999997</v>
      </c>
      <c r="BF123" s="13">
        <f t="shared" si="91"/>
        <v>84.611502137224889</v>
      </c>
      <c r="BG123" s="20">
        <f t="shared" si="61"/>
        <v>782.80069088899938</v>
      </c>
      <c r="BH123" s="59">
        <f t="shared" si="62"/>
        <v>1064.9088516324759</v>
      </c>
      <c r="BI123" s="59">
        <f ca="1">AVERAGE(OFFSET($BH$3,0,0,'Données projet'!$E$11+1,1))-AVERAGE(OFFSET($H$3,0,0,'Données projet'!$E$11+1,1))</f>
        <v>486.36809102684492</v>
      </c>
      <c r="BJ123" s="59">
        <f t="shared" si="92"/>
        <v>308.42890859885006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25.850571104944635</v>
      </c>
      <c r="BQ123" s="21">
        <f>EXP(-LN(2)/25)*BQ122+(1-EXP(-LN(2)/25))/(LN(2)/25)*Calculateur!BL123*Calculateur!BN123*VLOOKUP('Données projet'!$B$11,Paramètres!$A$1:$I$89,3,0)*0.475*44/12</f>
        <v>22.310874417156924</v>
      </c>
      <c r="BR123" s="21">
        <f>EXP(-LN(2)/2)*BR122+(1-EXP(-LN(2)/2))/(LN(2)/2)*BL123*BO123*VLOOKUP('Données projet'!$B$11,Paramètres!$A$1:$I$89,3,0)*0.475*44/12</f>
        <v>1.406390583610299</v>
      </c>
      <c r="BS123" s="22">
        <f t="shared" si="63"/>
        <v>49.567836105711855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6.8212102632969618E-13</v>
      </c>
      <c r="O124" s="13">
        <f>N124*VLOOKUP('Données projet'!$B$9,Paramètres!$A$1:$I$89,3,0)*VLOOKUP('Données projet'!$B$9,Paramètres!$A$1:$I$89,5,0)</f>
        <v>3.8130565371830017E-13</v>
      </c>
      <c r="P124" s="13">
        <f t="shared" si="87"/>
        <v>4.9019074112354236E-12</v>
      </c>
      <c r="Q124" s="20">
        <f t="shared" si="107"/>
        <v>9.2015960881277352E-12</v>
      </c>
      <c r="R124" s="59">
        <f t="shared" si="55"/>
        <v>282.3028923921936</v>
      </c>
      <c r="S124" s="59">
        <f ca="1">AVERAGE(OFFSET($R$3,0,0,'Données projet'!$E$9+1,1))-AVERAGE(OFFSET($H$3,0,0,'Données projet'!$E$9+1,1))</f>
        <v>418.8940806978344</v>
      </c>
      <c r="T124" s="59">
        <f t="shared" si="88"/>
        <v>553.49616487922378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65.456883662178569</v>
      </c>
      <c r="AA124" s="21">
        <f>EXP(-LN(2)/25)*AA123+(1-EXP(-LN(2)/25))/(LN(2)/25)*Calculateur!V124*Calculateur!X124*VLOOKUP('Données projet'!$B$9,Paramètres!$A$1:$I$89,3,0)*0.475*44/12</f>
        <v>13.262723414334351</v>
      </c>
      <c r="AB124" s="21">
        <f>EXP(-LN(2)/2)*AB123+(1-EXP(-LN(2)/2))/(LN(2)/2)*V124*Y124*VLOOKUP('Données projet'!$B$9,Paramètres!$A$1:$I$89,3,0)*0.475*44/12</f>
        <v>7.532623960754609E-9</v>
      </c>
      <c r="AC124" s="22">
        <f t="shared" si="57"/>
        <v>78.719607084045535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-2.3942448024172334E-13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391.61151255507264</v>
      </c>
      <c r="AO124" s="59">
        <f t="shared" si="90"/>
        <v>365.61278905364281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134.21806904632254</v>
      </c>
      <c r="AV124" s="21">
        <f>EXP(-LN(2)/25)*AV123+(1-EXP(-LN(2)/25))/(LN(2)/25)*Calculateur!AQ124*Calculateur!AS124*VLOOKUP('Données projet'!$B$10,Paramètres!$A$1:$I$89,3,0)*0.475*44/12</f>
        <v>34.946537111242364</v>
      </c>
      <c r="AW124" s="21">
        <f>EXP(-LN(2)/2)*AW123+(1-EXP(-LN(2)/2))/(LN(2)/2)*AQ124*AT124*VLOOKUP('Données projet'!$B$10,Paramètres!$A$1:$I$89,3,0)*0.475*44/12</f>
        <v>0.1532510119986599</v>
      </c>
      <c r="AX124" s="21">
        <f t="shared" si="60"/>
        <v>169.31785716956355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8.6999999999999993</v>
      </c>
      <c r="BD124" s="12">
        <f>IF('Données projet'!$A$88&gt;35,BD123+BC124-BL123,IF(A124&lt;'Données projet'!$A$88,$BA$205^A124,IF(A124='Données projet'!$A$88,'Données projet'!$B$88,BD123+BC124-BL123)))</f>
        <v>392.09999999999968</v>
      </c>
      <c r="BE124" s="13">
        <f>BD124*VLOOKUP('Données projet'!$B$11,Paramètres!$A$1:$I$89,3,0)*VLOOKUP('Données projet'!$B$11,Paramètres!$A$1:$I$89,5,0)</f>
        <v>373.12235999999973</v>
      </c>
      <c r="BF124" s="13">
        <f t="shared" si="91"/>
        <v>86.305774066835625</v>
      </c>
      <c r="BG124" s="20">
        <f t="shared" si="61"/>
        <v>800.17066683307155</v>
      </c>
      <c r="BH124" s="59">
        <f t="shared" si="62"/>
        <v>1082.4735592252559</v>
      </c>
      <c r="BI124" s="59">
        <f ca="1">AVERAGE(OFFSET($BH$3,0,0,'Données projet'!$E$11+1,1))-AVERAGE(OFFSET($H$3,0,0,'Données projet'!$E$11+1,1))</f>
        <v>486.36809102684492</v>
      </c>
      <c r="BJ124" s="59">
        <f t="shared" si="92"/>
        <v>308.42890859885006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25.343657172868152</v>
      </c>
      <c r="BQ124" s="21">
        <f>EXP(-LN(2)/25)*BQ123+(1-EXP(-LN(2)/25))/(LN(2)/25)*Calculateur!BL124*Calculateur!BN124*VLOOKUP('Données projet'!$B$11,Paramètres!$A$1:$I$89,3,0)*0.475*44/12</f>
        <v>21.700782382941874</v>
      </c>
      <c r="BR124" s="21">
        <f>EXP(-LN(2)/2)*BR123+(1-EXP(-LN(2)/2))/(LN(2)/2)*BL124*BO124*VLOOKUP('Données projet'!$B$11,Paramètres!$A$1:$I$89,3,0)*0.475*44/12</f>
        <v>0.99446831866774865</v>
      </c>
      <c r="BS124" s="22">
        <f t="shared" si="63"/>
        <v>48.038907874477779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6.8212102632969618E-13</v>
      </c>
      <c r="O125" s="13">
        <f>N125*VLOOKUP('Données projet'!$B$9,Paramètres!$A$1:$I$89,3,0)*VLOOKUP('Données projet'!$B$9,Paramètres!$A$1:$I$89,5,0)</f>
        <v>3.8130565371830017E-13</v>
      </c>
      <c r="P125" s="13">
        <f t="shared" si="87"/>
        <v>4.9019074112354236E-12</v>
      </c>
      <c r="Q125" s="20">
        <f t="shared" si="107"/>
        <v>9.2015960881277352E-12</v>
      </c>
      <c r="R125" s="59">
        <f t="shared" si="55"/>
        <v>282.49424588215101</v>
      </c>
      <c r="S125" s="59">
        <f ca="1">AVERAGE(OFFSET($R$3,0,0,'Données projet'!$E$9+1,1))-AVERAGE(OFFSET($H$3,0,0,'Données projet'!$E$9+1,1))</f>
        <v>418.8940806978344</v>
      </c>
      <c r="T125" s="59">
        <f t="shared" si="88"/>
        <v>553.49616487922378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64.173314098320034</v>
      </c>
      <c r="AA125" s="21">
        <f>EXP(-LN(2)/25)*AA124+(1-EXP(-LN(2)/25))/(LN(2)/25)*Calculateur!V125*Calculateur!X125*VLOOKUP('Données projet'!$B$9,Paramètres!$A$1:$I$89,3,0)*0.475*44/12</f>
        <v>12.900053545113066</v>
      </c>
      <c r="AB125" s="21">
        <f>EXP(-LN(2)/2)*AB124+(1-EXP(-LN(2)/2))/(LN(2)/2)*V125*Y125*VLOOKUP('Données projet'!$B$9,Paramètres!$A$1:$I$89,3,0)*0.475*44/12</f>
        <v>5.3263694827778543E-9</v>
      </c>
      <c r="AC125" s="22">
        <f t="shared" si="57"/>
        <v>77.073367648759472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-2.3942448024172334E-13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391.61151255507264</v>
      </c>
      <c r="AO125" s="59">
        <f t="shared" si="90"/>
        <v>365.61278905364281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131.58613457726278</v>
      </c>
      <c r="AV125" s="21">
        <f>EXP(-LN(2)/25)*AV124+(1-EXP(-LN(2)/25))/(LN(2)/25)*Calculateur!AQ125*Calculateur!AS125*VLOOKUP('Données projet'!$B$10,Paramètres!$A$1:$I$89,3,0)*0.475*44/12</f>
        <v>33.990922216176926</v>
      </c>
      <c r="AW125" s="21">
        <f>EXP(-LN(2)/2)*AW124+(1-EXP(-LN(2)/2))/(LN(2)/2)*AQ125*AT125*VLOOKUP('Données projet'!$B$10,Paramètres!$A$1:$I$89,3,0)*0.475*44/12</f>
        <v>0.10836482980795338</v>
      </c>
      <c r="AX125" s="21">
        <f t="shared" si="60"/>
        <v>165.68542162324766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8.6999999999999993</v>
      </c>
      <c r="BD125" s="12">
        <f>IF('Données projet'!$A$88&gt;35,BD124+BC125-BL124,IF(A125&lt;'Données projet'!$A$88,$BA$205^A125,IF(A125='Données projet'!$A$88,'Données projet'!$B$88,BD124+BC125-BL124)))</f>
        <v>400.79999999999967</v>
      </c>
      <c r="BE125" s="13">
        <f>BD125*VLOOKUP('Données projet'!$B$11,Paramètres!$A$1:$I$89,3,0)*VLOOKUP('Données projet'!$B$11,Paramètres!$A$1:$I$89,5,0)</f>
        <v>381.4012799999997</v>
      </c>
      <c r="BF125" s="13">
        <f t="shared" si="91"/>
        <v>87.995675452762285</v>
      </c>
      <c r="BG125" s="20">
        <f t="shared" si="61"/>
        <v>817.53303074689381</v>
      </c>
      <c r="BH125" s="59">
        <f t="shared" si="62"/>
        <v>1100.0272766290357</v>
      </c>
      <c r="BI125" s="59">
        <f ca="1">AVERAGE(OFFSET($BH$3,0,0,'Données projet'!$E$11+1,1))-AVERAGE(OFFSET($H$3,0,0,'Données projet'!$E$11+1,1))</f>
        <v>486.36809102684492</v>
      </c>
      <c r="BJ125" s="59">
        <f t="shared" si="92"/>
        <v>308.42890859885006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24.846683513812721</v>
      </c>
      <c r="BQ125" s="21">
        <f>EXP(-LN(2)/25)*BQ124+(1-EXP(-LN(2)/25))/(LN(2)/25)*Calculateur!BL125*Calculateur!BN125*VLOOKUP('Données projet'!$B$11,Paramètres!$A$1:$I$89,3,0)*0.475*44/12</f>
        <v>21.10737334748578</v>
      </c>
      <c r="BR125" s="21">
        <f>EXP(-LN(2)/2)*BR124+(1-EXP(-LN(2)/2))/(LN(2)/2)*BL125*BO125*VLOOKUP('Données projet'!$B$11,Paramètres!$A$1:$I$89,3,0)*0.475*44/12</f>
        <v>0.70319529180514961</v>
      </c>
      <c r="BS125" s="22">
        <f t="shared" si="63"/>
        <v>46.657252153103649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6.8212102632969618E-13</v>
      </c>
      <c r="O126" s="13">
        <f>N126*VLOOKUP('Données projet'!$B$9,Paramètres!$A$1:$I$89,3,0)*VLOOKUP('Données projet'!$B$9,Paramètres!$A$1:$I$89,5,0)</f>
        <v>3.8130565371830017E-13</v>
      </c>
      <c r="P126" s="13">
        <f t="shared" si="87"/>
        <v>4.9019074112354236E-12</v>
      </c>
      <c r="Q126" s="20">
        <f t="shared" si="107"/>
        <v>9.2015960881277352E-12</v>
      </c>
      <c r="R126" s="59">
        <f t="shared" si="55"/>
        <v>282.68227981685988</v>
      </c>
      <c r="S126" s="59">
        <f ca="1">AVERAGE(OFFSET($R$3,0,0,'Données projet'!$E$9+1,1))-AVERAGE(OFFSET($H$3,0,0,'Données projet'!$E$9+1,1))</f>
        <v>418.8940806978344</v>
      </c>
      <c r="T126" s="59">
        <f t="shared" si="88"/>
        <v>553.49616487922378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62.914914550708644</v>
      </c>
      <c r="AA126" s="21">
        <f>EXP(-LN(2)/25)*AA125+(1-EXP(-LN(2)/25))/(LN(2)/25)*Calculateur!V126*Calculateur!X126*VLOOKUP('Données projet'!$B$9,Paramètres!$A$1:$I$89,3,0)*0.475*44/12</f>
        <v>12.547300902537616</v>
      </c>
      <c r="AB126" s="21">
        <f>EXP(-LN(2)/2)*AB125+(1-EXP(-LN(2)/2))/(LN(2)/2)*V126*Y126*VLOOKUP('Données projet'!$B$9,Paramètres!$A$1:$I$89,3,0)*0.475*44/12</f>
        <v>3.7663119803773045E-9</v>
      </c>
      <c r="AC126" s="22">
        <f t="shared" si="57"/>
        <v>75.462215457012576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-2.3942448024172334E-13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391.61151255507264</v>
      </c>
      <c r="AO126" s="59">
        <f t="shared" si="90"/>
        <v>365.61278905364281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129.00581073781979</v>
      </c>
      <c r="AV126" s="21">
        <f>EXP(-LN(2)/25)*AV125+(1-EXP(-LN(2)/25))/(LN(2)/25)*Calculateur!AQ126*Calculateur!AS126*VLOOKUP('Données projet'!$B$10,Paramètres!$A$1:$I$89,3,0)*0.475*44/12</f>
        <v>33.061438660670653</v>
      </c>
      <c r="AW126" s="21">
        <f>EXP(-LN(2)/2)*AW125+(1-EXP(-LN(2)/2))/(LN(2)/2)*AQ126*AT126*VLOOKUP('Données projet'!$B$10,Paramètres!$A$1:$I$89,3,0)*0.475*44/12</f>
        <v>7.6625505999329963E-2</v>
      </c>
      <c r="AX126" s="21">
        <f t="shared" si="60"/>
        <v>162.14387490448976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409.5</v>
      </c>
      <c r="BB126" s="12">
        <f>VLOOKUP(A126,'Données projet'!$A$87:$I$107,9,0)</f>
        <v>8.6999999999999993</v>
      </c>
      <c r="BC126" s="12">
        <f t="array" ref="BC126">INDEX(BB:BB,MIN(IF(ISNUMBER(BB126:BB322),ROW(BB126:BB322),"")))</f>
        <v>8.6999999999999993</v>
      </c>
      <c r="BD126" s="12">
        <f>IF('Données projet'!$A$88&gt;35,BD125+BC126-BL125,IF(A126&lt;'Données projet'!$A$88,$BA$205^A126,IF(A126='Données projet'!$A$88,'Données projet'!$B$88,BD125+BC126-BL125)))</f>
        <v>409.49999999999966</v>
      </c>
      <c r="BE126" s="13">
        <f>BD126*VLOOKUP('Données projet'!$B$11,Paramètres!$A$1:$I$89,3,0)*VLOOKUP('Données projet'!$B$11,Paramètres!$A$1:$I$89,5,0)</f>
        <v>389.68019999999967</v>
      </c>
      <c r="BF126" s="13">
        <f t="shared" si="91"/>
        <v>89.681312090502985</v>
      </c>
      <c r="BG126" s="20">
        <f t="shared" si="61"/>
        <v>834.88796689095864</v>
      </c>
      <c r="BH126" s="59">
        <f t="shared" si="62"/>
        <v>1117.5702467078092</v>
      </c>
      <c r="BI126" s="59">
        <f ca="1">AVERAGE(OFFSET($BH$3,0,0,'Données projet'!$E$11+1,1))-AVERAGE(OFFSET($H$3,0,0,'Données projet'!$E$11+1,1))</f>
        <v>486.36809102684492</v>
      </c>
      <c r="BJ126" s="59">
        <f t="shared" si="92"/>
        <v>308.42890859885006</v>
      </c>
      <c r="BK126" s="15">
        <f>IF(ISNA(VLOOKUP(A126,'Données projet'!$A$87:$I$107,3,0)),0,VLOOKUP(A126,'Données projet'!$A$87:$I$107,3,0))</f>
        <v>11</v>
      </c>
      <c r="BL126" s="15">
        <f>IF(ISNA(VLOOKUP(A126,'Données projet'!$A$87:$I$107,4,0)),0,VLOOKUP(A126,'Données projet'!$A$87:$I$107,4,0))</f>
        <v>203.8</v>
      </c>
      <c r="BM126" s="16">
        <f>IF(ISNA(VLOOKUP(A126,'Données projet'!$A$87:$I$107,5,0)),0%,VLOOKUP(A126,'Données projet'!$A$87:$I$107,5,0)*VLOOKUP('Données projet'!$B$11,Paramètres!$A$1:$I$89,7,0))</f>
        <v>0.1075</v>
      </c>
      <c r="BN126" s="16">
        <f>IF(ISNA(VLOOKUP(A126,'Données projet'!$A$87:$I$107,6,0)),0%,VLOOKUP(A126,'Données projet'!$A$87:$I$107,6,0)*VLOOKUP('Données projet'!$B$11,Paramètres!$A$1:$I$89,7,0))</f>
        <v>0.1075</v>
      </c>
      <c r="BO126" s="16">
        <f>IF(ISNA(VLOOKUP(A126,'Données projet'!$A$87:$I$107,7,0)),0%,VLOOKUP(A126,'Données projet'!$A$87:$I$107,7,0))</f>
        <v>0.25</v>
      </c>
      <c r="BP126" s="21">
        <f>EXP(-LN(2)/35)*BP125+(1-EXP(-LN(2)/35))/(LN(2)/35)*BL126*BM126*VLOOKUP('Données projet'!$B$11,Paramètres!$A$1:$I$89,3,0)*0.475*44/12</f>
        <v>47.406443841081121</v>
      </c>
      <c r="BQ126" s="21">
        <f>EXP(-LN(2)/25)*BQ125+(1-EXP(-LN(2)/25))/(LN(2)/25)*Calculateur!BL126*Calculateur!BN126*VLOOKUP('Données projet'!$B$11,Paramètres!$A$1:$I$89,3,0)*0.475*44/12</f>
        <v>43.486434973452965</v>
      </c>
      <c r="BR126" s="21">
        <f>EXP(-LN(2)/2)*BR125+(1-EXP(-LN(2)/2))/(LN(2)/2)*BL126*BO126*VLOOKUP('Données projet'!$B$11,Paramètres!$A$1:$I$89,3,0)*0.475*44/12</f>
        <v>46.243211957599804</v>
      </c>
      <c r="BS126" s="22">
        <f t="shared" si="63"/>
        <v>137.13609077213388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6.8212102632969618E-13</v>
      </c>
      <c r="O127" s="13">
        <f>N127*VLOOKUP('Données projet'!$B$9,Paramètres!$A$1:$I$89,3,0)*VLOOKUP('Données projet'!$B$9,Paramètres!$A$1:$I$89,5,0)</f>
        <v>3.8130565371830017E-13</v>
      </c>
      <c r="P127" s="13">
        <f t="shared" si="87"/>
        <v>4.9019074112354236E-12</v>
      </c>
      <c r="Q127" s="20">
        <f t="shared" si="107"/>
        <v>9.2015960881277352E-12</v>
      </c>
      <c r="R127" s="59">
        <f t="shared" si="55"/>
        <v>282.86705178318255</v>
      </c>
      <c r="S127" s="59">
        <f ca="1">AVERAGE(OFFSET($R$3,0,0,'Données projet'!$E$9+1,1))-AVERAGE(OFFSET($H$3,0,0,'Données projet'!$E$9+1,1))</f>
        <v>418.8940806978344</v>
      </c>
      <c r="T127" s="59">
        <f t="shared" si="88"/>
        <v>553.49616487922378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61.681191450677979</v>
      </c>
      <c r="AA127" s="21">
        <f>EXP(-LN(2)/25)*AA126+(1-EXP(-LN(2)/25))/(LN(2)/25)*Calculateur!V127*Calculateur!X127*VLOOKUP('Données projet'!$B$9,Paramètres!$A$1:$I$89,3,0)*0.475*44/12</f>
        <v>12.204194299523849</v>
      </c>
      <c r="AB127" s="21">
        <f>EXP(-LN(2)/2)*AB126+(1-EXP(-LN(2)/2))/(LN(2)/2)*V127*Y127*VLOOKUP('Données projet'!$B$9,Paramètres!$A$1:$I$89,3,0)*0.475*44/12</f>
        <v>2.6631847413889272E-9</v>
      </c>
      <c r="AC127" s="22">
        <f t="shared" si="57"/>
        <v>73.88538575286502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-2.3942448024172334E-13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391.61151255507264</v>
      </c>
      <c r="AO127" s="59">
        <f t="shared" si="90"/>
        <v>365.61278905364281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126.47608547502611</v>
      </c>
      <c r="AV127" s="21">
        <f>EXP(-LN(2)/25)*AV126+(1-EXP(-LN(2)/25))/(LN(2)/25)*Calculateur!AQ127*Calculateur!AS127*VLOOKUP('Données projet'!$B$10,Paramètres!$A$1:$I$89,3,0)*0.475*44/12</f>
        <v>32.157371881869118</v>
      </c>
      <c r="AW127" s="21">
        <f>EXP(-LN(2)/2)*AW126+(1-EXP(-LN(2)/2))/(LN(2)/2)*AQ127*AT127*VLOOKUP('Données projet'!$B$10,Paramètres!$A$1:$I$89,3,0)*0.475*44/12</f>
        <v>5.4182414903976697E-2</v>
      </c>
      <c r="AX127" s="21">
        <f t="shared" si="60"/>
        <v>158.68763977179921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4.8500000000000085</v>
      </c>
      <c r="BD127" s="12">
        <f>IF('Données projet'!$A$88&gt;35,BD126+BC127-BL126,IF(A127&lt;'Données projet'!$A$88,$BA$205^A127,IF(A127='Données projet'!$A$88,'Données projet'!$B$88,BD126+BC127-BL126)))</f>
        <v>210.54999999999967</v>
      </c>
      <c r="BE127" s="13">
        <f>BD127*VLOOKUP('Données projet'!$B$11,Paramètres!$A$1:$I$89,3,0)*VLOOKUP('Données projet'!$B$11,Paramètres!$A$1:$I$89,5,0)</f>
        <v>200.35937999999967</v>
      </c>
      <c r="BF127" s="13">
        <f t="shared" si="91"/>
        <v>49.823140317766736</v>
      </c>
      <c r="BG127" s="20">
        <f t="shared" si="61"/>
        <v>435.73455622010982</v>
      </c>
      <c r="BH127" s="59">
        <f t="shared" si="62"/>
        <v>718.60160800328322</v>
      </c>
      <c r="BI127" s="59">
        <f ca="1">AVERAGE(OFFSET($BH$3,0,0,'Données projet'!$E$11+1,1))-AVERAGE(OFFSET($H$3,0,0,'Données projet'!$E$11+1,1))</f>
        <v>486.36809102684492</v>
      </c>
      <c r="BJ127" s="59">
        <f t="shared" si="92"/>
        <v>308.42890859885006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46.476832392433138</v>
      </c>
      <c r="BQ127" s="21">
        <f>EXP(-LN(2)/25)*BQ126+(1-EXP(-LN(2)/25))/(LN(2)/25)*Calculateur!BL127*Calculateur!BN127*VLOOKUP('Données projet'!$B$11,Paramètres!$A$1:$I$89,3,0)*0.475*44/12</f>
        <v>42.297296122251666</v>
      </c>
      <c r="BR127" s="21">
        <f>EXP(-LN(2)/2)*BR126+(1-EXP(-LN(2)/2))/(LN(2)/2)*BL127*BO127*VLOOKUP('Données projet'!$B$11,Paramètres!$A$1:$I$89,3,0)*0.475*44/12</f>
        <v>32.698888759065667</v>
      </c>
      <c r="BS127" s="22">
        <f t="shared" si="63"/>
        <v>121.47301727375047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6.8212102632969618E-13</v>
      </c>
      <c r="O128" s="13">
        <f>N128*VLOOKUP('Données projet'!$B$9,Paramètres!$A$1:$I$89,3,0)*VLOOKUP('Données projet'!$B$9,Paramètres!$A$1:$I$89,5,0)</f>
        <v>3.8130565371830017E-13</v>
      </c>
      <c r="P128" s="13">
        <f t="shared" si="87"/>
        <v>4.9019074112354236E-12</v>
      </c>
      <c r="Q128" s="20">
        <f t="shared" si="107"/>
        <v>9.2015960881277352E-12</v>
      </c>
      <c r="R128" s="59">
        <f t="shared" si="55"/>
        <v>283.04861836897771</v>
      </c>
      <c r="S128" s="59">
        <f ca="1">AVERAGE(OFFSET($R$3,0,0,'Données projet'!$E$9+1,1))-AVERAGE(OFFSET($H$3,0,0,'Données projet'!$E$9+1,1))</f>
        <v>418.8940806978344</v>
      </c>
      <c r="T128" s="59">
        <f t="shared" si="88"/>
        <v>553.49616487922378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60.47166090814212</v>
      </c>
      <c r="AA128" s="21">
        <f>EXP(-LN(2)/25)*AA127+(1-EXP(-LN(2)/25))/(LN(2)/25)*Calculateur!V128*Calculateur!X128*VLOOKUP('Données projet'!$B$9,Paramètres!$A$1:$I$89,3,0)*0.475*44/12</f>
        <v>11.870469964612683</v>
      </c>
      <c r="AB128" s="21">
        <f>EXP(-LN(2)/2)*AB127+(1-EXP(-LN(2)/2))/(LN(2)/2)*V128*Y128*VLOOKUP('Données projet'!$B$9,Paramètres!$A$1:$I$89,3,0)*0.475*44/12</f>
        <v>1.8831559901886523E-9</v>
      </c>
      <c r="AC128" s="22">
        <f t="shared" si="57"/>
        <v>72.342130874637959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-2.3942448024172334E-13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391.61151255507264</v>
      </c>
      <c r="AO128" s="59">
        <f t="shared" si="90"/>
        <v>365.61278905364281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123.99596658165576</v>
      </c>
      <c r="AV128" s="21">
        <f>EXP(-LN(2)/25)*AV127+(1-EXP(-LN(2)/25))/(LN(2)/25)*Calculateur!AQ128*Calculateur!AS128*VLOOKUP('Données projet'!$B$10,Paramètres!$A$1:$I$89,3,0)*0.475*44/12</f>
        <v>31.278026856676718</v>
      </c>
      <c r="AW128" s="21">
        <f>EXP(-LN(2)/2)*AW127+(1-EXP(-LN(2)/2))/(LN(2)/2)*AQ128*AT128*VLOOKUP('Données projet'!$B$10,Paramètres!$A$1:$I$89,3,0)*0.475*44/12</f>
        <v>3.8312752999664981E-2</v>
      </c>
      <c r="AX128" s="21">
        <f t="shared" si="60"/>
        <v>155.31230619133214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215.4</v>
      </c>
      <c r="BB128" s="12">
        <f>VLOOKUP(A128,'Données projet'!$A$87:$I$107,9,0)</f>
        <v>4.8500000000000085</v>
      </c>
      <c r="BC128" s="12">
        <f t="array" ref="BC128">INDEX(BB:BB,MIN(IF(ISNUMBER(BB128:BB324),ROW(BB128:BB324),"")))</f>
        <v>4.8500000000000085</v>
      </c>
      <c r="BD128" s="12">
        <f>IF('Données projet'!$A$88&gt;35,BD127+BC128-BL127,IF(A128&lt;'Données projet'!$A$88,$BA$205^A128,IF(A128='Données projet'!$A$88,'Données projet'!$B$88,BD127+BC128-BL127)))</f>
        <v>215.39999999999969</v>
      </c>
      <c r="BE128" s="13">
        <f>BD128*VLOOKUP('Données projet'!$B$11,Paramètres!$A$1:$I$89,3,0)*VLOOKUP('Données projet'!$B$11,Paramètres!$A$1:$I$89,5,0)</f>
        <v>204.97463999999971</v>
      </c>
      <c r="BF128" s="13">
        <f t="shared" si="91"/>
        <v>50.835874841915071</v>
      </c>
      <c r="BG128" s="20">
        <f t="shared" si="61"/>
        <v>445.53664668300149</v>
      </c>
      <c r="BH128" s="59">
        <f t="shared" si="62"/>
        <v>728.58526505197005</v>
      </c>
      <c r="BI128" s="59">
        <f ca="1">AVERAGE(OFFSET($BH$3,0,0,'Données projet'!$E$11+1,1))-AVERAGE(OFFSET($H$3,0,0,'Données projet'!$E$11+1,1))</f>
        <v>486.36809102684492</v>
      </c>
      <c r="BJ128" s="59">
        <f t="shared" si="92"/>
        <v>308.42890859885006</v>
      </c>
      <c r="BK128" s="15">
        <f>IF(ISNA(VLOOKUP(A128,'Données projet'!$A$87:$I$107,3,0)),0,VLOOKUP(A128,'Données projet'!$A$87:$I$107,3,0))</f>
        <v>12</v>
      </c>
      <c r="BL128" s="15">
        <f>IF(ISNA(VLOOKUP(A128,'Données projet'!$A$87:$I$107,4,0)),0,VLOOKUP(A128,'Données projet'!$A$87:$I$107,4,0))</f>
        <v>70.599999999999994</v>
      </c>
      <c r="BM128" s="16">
        <f>IF(ISNA(VLOOKUP(A128,'Données projet'!$A$87:$I$107,5,0)),0%,VLOOKUP(A128,'Données projet'!$A$87:$I$107,5,0)*VLOOKUP('Données projet'!$B$11,Paramètres!$A$1:$I$89,7,0))</f>
        <v>0.1075</v>
      </c>
      <c r="BN128" s="16">
        <f>IF(ISNA(VLOOKUP(A128,'Données projet'!$A$87:$I$107,6,0)),0%,VLOOKUP(A128,'Données projet'!$A$87:$I$107,6,0)*VLOOKUP('Données projet'!$B$11,Paramètres!$A$1:$I$89,7,0))</f>
        <v>0.1075</v>
      </c>
      <c r="BO128" s="16">
        <f>IF(ISNA(VLOOKUP(A128,'Données projet'!$A$87:$I$107,7,0)),0%,VLOOKUP(A128,'Données projet'!$A$87:$I$107,7,0))</f>
        <v>0.25</v>
      </c>
      <c r="BP128" s="21">
        <f>EXP(-LN(2)/35)*BP127+(1-EXP(-LN(2)/35))/(LN(2)/35)*BL128*BM128*VLOOKUP('Données projet'!$B$11,Paramètres!$A$1:$I$89,3,0)*0.475*44/12</f>
        <v>53.549343078390947</v>
      </c>
      <c r="BQ128" s="21">
        <f>EXP(-LN(2)/25)*BQ127+(1-EXP(-LN(2)/25))/(LN(2)/25)*Calculateur!BL128*Calculateur!BN128*VLOOKUP('Données projet'!$B$11,Paramètres!$A$1:$I$89,3,0)*0.475*44/12</f>
        <v>49.093131727649542</v>
      </c>
      <c r="BR128" s="21">
        <f>EXP(-LN(2)/2)*BR127+(1-EXP(-LN(2)/2))/(LN(2)/2)*BL128*BO128*VLOOKUP('Données projet'!$B$11,Paramètres!$A$1:$I$89,3,0)*0.475*44/12</f>
        <v>38.968838719514203</v>
      </c>
      <c r="BS128" s="22">
        <f t="shared" si="63"/>
        <v>141.61131352555469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6.8212102632969618E-13</v>
      </c>
      <c r="O129" s="13">
        <f>N129*VLOOKUP('Données projet'!$B$9,Paramètres!$A$1:$I$89,3,0)*VLOOKUP('Données projet'!$B$9,Paramètres!$A$1:$I$89,5,0)</f>
        <v>3.8130565371830017E-13</v>
      </c>
      <c r="P129" s="13">
        <f t="shared" si="87"/>
        <v>4.9019074112354236E-12</v>
      </c>
      <c r="Q129" s="20">
        <f t="shared" si="107"/>
        <v>9.2015960881277352E-12</v>
      </c>
      <c r="R129" s="59">
        <f t="shared" si="55"/>
        <v>283.22703518043141</v>
      </c>
      <c r="S129" s="59">
        <f ca="1">AVERAGE(OFFSET($R$3,0,0,'Données projet'!$E$9+1,1))-AVERAGE(OFFSET($H$3,0,0,'Données projet'!$E$9+1,1))</f>
        <v>418.8940806978344</v>
      </c>
      <c r="T129" s="59">
        <f t="shared" si="88"/>
        <v>553.49616487922378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59.28584852180461</v>
      </c>
      <c r="AA129" s="21">
        <f>EXP(-LN(2)/25)*AA128+(1-EXP(-LN(2)/25))/(LN(2)/25)*Calculateur!V129*Calculateur!X129*VLOOKUP('Données projet'!$B$9,Paramètres!$A$1:$I$89,3,0)*0.475*44/12</f>
        <v>11.545871339189464</v>
      </c>
      <c r="AB129" s="21">
        <f>EXP(-LN(2)/2)*AB128+(1-EXP(-LN(2)/2))/(LN(2)/2)*V129*Y129*VLOOKUP('Données projet'!$B$9,Paramètres!$A$1:$I$89,3,0)*0.475*44/12</f>
        <v>1.3315923706944636E-9</v>
      </c>
      <c r="AC129" s="22">
        <f t="shared" si="57"/>
        <v>70.831719862325656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-2.3942448024172334E-13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391.61151255507264</v>
      </c>
      <c r="AO129" s="59">
        <f t="shared" si="90"/>
        <v>365.61278905364281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121.56448130706126</v>
      </c>
      <c r="AV129" s="21">
        <f>EXP(-LN(2)/25)*AV128+(1-EXP(-LN(2)/25))/(LN(2)/25)*Calculateur!AQ129*Calculateur!AS129*VLOOKUP('Données projet'!$B$10,Paramètres!$A$1:$I$89,3,0)*0.475*44/12</f>
        <v>30.422727567440948</v>
      </c>
      <c r="AW129" s="21">
        <f>EXP(-LN(2)/2)*AW128+(1-EXP(-LN(2)/2))/(LN(2)/2)*AQ129*AT129*VLOOKUP('Données projet'!$B$10,Paramètres!$A$1:$I$89,3,0)*0.475*44/12</f>
        <v>2.7091207451988349E-2</v>
      </c>
      <c r="AX129" s="21">
        <f t="shared" si="60"/>
        <v>152.01430008195419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3.3499999999999943</v>
      </c>
      <c r="BD129" s="12">
        <f>IF('Données projet'!$A$88&gt;35,BD128+BC129-BL128,IF(A129&lt;'Données projet'!$A$88,$BA$205^A129,IF(A129='Données projet'!$A$88,'Données projet'!$B$88,BD128+BC129-BL128)))</f>
        <v>148.14999999999969</v>
      </c>
      <c r="BE129" s="13">
        <f>BD129*VLOOKUP('Données projet'!$B$11,Paramètres!$A$1:$I$89,3,0)*VLOOKUP('Données projet'!$B$11,Paramètres!$A$1:$I$89,5,0)</f>
        <v>140.9795399999997</v>
      </c>
      <c r="BF129" s="13">
        <f t="shared" si="91"/>
        <v>36.52131321371435</v>
      </c>
      <c r="BG129" s="20">
        <f t="shared" si="61"/>
        <v>309.14731934721857</v>
      </c>
      <c r="BH129" s="59">
        <f t="shared" si="62"/>
        <v>592.37435452764078</v>
      </c>
      <c r="BI129" s="59">
        <f ca="1">AVERAGE(OFFSET($BH$3,0,0,'Données projet'!$E$11+1,1))-AVERAGE(OFFSET($H$3,0,0,'Données projet'!$E$11+1,1))</f>
        <v>486.36809102684492</v>
      </c>
      <c r="BJ129" s="59">
        <f t="shared" si="92"/>
        <v>308.42890859885006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52.49927312249789</v>
      </c>
      <c r="BQ129" s="21">
        <f>EXP(-LN(2)/25)*BQ128+(1-EXP(-LN(2)/25))/(LN(2)/25)*Calculateur!BL129*Calculateur!BN129*VLOOKUP('Données projet'!$B$11,Paramètres!$A$1:$I$89,3,0)*0.475*44/12</f>
        <v>47.750677458861375</v>
      </c>
      <c r="BR129" s="21">
        <f>EXP(-LN(2)/2)*BR128+(1-EXP(-LN(2)/2))/(LN(2)/2)*BL129*BO129*VLOOKUP('Données projet'!$B$11,Paramètres!$A$1:$I$89,3,0)*0.475*44/12</f>
        <v>27.555130113533391</v>
      </c>
      <c r="BS129" s="22">
        <f t="shared" si="63"/>
        <v>127.80508069489265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6.8212102632969618E-13</v>
      </c>
      <c r="O130" s="13">
        <f>N130*VLOOKUP('Données projet'!$B$9,Paramètres!$A$1:$I$89,3,0)*VLOOKUP('Données projet'!$B$9,Paramètres!$A$1:$I$89,5,0)</f>
        <v>3.8130565371830017E-13</v>
      </c>
      <c r="P130" s="13">
        <f t="shared" si="87"/>
        <v>4.9019074112354236E-12</v>
      </c>
      <c r="Q130" s="20">
        <f t="shared" si="107"/>
        <v>9.2015960881277352E-12</v>
      </c>
      <c r="R130" s="59">
        <f t="shared" si="55"/>
        <v>283.40235685908664</v>
      </c>
      <c r="S130" s="59">
        <f ca="1">AVERAGE(OFFSET($R$3,0,0,'Données projet'!$E$9+1,1))-AVERAGE(OFFSET($H$3,0,0,'Données projet'!$E$9+1,1))</f>
        <v>418.8940806978344</v>
      </c>
      <c r="T130" s="59">
        <f t="shared" si="88"/>
        <v>553.49616487922378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58.123289193089036</v>
      </c>
      <c r="AA130" s="21">
        <f>EXP(-LN(2)/25)*AA129+(1-EXP(-LN(2)/25))/(LN(2)/25)*Calculateur!V130*Calculateur!X130*VLOOKUP('Données projet'!$B$9,Paramètres!$A$1:$I$89,3,0)*0.475*44/12</f>
        <v>11.230148880248343</v>
      </c>
      <c r="AB130" s="21">
        <f>EXP(-LN(2)/2)*AB129+(1-EXP(-LN(2)/2))/(LN(2)/2)*V130*Y130*VLOOKUP('Données projet'!$B$9,Paramètres!$A$1:$I$89,3,0)*0.475*44/12</f>
        <v>9.4157799509432613E-10</v>
      </c>
      <c r="AC130" s="22">
        <f t="shared" si="57"/>
        <v>69.353438074278955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-2.3942448024172334E-13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391.61151255507264</v>
      </c>
      <c r="AO130" s="59">
        <f t="shared" si="90"/>
        <v>365.61278905364281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119.18067597564198</v>
      </c>
      <c r="AV130" s="21">
        <f>EXP(-LN(2)/25)*AV129+(1-EXP(-LN(2)/25))/(LN(2)/25)*Calculateur!AQ130*Calculateur!AS130*VLOOKUP('Données projet'!$B$10,Paramètres!$A$1:$I$89,3,0)*0.475*44/12</f>
        <v>29.590816482247565</v>
      </c>
      <c r="AW130" s="21">
        <f>EXP(-LN(2)/2)*AW129+(1-EXP(-LN(2)/2))/(LN(2)/2)*AQ130*AT130*VLOOKUP('Données projet'!$B$10,Paramètres!$A$1:$I$89,3,0)*0.475*44/12</f>
        <v>1.9156376499832491E-2</v>
      </c>
      <c r="AX130" s="21">
        <f t="shared" si="60"/>
        <v>148.79064883438937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151.5</v>
      </c>
      <c r="BB130" s="12">
        <f>VLOOKUP(A130,'Données projet'!$A$87:$I$107,9,0)</f>
        <v>3.3499999999999943</v>
      </c>
      <c r="BC130" s="12">
        <f t="array" ref="BC130">INDEX(BB:BB,MIN(IF(ISNUMBER(BB130:BB326),ROW(BB130:BB326),"")))</f>
        <v>3.3499999999999943</v>
      </c>
      <c r="BD130" s="12">
        <f>IF('Données projet'!$A$88&gt;35,BD129+BC130-BL129,IF(A130&lt;'Données projet'!$A$88,$BA$205^A130,IF(A130='Données projet'!$A$88,'Données projet'!$B$88,BD129+BC130-BL129)))</f>
        <v>151.49999999999969</v>
      </c>
      <c r="BE130" s="13">
        <f>BD130*VLOOKUP('Données projet'!$B$11,Paramètres!$A$1:$I$89,3,0)*VLOOKUP('Données projet'!$B$11,Paramètres!$A$1:$I$89,5,0)</f>
        <v>144.1673999999997</v>
      </c>
      <c r="BF130" s="13">
        <f t="shared" si="91"/>
        <v>37.250062397185097</v>
      </c>
      <c r="BG130" s="20">
        <f t="shared" si="61"/>
        <v>315.96874700843017</v>
      </c>
      <c r="BH130" s="59">
        <f t="shared" si="62"/>
        <v>599.3711038675076</v>
      </c>
      <c r="BI130" s="59">
        <f ca="1">AVERAGE(OFFSET($BH$3,0,0,'Données projet'!$E$11+1,1))-AVERAGE(OFFSET($H$3,0,0,'Données projet'!$E$11+1,1))</f>
        <v>486.36809102684492</v>
      </c>
      <c r="BJ130" s="59">
        <f t="shared" si="92"/>
        <v>308.42890859885006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46</v>
      </c>
      <c r="BM130" s="16">
        <f>IF(ISNA(VLOOKUP(A130,'Données projet'!$A$87:$I$107,5,0)),0%,VLOOKUP(A130,'Données projet'!$A$87:$I$107,5,0)*VLOOKUP('Données projet'!$B$11,Paramètres!$A$1:$I$89,7,0))</f>
        <v>0.1075</v>
      </c>
      <c r="BN130" s="16">
        <f>IF(ISNA(VLOOKUP(A130,'Données projet'!$A$87:$I$107,6,0)),0%,VLOOKUP(A130,'Données projet'!$A$87:$I$107,6,0)*VLOOKUP('Données projet'!$B$11,Paramètres!$A$1:$I$89,7,0))</f>
        <v>0.1075</v>
      </c>
      <c r="BO130" s="16">
        <f>IF(ISNA(VLOOKUP(A130,'Données projet'!$A$87:$I$107,7,0)),0%,VLOOKUP(A130,'Données projet'!$A$87:$I$107,7,0))</f>
        <v>0.25</v>
      </c>
      <c r="BP130" s="21">
        <f>EXP(-LN(2)/35)*BP129+(1-EXP(-LN(2)/35))/(LN(2)/35)*BL130*BM130*VLOOKUP('Données projet'!$B$11,Paramètres!$A$1:$I$89,3,0)*0.475*44/12</f>
        <v>56.671764355054243</v>
      </c>
      <c r="BQ130" s="21">
        <f>EXP(-LN(2)/25)*BQ129+(1-EXP(-LN(2)/25))/(LN(2)/25)*Calculateur!BL130*Calculateur!BN130*VLOOKUP('Données projet'!$B$11,Paramètres!$A$1:$I$89,3,0)*0.475*44/12</f>
        <v>51.626420491916576</v>
      </c>
      <c r="BR130" s="21">
        <f>EXP(-LN(2)/2)*BR129+(1-EXP(-LN(2)/2))/(LN(2)/2)*BL130*BO130*VLOOKUP('Données projet'!$B$11,Paramètres!$A$1:$I$89,3,0)*0.475*44/12</f>
        <v>29.809811797049711</v>
      </c>
      <c r="BS130" s="22">
        <f t="shared" si="63"/>
        <v>138.10799664402055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6.8212102632969618E-13</v>
      </c>
      <c r="O131" s="13">
        <f>N131*VLOOKUP('Données projet'!$B$9,Paramètres!$A$1:$I$89,3,0)*VLOOKUP('Données projet'!$B$9,Paramètres!$A$1:$I$89,5,0)</f>
        <v>3.8130565371830017E-13</v>
      </c>
      <c r="P131" s="13">
        <f t="shared" si="87"/>
        <v>4.9019074112354236E-12</v>
      </c>
      <c r="Q131" s="20">
        <f t="shared" ref="Q131:Q153" si="108">(O131+P131)*0.475*44/12</f>
        <v>9.2015960881277352E-12</v>
      </c>
      <c r="R131" s="59">
        <f t="shared" ref="R131:R194" si="109">Q131+(I131+J131)*44/12</f>
        <v>283.57463709857774</v>
      </c>
      <c r="S131" s="59">
        <f ca="1">AVERAGE(OFFSET($R$3,0,0,'Données projet'!$E$9+1,1))-AVERAGE(OFFSET($H$3,0,0,'Données projet'!$E$9+1,1))</f>
        <v>418.8940806978344</v>
      </c>
      <c r="T131" s="59">
        <f t="shared" si="88"/>
        <v>553.49616487922378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56.983526943718402</v>
      </c>
      <c r="AA131" s="21">
        <f>EXP(-LN(2)/25)*AA130+(1-EXP(-LN(2)/25))/(LN(2)/25)*Calculateur!V131*Calculateur!X131*VLOOKUP('Données projet'!$B$9,Paramètres!$A$1:$I$89,3,0)*0.475*44/12</f>
        <v>10.923059868550089</v>
      </c>
      <c r="AB131" s="21">
        <f>EXP(-LN(2)/2)*AB130+(1-EXP(-LN(2)/2))/(LN(2)/2)*V131*Y131*VLOOKUP('Données projet'!$B$9,Paramètres!$A$1:$I$89,3,0)*0.475*44/12</f>
        <v>6.6579618534723179E-10</v>
      </c>
      <c r="AC131" s="22">
        <f t="shared" si="57"/>
        <v>67.906586812934279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-2.3942448024172334E-13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391.61151255507264</v>
      </c>
      <c r="AO131" s="59">
        <f t="shared" si="90"/>
        <v>365.61278905364281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116.84361561279414</v>
      </c>
      <c r="AV131" s="21">
        <f>EXP(-LN(2)/25)*AV130+(1-EXP(-LN(2)/25))/(LN(2)/25)*Calculateur!AQ131*Calculateur!AS131*VLOOKUP('Données projet'!$B$10,Paramètres!$A$1:$I$89,3,0)*0.475*44/12</f>
        <v>28.781654049427097</v>
      </c>
      <c r="AW131" s="21">
        <f>EXP(-LN(2)/2)*AW130+(1-EXP(-LN(2)/2))/(LN(2)/2)*AQ131*AT131*VLOOKUP('Données projet'!$B$10,Paramètres!$A$1:$I$89,3,0)*0.475*44/12</f>
        <v>1.3545603725994174E-2</v>
      </c>
      <c r="AX131" s="21">
        <f t="shared" si="60"/>
        <v>145.63881526594722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2.4333333333333322</v>
      </c>
      <c r="BD131" s="12">
        <f>IF('Données projet'!$A$88&gt;35,BD130+BC131-BL130,IF(A131&lt;'Données projet'!$A$88,$BA$205^A131,IF(A131='Données projet'!$A$88,'Données projet'!$B$88,BD130+BC131-BL130)))</f>
        <v>107.93333333333302</v>
      </c>
      <c r="BE131" s="13">
        <f>BD131*VLOOKUP('Données projet'!$B$11,Paramètres!$A$1:$I$89,3,0)*VLOOKUP('Données projet'!$B$11,Paramètres!$A$1:$I$89,5,0)</f>
        <v>102.70935999999971</v>
      </c>
      <c r="BF131" s="13">
        <f t="shared" si="91"/>
        <v>27.606457520384886</v>
      </c>
      <c r="BG131" s="20">
        <f t="shared" si="61"/>
        <v>226.9667155146698</v>
      </c>
      <c r="BH131" s="59">
        <f t="shared" si="62"/>
        <v>510.54135261323836</v>
      </c>
      <c r="BI131" s="59">
        <f ca="1">AVERAGE(OFFSET($BH$3,0,0,'Données projet'!$E$11+1,1))-AVERAGE(OFFSET($H$3,0,0,'Données projet'!$E$11+1,1))</f>
        <v>486.36809102684492</v>
      </c>
      <c r="BJ131" s="59">
        <f t="shared" si="92"/>
        <v>308.42890859885006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55.560465622414739</v>
      </c>
      <c r="BQ131" s="21">
        <f>EXP(-LN(2)/25)*BQ130+(1-EXP(-LN(2)/25))/(LN(2)/25)*Calculateur!BL131*Calculateur!BN131*VLOOKUP('Données projet'!$B$11,Paramètres!$A$1:$I$89,3,0)*0.475*44/12</f>
        <v>50.214693308649657</v>
      </c>
      <c r="BR131" s="21">
        <f>EXP(-LN(2)/2)*BR130+(1-EXP(-LN(2)/2))/(LN(2)/2)*BL131*BO131*VLOOKUP('Données projet'!$B$11,Paramètres!$A$1:$I$89,3,0)*0.475*44/12</f>
        <v>21.078720067588595</v>
      </c>
      <c r="BS131" s="22">
        <f t="shared" si="63"/>
        <v>126.85387899865299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6.8212102632969618E-13</v>
      </c>
      <c r="O132" s="13">
        <f>N132*VLOOKUP('Données projet'!$B$9,Paramètres!$A$1:$I$89,3,0)*VLOOKUP('Données projet'!$B$9,Paramètres!$A$1:$I$89,5,0)</f>
        <v>3.8130565371830017E-13</v>
      </c>
      <c r="P132" s="13">
        <f t="shared" si="87"/>
        <v>4.9019074112354236E-12</v>
      </c>
      <c r="Q132" s="20">
        <f t="shared" si="108"/>
        <v>9.2015960881277352E-12</v>
      </c>
      <c r="R132" s="59">
        <f t="shared" si="109"/>
        <v>283.74392866107456</v>
      </c>
      <c r="S132" s="59">
        <f ca="1">AVERAGE(OFFSET($R$3,0,0,'Données projet'!$E$9+1,1))-AVERAGE(OFFSET($H$3,0,0,'Données projet'!$E$9+1,1))</f>
        <v>418.8940806978344</v>
      </c>
      <c r="T132" s="59">
        <f t="shared" si="88"/>
        <v>553.49616487922378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55.866114736871602</v>
      </c>
      <c r="AA132" s="21">
        <f>EXP(-LN(2)/25)*AA131+(1-EXP(-LN(2)/25))/(LN(2)/25)*Calculateur!V132*Calculateur!X132*VLOOKUP('Données projet'!$B$9,Paramètres!$A$1:$I$89,3,0)*0.475*44/12</f>
        <v>10.624368222025833</v>
      </c>
      <c r="AB132" s="21">
        <f>EXP(-LN(2)/2)*AB131+(1-EXP(-LN(2)/2))/(LN(2)/2)*V132*Y132*VLOOKUP('Données projet'!$B$9,Paramètres!$A$1:$I$89,3,0)*0.475*44/12</f>
        <v>4.7078899754716306E-10</v>
      </c>
      <c r="AC132" s="22">
        <f t="shared" ref="AC132:AC153" si="111">SUM(Z132:AB132)</f>
        <v>66.490482959368222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-2.3942448024172334E-13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391.61151255507264</v>
      </c>
      <c r="AO132" s="59">
        <f t="shared" si="90"/>
        <v>365.61278905364281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114.55238357819569</v>
      </c>
      <c r="AV132" s="21">
        <f>EXP(-LN(2)/25)*AV131+(1-EXP(-LN(2)/25))/(LN(2)/25)*Calculateur!AQ132*Calculateur!AS132*VLOOKUP('Données projet'!$B$10,Paramètres!$A$1:$I$89,3,0)*0.475*44/12</f>
        <v>27.994618205884109</v>
      </c>
      <c r="AW132" s="21">
        <f>EXP(-LN(2)/2)*AW131+(1-EXP(-LN(2)/2))/(LN(2)/2)*AQ132*AT132*VLOOKUP('Données projet'!$B$10,Paramètres!$A$1:$I$89,3,0)*0.475*44/12</f>
        <v>9.5781882499162453E-3</v>
      </c>
      <c r="AX132" s="21">
        <f t="shared" ref="AX132:AX153" si="114">SUM(AU132:AW132)</f>
        <v>142.5565799723297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2.4333333333333322</v>
      </c>
      <c r="BD132" s="12">
        <f>IF('Données projet'!$A$88&gt;35,BD131+BC132-BL131,IF(A132&lt;'Données projet'!$A$88,$BA$205^A132,IF(A132='Données projet'!$A$88,'Données projet'!$B$88,BD131+BC132-BL131)))</f>
        <v>110.36666666666636</v>
      </c>
      <c r="BE132" s="13">
        <f>BD132*VLOOKUP('Données projet'!$B$11,Paramètres!$A$1:$I$89,3,0)*VLOOKUP('Données projet'!$B$11,Paramètres!$A$1:$I$89,5,0)</f>
        <v>105.02491999999971</v>
      </c>
      <c r="BF132" s="13">
        <f t="shared" si="91"/>
        <v>28.155678249296301</v>
      </c>
      <c r="BG132" s="20">
        <f t="shared" ref="BG132:BG153" si="115">(BE132+BF132)*0.475*44/12</f>
        <v>231.95620861752386</v>
      </c>
      <c r="BH132" s="59">
        <f t="shared" ref="BH132:BH195" si="116">BG132+(AY132+AZ132)*44/12</f>
        <v>515.70013727858918</v>
      </c>
      <c r="BI132" s="59">
        <f ca="1">AVERAGE(OFFSET($BH$3,0,0,'Données projet'!$E$11+1,1))-AVERAGE(OFFSET($H$3,0,0,'Données projet'!$E$11+1,1))</f>
        <v>486.36809102684492</v>
      </c>
      <c r="BJ132" s="59">
        <f t="shared" si="92"/>
        <v>308.42890859885006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54.470958780097</v>
      </c>
      <c r="BQ132" s="21">
        <f>EXP(-LN(2)/25)*BQ131+(1-EXP(-LN(2)/25))/(LN(2)/25)*Calculateur!BL132*Calculateur!BN132*VLOOKUP('Données projet'!$B$11,Paramètres!$A$1:$I$89,3,0)*0.475*44/12</f>
        <v>48.841569879448677</v>
      </c>
      <c r="BR132" s="21">
        <f>EXP(-LN(2)/2)*BR131+(1-EXP(-LN(2)/2))/(LN(2)/2)*BL132*BO132*VLOOKUP('Données projet'!$B$11,Paramètres!$A$1:$I$89,3,0)*0.475*44/12</f>
        <v>14.904905898524857</v>
      </c>
      <c r="BS132" s="22">
        <f t="shared" ref="BS132:BS153" si="117">SUM(BP132:BR132)</f>
        <v>118.21743455807054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6.8212102632969618E-13</v>
      </c>
      <c r="O133" s="13">
        <f>N133*VLOOKUP('Données projet'!$B$9,Paramètres!$A$1:$I$89,3,0)*VLOOKUP('Données projet'!$B$9,Paramètres!$A$1:$I$89,5,0)</f>
        <v>3.8130565371830017E-13</v>
      </c>
      <c r="P133" s="13">
        <f t="shared" ref="P133:P196" si="141">EXP(-1.0587+0.8836*LN(O133)+0.284)</f>
        <v>4.9019074112354236E-12</v>
      </c>
      <c r="Q133" s="20">
        <f t="shared" si="108"/>
        <v>9.2015960881277352E-12</v>
      </c>
      <c r="R133" s="59">
        <f t="shared" si="109"/>
        <v>283.91028339344132</v>
      </c>
      <c r="S133" s="59">
        <f ca="1">AVERAGE(OFFSET($R$3,0,0,'Données projet'!$E$9+1,1))-AVERAGE(OFFSET($H$3,0,0,'Données projet'!$E$9+1,1))</f>
        <v>418.8940806978344</v>
      </c>
      <c r="T133" s="59">
        <f t="shared" ref="T133:T196" si="142">$T$3</f>
        <v>553.49616487922378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54.770614301846912</v>
      </c>
      <c r="AA133" s="21">
        <f>EXP(-LN(2)/25)*AA132+(1-EXP(-LN(2)/25))/(LN(2)/25)*Calculateur!V133*Calculateur!X133*VLOOKUP('Données projet'!$B$9,Paramètres!$A$1:$I$89,3,0)*0.475*44/12</f>
        <v>10.333844314283294</v>
      </c>
      <c r="AB133" s="21">
        <f>EXP(-LN(2)/2)*AB132+(1-EXP(-LN(2)/2))/(LN(2)/2)*V133*Y133*VLOOKUP('Données projet'!$B$9,Paramètres!$A$1:$I$89,3,0)*0.475*44/12</f>
        <v>3.3289809267361589E-10</v>
      </c>
      <c r="AC133" s="22">
        <f t="shared" si="111"/>
        <v>65.104458616463106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-2.3942448024172334E-13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391.61151255507264</v>
      </c>
      <c r="AO133" s="59">
        <f t="shared" ref="AO133:AO196" si="144">$AO$3</f>
        <v>365.61278905364281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112.30608120628216</v>
      </c>
      <c r="AV133" s="21">
        <f>EXP(-LN(2)/25)*AV132+(1-EXP(-LN(2)/25))/(LN(2)/25)*Calculateur!AQ133*Calculateur!AS133*VLOOKUP('Données projet'!$B$10,Paramètres!$A$1:$I$89,3,0)*0.475*44/12</f>
        <v>27.22910389887122</v>
      </c>
      <c r="AW133" s="21">
        <f>EXP(-LN(2)/2)*AW132+(1-EXP(-LN(2)/2))/(LN(2)/2)*AQ133*AT133*VLOOKUP('Données projet'!$B$10,Paramètres!$A$1:$I$89,3,0)*0.475*44/12</f>
        <v>6.7728018629970872E-3</v>
      </c>
      <c r="AX133" s="21">
        <f t="shared" si="114"/>
        <v>139.54195790701638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112.8</v>
      </c>
      <c r="BB133" s="12">
        <f>VLOOKUP(A133,'Données projet'!$A$87:$I$107,9,0)</f>
        <v>2.4333333333333322</v>
      </c>
      <c r="BC133" s="12">
        <f t="array" ref="BC133">INDEX(BB:BB,MIN(IF(ISNUMBER(BB133:BB329),ROW(BB133:BB329),"")))</f>
        <v>2.4333333333333322</v>
      </c>
      <c r="BD133" s="12">
        <f>IF('Données projet'!$A$88&gt;35,BD132+BC133-BL132,IF(A133&lt;'Données projet'!$A$88,$BA$205^A133,IF(A133='Données projet'!$A$88,'Données projet'!$B$88,BD132+BC133-BL132)))</f>
        <v>112.7999999999997</v>
      </c>
      <c r="BE133" s="13">
        <f>BD133*VLOOKUP('Données projet'!$B$11,Paramètres!$A$1:$I$89,3,0)*VLOOKUP('Données projet'!$B$11,Paramètres!$A$1:$I$89,5,0)</f>
        <v>107.3404799999997</v>
      </c>
      <c r="BF133" s="13">
        <f t="shared" ref="BF133:BF153" si="145">EXP(-1.0587+0.8836*LN(BE133)+0.284)</f>
        <v>28.703491169609038</v>
      </c>
      <c r="BG133" s="20">
        <f t="shared" si="115"/>
        <v>236.94324978706854</v>
      </c>
      <c r="BH133" s="59">
        <f t="shared" si="116"/>
        <v>520.85353318050068</v>
      </c>
      <c r="BI133" s="59">
        <f ca="1">AVERAGE(OFFSET($BH$3,0,0,'Données projet'!$E$11+1,1))-AVERAGE(OFFSET($H$3,0,0,'Données projet'!$E$11+1,1))</f>
        <v>486.36809102684492</v>
      </c>
      <c r="BJ133" s="59">
        <f t="shared" ref="BJ133:BJ196" si="146">$BJ$3</f>
        <v>308.42890859885006</v>
      </c>
      <c r="BK133" s="15">
        <f>IF(ISNA(VLOOKUP(A133,'Données projet'!$A$87:$I$107,3,0)),0,VLOOKUP(A133,'Données projet'!$A$87:$I$107,3,0))</f>
        <v>14</v>
      </c>
      <c r="BL133" s="15">
        <f>IF(ISNA(VLOOKUP(A133,'Données projet'!$A$87:$I$107,4,0)),0,VLOOKUP(A133,'Données projet'!$A$87:$I$107,4,0))</f>
        <v>112.8</v>
      </c>
      <c r="BM133" s="16">
        <f>IF(ISNA(VLOOKUP(A133,'Données projet'!$A$87:$I$107,5,0)),0%,VLOOKUP(A133,'Données projet'!$A$87:$I$107,5,0)*VLOOKUP('Données projet'!$B$11,Paramètres!$A$1:$I$89,7,0))</f>
        <v>0.1075</v>
      </c>
      <c r="BN133" s="16">
        <f>IF(ISNA(VLOOKUP(A133,'Données projet'!$A$87:$I$107,6,0)),0%,VLOOKUP(A133,'Données projet'!$A$87:$I$107,6,0)*VLOOKUP('Données projet'!$B$11,Paramètres!$A$1:$I$89,7,0))</f>
        <v>0.1075</v>
      </c>
      <c r="BO133" s="16">
        <f>IF(ISNA(VLOOKUP(A133,'Données projet'!$A$87:$I$107,7,0)),0%,VLOOKUP(A133,'Données projet'!$A$87:$I$107,7,0))</f>
        <v>0.25</v>
      </c>
      <c r="BP133" s="21">
        <f>EXP(-LN(2)/35)*BP132+(1-EXP(-LN(2)/35))/(LN(2)/35)*BL133*BM133*VLOOKUP('Données projet'!$B$11,Paramètres!$A$1:$I$89,3,0)*0.475*44/12</f>
        <v>66.158951527644831</v>
      </c>
      <c r="BQ133" s="21">
        <f>EXP(-LN(2)/25)*BQ132+(1-EXP(-LN(2)/25))/(LN(2)/25)*Calculateur!BL133*Calculateur!BN133*VLOOKUP('Données projet'!$B$11,Paramètres!$A$1:$I$89,3,0)*0.475*44/12</f>
        <v>60.211903843787098</v>
      </c>
      <c r="BR133" s="21">
        <f>EXP(-LN(2)/2)*BR132+(1-EXP(-LN(2)/2))/(LN(2)/2)*BL133*BO133*VLOOKUP('Données projet'!$B$11,Paramètres!$A$1:$I$89,3,0)*0.475*44/12</f>
        <v>35.859018010459643</v>
      </c>
      <c r="BS133" s="22">
        <f t="shared" si="117"/>
        <v>162.22987338189157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6.8212102632969618E-13</v>
      </c>
      <c r="O134" s="13">
        <f>N134*VLOOKUP('Données projet'!$B$9,Paramètres!$A$1:$I$89,3,0)*VLOOKUP('Données projet'!$B$9,Paramètres!$A$1:$I$89,5,0)</f>
        <v>3.8130565371830017E-13</v>
      </c>
      <c r="P134" s="13">
        <f t="shared" si="141"/>
        <v>4.9019074112354236E-12</v>
      </c>
      <c r="Q134" s="20">
        <f t="shared" si="108"/>
        <v>9.2015960881277352E-12</v>
      </c>
      <c r="R134" s="59">
        <f t="shared" si="109"/>
        <v>284.07375224311494</v>
      </c>
      <c r="S134" s="59">
        <f ca="1">AVERAGE(OFFSET($R$3,0,0,'Données projet'!$E$9+1,1))-AVERAGE(OFFSET($H$3,0,0,'Données projet'!$E$9+1,1))</f>
        <v>418.8940806978344</v>
      </c>
      <c r="T134" s="59">
        <f t="shared" si="142"/>
        <v>553.49616487922378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53.696595962163777</v>
      </c>
      <c r="AA134" s="21">
        <f>EXP(-LN(2)/25)*AA133+(1-EXP(-LN(2)/25))/(LN(2)/25)*Calculateur!V134*Calculateur!X134*VLOOKUP('Données projet'!$B$9,Paramètres!$A$1:$I$89,3,0)*0.475*44/12</f>
        <v>10.051264798075962</v>
      </c>
      <c r="AB134" s="21">
        <f>EXP(-LN(2)/2)*AB133+(1-EXP(-LN(2)/2))/(LN(2)/2)*V134*Y134*VLOOKUP('Données projet'!$B$9,Paramètres!$A$1:$I$89,3,0)*0.475*44/12</f>
        <v>2.3539449877358153E-10</v>
      </c>
      <c r="AC134" s="22">
        <f t="shared" si="111"/>
        <v>63.747860760475135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-2.3942448024172334E-13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391.61151255507264</v>
      </c>
      <c r="AO134" s="59">
        <f t="shared" si="144"/>
        <v>365.61278905364281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110.10382745377269</v>
      </c>
      <c r="AV134" s="21">
        <f>EXP(-LN(2)/25)*AV133+(1-EXP(-LN(2)/25))/(LN(2)/25)*Calculateur!AQ134*Calculateur!AS134*VLOOKUP('Données projet'!$B$10,Paramètres!$A$1:$I$89,3,0)*0.475*44/12</f>
        <v>26.484522620840245</v>
      </c>
      <c r="AW134" s="21">
        <f>EXP(-LN(2)/2)*AW133+(1-EXP(-LN(2)/2))/(LN(2)/2)*AQ134*AT134*VLOOKUP('Données projet'!$B$10,Paramètres!$A$1:$I$89,3,0)*0.475*44/12</f>
        <v>4.7890941249581227E-3</v>
      </c>
      <c r="AX134" s="21">
        <f t="shared" si="114"/>
        <v>136.59313916873791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-2.9842794901924208E-13</v>
      </c>
      <c r="BE134" s="13">
        <f>BD134*VLOOKUP('Données projet'!$B$11,Paramètres!$A$1:$I$89,3,0)*VLOOKUP('Données projet'!$B$11,Paramètres!$A$1:$I$89,5,0)</f>
        <v>-2.839840362867108E-13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486.36809102684492</v>
      </c>
      <c r="BJ134" s="59">
        <f t="shared" si="146"/>
        <v>308.42890859885006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64.861614841163629</v>
      </c>
      <c r="BQ134" s="21">
        <f>EXP(-LN(2)/25)*BQ133+(1-EXP(-LN(2)/25))/(LN(2)/25)*Calculateur!BL134*Calculateur!BN134*VLOOKUP('Données projet'!$B$11,Paramètres!$A$1:$I$89,3,0)*0.475*44/12</f>
        <v>58.565406166772334</v>
      </c>
      <c r="BR134" s="21">
        <f>EXP(-LN(2)/2)*BR133+(1-EXP(-LN(2)/2))/(LN(2)/2)*BL134*BO134*VLOOKUP('Données projet'!$B$11,Paramètres!$A$1:$I$89,3,0)*0.475*44/12</f>
        <v>25.356154801886554</v>
      </c>
      <c r="BS134" s="22">
        <f t="shared" si="117"/>
        <v>148.78317580982252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6.8212102632969618E-13</v>
      </c>
      <c r="O135" s="13">
        <f>N135*VLOOKUP('Données projet'!$B$9,Paramètres!$A$1:$I$89,3,0)*VLOOKUP('Données projet'!$B$9,Paramètres!$A$1:$I$89,5,0)</f>
        <v>3.8130565371830017E-13</v>
      </c>
      <c r="P135" s="13">
        <f t="shared" si="141"/>
        <v>4.9019074112354236E-12</v>
      </c>
      <c r="Q135" s="20">
        <f t="shared" si="108"/>
        <v>9.2015960881277352E-12</v>
      </c>
      <c r="R135" s="59">
        <f t="shared" si="109"/>
        <v>284.23438527370837</v>
      </c>
      <c r="S135" s="59">
        <f ca="1">AVERAGE(OFFSET($R$3,0,0,'Données projet'!$E$9+1,1))-AVERAGE(OFFSET($H$3,0,0,'Données projet'!$E$9+1,1))</f>
        <v>418.8940806978344</v>
      </c>
      <c r="T135" s="59">
        <f t="shared" si="142"/>
        <v>553.49616487922378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52.643638467035323</v>
      </c>
      <c r="AA135" s="21">
        <f>EXP(-LN(2)/25)*AA134+(1-EXP(-LN(2)/25))/(LN(2)/25)*Calculateur!V135*Calculateur!X135*VLOOKUP('Données projet'!$B$9,Paramètres!$A$1:$I$89,3,0)*0.475*44/12</f>
        <v>9.7764124335995319</v>
      </c>
      <c r="AB135" s="21">
        <f>EXP(-LN(2)/2)*AB134+(1-EXP(-LN(2)/2))/(LN(2)/2)*V135*Y135*VLOOKUP('Données projet'!$B$9,Paramètres!$A$1:$I$89,3,0)*0.475*44/12</f>
        <v>1.6644904633680795E-10</v>
      </c>
      <c r="AC135" s="22">
        <f t="shared" si="111"/>
        <v>62.420050900801307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-2.3942448024172334E-13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391.61151255507264</v>
      </c>
      <c r="AO135" s="59">
        <f t="shared" si="144"/>
        <v>365.61278905364281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107.94475855410778</v>
      </c>
      <c r="AV135" s="21">
        <f>EXP(-LN(2)/25)*AV134+(1-EXP(-LN(2)/25))/(LN(2)/25)*Calculateur!AQ135*Calculateur!AS135*VLOOKUP('Données projet'!$B$10,Paramètres!$A$1:$I$89,3,0)*0.475*44/12</f>
        <v>25.760301957012857</v>
      </c>
      <c r="AW135" s="21">
        <f>EXP(-LN(2)/2)*AW134+(1-EXP(-LN(2)/2))/(LN(2)/2)*AQ135*AT135*VLOOKUP('Données projet'!$B$10,Paramètres!$A$1:$I$89,3,0)*0.475*44/12</f>
        <v>3.3864009314985436E-3</v>
      </c>
      <c r="AX135" s="21">
        <f t="shared" si="114"/>
        <v>133.70844691205212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-2.9842794901924208E-13</v>
      </c>
      <c r="BE135" s="13">
        <f>BD135*VLOOKUP('Données projet'!$B$11,Paramètres!$A$1:$I$89,3,0)*VLOOKUP('Données projet'!$B$11,Paramètres!$A$1:$I$89,5,0)</f>
        <v>-2.839840362867108E-13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486.36809102684492</v>
      </c>
      <c r="BJ135" s="59">
        <f t="shared" si="146"/>
        <v>308.42890859885006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63.589718135807075</v>
      </c>
      <c r="BQ135" s="21">
        <f>EXP(-LN(2)/25)*BQ134+(1-EXP(-LN(2)/25))/(LN(2)/25)*Calculateur!BL135*Calculateur!BN135*VLOOKUP('Données projet'!$B$11,Paramètres!$A$1:$I$89,3,0)*0.475*44/12</f>
        <v>56.963932055321088</v>
      </c>
      <c r="BR135" s="21">
        <f>EXP(-LN(2)/2)*BR134+(1-EXP(-LN(2)/2))/(LN(2)/2)*BL135*BO135*VLOOKUP('Données projet'!$B$11,Paramètres!$A$1:$I$89,3,0)*0.475*44/12</f>
        <v>17.929509005229821</v>
      </c>
      <c r="BS135" s="22">
        <f t="shared" si="117"/>
        <v>138.48315919635797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6.8212102632969618E-13</v>
      </c>
      <c r="O136" s="13">
        <f>N136*VLOOKUP('Données projet'!$B$9,Paramètres!$A$1:$I$89,3,0)*VLOOKUP('Données projet'!$B$9,Paramètres!$A$1:$I$89,5,0)</f>
        <v>3.8130565371830017E-13</v>
      </c>
      <c r="P136" s="13">
        <f t="shared" si="141"/>
        <v>4.9019074112354236E-12</v>
      </c>
      <c r="Q136" s="20">
        <f t="shared" si="108"/>
        <v>9.2015960881277352E-12</v>
      </c>
      <c r="R136" s="59">
        <f t="shared" si="109"/>
        <v>284.3922316803426</v>
      </c>
      <c r="S136" s="59">
        <f ca="1">AVERAGE(OFFSET($R$3,0,0,'Données projet'!$E$9+1,1))-AVERAGE(OFFSET($H$3,0,0,'Données projet'!$E$9+1,1))</f>
        <v>418.8940806978344</v>
      </c>
      <c r="T136" s="59">
        <f t="shared" si="142"/>
        <v>553.49616487922378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51.61132882614568</v>
      </c>
      <c r="AA136" s="21">
        <f>EXP(-LN(2)/25)*AA135+(1-EXP(-LN(2)/25))/(LN(2)/25)*Calculateur!V136*Calculateur!X136*VLOOKUP('Données projet'!$B$9,Paramètres!$A$1:$I$89,3,0)*0.475*44/12</f>
        <v>9.5090759214835678</v>
      </c>
      <c r="AB136" s="21">
        <f>EXP(-LN(2)/2)*AB135+(1-EXP(-LN(2)/2))/(LN(2)/2)*V136*Y136*VLOOKUP('Données projet'!$B$9,Paramètres!$A$1:$I$89,3,0)*0.475*44/12</f>
        <v>1.1769724938679077E-10</v>
      </c>
      <c r="AC136" s="22">
        <f t="shared" si="111"/>
        <v>61.120404747746946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-2.3942448024172334E-13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391.61151255507264</v>
      </c>
      <c r="AO136" s="59">
        <f t="shared" si="144"/>
        <v>365.61278905364281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105.8280276786633</v>
      </c>
      <c r="AV136" s="21">
        <f>EXP(-LN(2)/25)*AV135+(1-EXP(-LN(2)/25))/(LN(2)/25)*Calculateur!AQ136*Calculateur!AS136*VLOOKUP('Données projet'!$B$10,Paramètres!$A$1:$I$89,3,0)*0.475*44/12</f>
        <v>25.055885145322936</v>
      </c>
      <c r="AW136" s="21">
        <f>EXP(-LN(2)/2)*AW135+(1-EXP(-LN(2)/2))/(LN(2)/2)*AQ136*AT136*VLOOKUP('Données projet'!$B$10,Paramètres!$A$1:$I$89,3,0)*0.475*44/12</f>
        <v>2.3945470624790613E-3</v>
      </c>
      <c r="AX136" s="21">
        <f t="shared" si="114"/>
        <v>130.8863073710487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-2.9842794901924208E-13</v>
      </c>
      <c r="BE136" s="13">
        <f>BD136*VLOOKUP('Données projet'!$B$11,Paramètres!$A$1:$I$89,3,0)*VLOOKUP('Données projet'!$B$11,Paramètres!$A$1:$I$89,5,0)</f>
        <v>-2.839840362867108E-13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486.36809102684492</v>
      </c>
      <c r="BJ136" s="59">
        <f t="shared" si="146"/>
        <v>308.42890859885006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62.342762549062172</v>
      </c>
      <c r="BQ136" s="21">
        <f>EXP(-LN(2)/25)*BQ135+(1-EXP(-LN(2)/25))/(LN(2)/25)*Calculateur!BL136*Calculateur!BN136*VLOOKUP('Données projet'!$B$11,Paramètres!$A$1:$I$89,3,0)*0.475*44/12</f>
        <v>55.406250337665341</v>
      </c>
      <c r="BR136" s="21">
        <f>EXP(-LN(2)/2)*BR135+(1-EXP(-LN(2)/2))/(LN(2)/2)*BL136*BO136*VLOOKUP('Données projet'!$B$11,Paramètres!$A$1:$I$89,3,0)*0.475*44/12</f>
        <v>12.678077400943277</v>
      </c>
      <c r="BS136" s="22">
        <f t="shared" si="117"/>
        <v>130.42709028767078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6.8212102632969618E-13</v>
      </c>
      <c r="O137" s="13">
        <f>N137*VLOOKUP('Données projet'!$B$9,Paramètres!$A$1:$I$89,3,0)*VLOOKUP('Données projet'!$B$9,Paramètres!$A$1:$I$89,5,0)</f>
        <v>3.8130565371830017E-13</v>
      </c>
      <c r="P137" s="13">
        <f t="shared" si="141"/>
        <v>4.9019074112354236E-12</v>
      </c>
      <c r="Q137" s="20">
        <f t="shared" si="108"/>
        <v>9.2015960881277352E-12</v>
      </c>
      <c r="R137" s="59">
        <f t="shared" si="109"/>
        <v>284.54733980471349</v>
      </c>
      <c r="S137" s="59">
        <f ca="1">AVERAGE(OFFSET($R$3,0,0,'Données projet'!$E$9+1,1))-AVERAGE(OFFSET($H$3,0,0,'Données projet'!$E$9+1,1))</f>
        <v>418.8940806978344</v>
      </c>
      <c r="T137" s="59">
        <f t="shared" si="142"/>
        <v>553.49616487922378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50.599262147667176</v>
      </c>
      <c r="AA137" s="21">
        <f>EXP(-LN(2)/25)*AA136+(1-EXP(-LN(2)/25))/(LN(2)/25)*Calculateur!V137*Calculateur!X137*VLOOKUP('Données projet'!$B$9,Paramètres!$A$1:$I$89,3,0)*0.475*44/12</f>
        <v>9.2490497403500296</v>
      </c>
      <c r="AB137" s="21">
        <f>EXP(-LN(2)/2)*AB136+(1-EXP(-LN(2)/2))/(LN(2)/2)*V137*Y137*VLOOKUP('Données projet'!$B$9,Paramètres!$A$1:$I$89,3,0)*0.475*44/12</f>
        <v>8.3224523168403974E-11</v>
      </c>
      <c r="AC137" s="22">
        <f t="shared" si="111"/>
        <v>59.848311888100433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-2.3942448024172334E-13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391.61151255507264</v>
      </c>
      <c r="AO137" s="59">
        <f t="shared" si="144"/>
        <v>365.61278905364281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103.75280460460795</v>
      </c>
      <c r="AV137" s="21">
        <f>EXP(-LN(2)/25)*AV136+(1-EXP(-LN(2)/25))/(LN(2)/25)*Calculateur!AQ137*Calculateur!AS137*VLOOKUP('Données projet'!$B$10,Paramètres!$A$1:$I$89,3,0)*0.475*44/12</f>
        <v>24.370730648392346</v>
      </c>
      <c r="AW137" s="21">
        <f>EXP(-LN(2)/2)*AW136+(1-EXP(-LN(2)/2))/(LN(2)/2)*AQ137*AT137*VLOOKUP('Données projet'!$B$10,Paramètres!$A$1:$I$89,3,0)*0.475*44/12</f>
        <v>1.6932004657492718E-3</v>
      </c>
      <c r="AX137" s="21">
        <f t="shared" si="114"/>
        <v>128.12522845346604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-2.9842794901924208E-13</v>
      </c>
      <c r="BE137" s="13">
        <f>BD137*VLOOKUP('Données projet'!$B$11,Paramètres!$A$1:$I$89,3,0)*VLOOKUP('Données projet'!$B$11,Paramètres!$A$1:$I$89,5,0)</f>
        <v>-2.839840362867108E-13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486.36809102684492</v>
      </c>
      <c r="BJ137" s="59">
        <f t="shared" si="146"/>
        <v>308.42890859885006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61.120259000805525</v>
      </c>
      <c r="BQ137" s="21">
        <f>EXP(-LN(2)/25)*BQ136+(1-EXP(-LN(2)/25))/(LN(2)/25)*Calculateur!BL137*Calculateur!BN137*VLOOKUP('Données projet'!$B$11,Paramètres!$A$1:$I$89,3,0)*0.475*44/12</f>
        <v>53.891163508493811</v>
      </c>
      <c r="BR137" s="21">
        <f>EXP(-LN(2)/2)*BR136+(1-EXP(-LN(2)/2))/(LN(2)/2)*BL137*BO137*VLOOKUP('Données projet'!$B$11,Paramètres!$A$1:$I$89,3,0)*0.475*44/12</f>
        <v>8.9647545026149107</v>
      </c>
      <c r="BS137" s="22">
        <f t="shared" si="117"/>
        <v>123.97617701191425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6.8212102632969618E-13</v>
      </c>
      <c r="O138" s="13">
        <f>N138*VLOOKUP('Données projet'!$B$9,Paramètres!$A$1:$I$89,3,0)*VLOOKUP('Données projet'!$B$9,Paramètres!$A$1:$I$89,5,0)</f>
        <v>3.8130565371830017E-13</v>
      </c>
      <c r="P138" s="13">
        <f t="shared" si="141"/>
        <v>4.9019074112354236E-12</v>
      </c>
      <c r="Q138" s="20">
        <f t="shared" si="108"/>
        <v>9.2015960881277352E-12</v>
      </c>
      <c r="R138" s="59">
        <f t="shared" si="109"/>
        <v>284.69975714989636</v>
      </c>
      <c r="S138" s="59">
        <f ca="1">AVERAGE(OFFSET($R$3,0,0,'Données projet'!$E$9+1,1))-AVERAGE(OFFSET($H$3,0,0,'Données projet'!$E$9+1,1))</f>
        <v>418.8940806978344</v>
      </c>
      <c r="T138" s="59">
        <f t="shared" si="142"/>
        <v>553.49616487922378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49.607041479453912</v>
      </c>
      <c r="AA138" s="21">
        <f>EXP(-LN(2)/25)*AA137+(1-EXP(-LN(2)/25))/(LN(2)/25)*Calculateur!V138*Calculateur!X138*VLOOKUP('Données projet'!$B$9,Paramètres!$A$1:$I$89,3,0)*0.475*44/12</f>
        <v>8.9961339888137708</v>
      </c>
      <c r="AB138" s="21">
        <f>EXP(-LN(2)/2)*AB137+(1-EXP(-LN(2)/2))/(LN(2)/2)*V138*Y138*VLOOKUP('Données projet'!$B$9,Paramètres!$A$1:$I$89,3,0)*0.475*44/12</f>
        <v>5.8848624693395383E-11</v>
      </c>
      <c r="AC138" s="22">
        <f t="shared" si="111"/>
        <v>58.603175468326526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-2.3942448024172334E-13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391.61151255507264</v>
      </c>
      <c r="AO138" s="59">
        <f t="shared" si="144"/>
        <v>365.61278905364281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101.71827538927371</v>
      </c>
      <c r="AV138" s="21">
        <f>EXP(-LN(2)/25)*AV137+(1-EXP(-LN(2)/25))/(LN(2)/25)*Calculateur!AQ138*Calculateur!AS138*VLOOKUP('Données projet'!$B$10,Paramètres!$A$1:$I$89,3,0)*0.475*44/12</f>
        <v>23.704311737211032</v>
      </c>
      <c r="AW138" s="21">
        <f>EXP(-LN(2)/2)*AW137+(1-EXP(-LN(2)/2))/(LN(2)/2)*AQ138*AT138*VLOOKUP('Données projet'!$B$10,Paramètres!$A$1:$I$89,3,0)*0.475*44/12</f>
        <v>1.1972735312395307E-3</v>
      </c>
      <c r="AX138" s="21">
        <f t="shared" si="114"/>
        <v>125.42378440001598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-2.9842794901924208E-13</v>
      </c>
      <c r="BE138" s="13">
        <f>BD138*VLOOKUP('Données projet'!$B$11,Paramètres!$A$1:$I$89,3,0)*VLOOKUP('Données projet'!$B$11,Paramètres!$A$1:$I$89,5,0)</f>
        <v>-2.839840362867108E-13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486.36809102684492</v>
      </c>
      <c r="BJ138" s="59">
        <f t="shared" si="146"/>
        <v>308.42890859885006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59.921728001476659</v>
      </c>
      <c r="BQ138" s="21">
        <f>EXP(-LN(2)/25)*BQ137+(1-EXP(-LN(2)/25))/(LN(2)/25)*Calculateur!BL138*Calculateur!BN138*VLOOKUP('Données projet'!$B$11,Paramètres!$A$1:$I$89,3,0)*0.475*44/12</f>
        <v>52.417506808340931</v>
      </c>
      <c r="BR138" s="21">
        <f>EXP(-LN(2)/2)*BR137+(1-EXP(-LN(2)/2))/(LN(2)/2)*BL138*BO138*VLOOKUP('Données projet'!$B$11,Paramètres!$A$1:$I$89,3,0)*0.475*44/12</f>
        <v>6.3390387004716384</v>
      </c>
      <c r="BS138" s="22">
        <f t="shared" si="117"/>
        <v>118.67827351028922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6.8212102632969618E-13</v>
      </c>
      <c r="O139" s="13">
        <f>N139*VLOOKUP('Données projet'!$B$9,Paramètres!$A$1:$I$89,3,0)*VLOOKUP('Données projet'!$B$9,Paramètres!$A$1:$I$89,5,0)</f>
        <v>3.8130565371830017E-13</v>
      </c>
      <c r="P139" s="13">
        <f t="shared" si="141"/>
        <v>4.9019074112354236E-12</v>
      </c>
      <c r="Q139" s="20">
        <f t="shared" si="108"/>
        <v>9.2015960881277352E-12</v>
      </c>
      <c r="R139" s="59">
        <f t="shared" si="109"/>
        <v>284.84953039489443</v>
      </c>
      <c r="S139" s="59">
        <f ca="1">AVERAGE(OFFSET($R$3,0,0,'Données projet'!$E$9+1,1))-AVERAGE(OFFSET($H$3,0,0,'Données projet'!$E$9+1,1))</f>
        <v>418.8940806978344</v>
      </c>
      <c r="T139" s="59">
        <f t="shared" si="142"/>
        <v>553.49616487922378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48.634277653349464</v>
      </c>
      <c r="AA139" s="21">
        <f>EXP(-LN(2)/25)*AA138+(1-EXP(-LN(2)/25))/(LN(2)/25)*Calculateur!V139*Calculateur!X139*VLOOKUP('Données projet'!$B$9,Paramètres!$A$1:$I$89,3,0)*0.475*44/12</f>
        <v>8.750134231803532</v>
      </c>
      <c r="AB139" s="21">
        <f>EXP(-LN(2)/2)*AB138+(1-EXP(-LN(2)/2))/(LN(2)/2)*V139*Y139*VLOOKUP('Données projet'!$B$9,Paramètres!$A$1:$I$89,3,0)*0.475*44/12</f>
        <v>4.1612261584201987E-11</v>
      </c>
      <c r="AC139" s="22">
        <f t="shared" si="111"/>
        <v>57.384411885194609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-2.3942448024172334E-13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391.61151255507264</v>
      </c>
      <c r="AO139" s="59">
        <f t="shared" si="144"/>
        <v>365.61278905364281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99.723642050911906</v>
      </c>
      <c r="AV139" s="21">
        <f>EXP(-LN(2)/25)*AV138+(1-EXP(-LN(2)/25))/(LN(2)/25)*Calculateur!AQ139*Calculateur!AS139*VLOOKUP('Données projet'!$B$10,Paramètres!$A$1:$I$89,3,0)*0.475*44/12</f>
        <v>23.056116086201421</v>
      </c>
      <c r="AW139" s="21">
        <f>EXP(-LN(2)/2)*AW138+(1-EXP(-LN(2)/2))/(LN(2)/2)*AQ139*AT139*VLOOKUP('Données projet'!$B$10,Paramètres!$A$1:$I$89,3,0)*0.475*44/12</f>
        <v>8.4660023287463589E-4</v>
      </c>
      <c r="AX139" s="21">
        <f t="shared" si="114"/>
        <v>122.78060473734621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-2.9842794901924208E-13</v>
      </c>
      <c r="BE139" s="13">
        <f>BD139*VLOOKUP('Données projet'!$B$11,Paramètres!$A$1:$I$89,3,0)*VLOOKUP('Données projet'!$B$11,Paramètres!$A$1:$I$89,5,0)</f>
        <v>-2.839840362867108E-13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486.36809102684492</v>
      </c>
      <c r="BJ139" s="59">
        <f t="shared" si="146"/>
        <v>308.42890859885006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58.746699464012906</v>
      </c>
      <c r="BQ139" s="21">
        <f>EXP(-LN(2)/25)*BQ138+(1-EXP(-LN(2)/25))/(LN(2)/25)*Calculateur!BL139*Calculateur!BN139*VLOOKUP('Données projet'!$B$11,Paramètres!$A$1:$I$89,3,0)*0.475*44/12</f>
        <v>50.984147328149966</v>
      </c>
      <c r="BR139" s="21">
        <f>EXP(-LN(2)/2)*BR138+(1-EXP(-LN(2)/2))/(LN(2)/2)*BL139*BO139*VLOOKUP('Données projet'!$B$11,Paramètres!$A$1:$I$89,3,0)*0.475*44/12</f>
        <v>4.4823772513074553</v>
      </c>
      <c r="BS139" s="22">
        <f t="shared" si="117"/>
        <v>114.21322404347033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6.8212102632969618E-13</v>
      </c>
      <c r="O140" s="13">
        <f>N140*VLOOKUP('Données projet'!$B$9,Paramètres!$A$1:$I$89,3,0)*VLOOKUP('Données projet'!$B$9,Paramètres!$A$1:$I$89,5,0)</f>
        <v>3.8130565371830017E-13</v>
      </c>
      <c r="P140" s="13">
        <f t="shared" si="141"/>
        <v>4.9019074112354236E-12</v>
      </c>
      <c r="Q140" s="20">
        <f t="shared" si="108"/>
        <v>9.2015960881277352E-12</v>
      </c>
      <c r="R140" s="59">
        <f t="shared" si="109"/>
        <v>284.99670540893459</v>
      </c>
      <c r="S140" s="59">
        <f ca="1">AVERAGE(OFFSET($R$3,0,0,'Données projet'!$E$9+1,1))-AVERAGE(OFFSET($H$3,0,0,'Données projet'!$E$9+1,1))</f>
        <v>418.8940806978344</v>
      </c>
      <c r="T140" s="59">
        <f t="shared" si="142"/>
        <v>553.49616487922378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47.680589132547574</v>
      </c>
      <c r="AA140" s="21">
        <f>EXP(-LN(2)/25)*AA139+(1-EXP(-LN(2)/25))/(LN(2)/25)*Calculateur!V140*Calculateur!X140*VLOOKUP('Données projet'!$B$9,Paramètres!$A$1:$I$89,3,0)*0.475*44/12</f>
        <v>8.5108613510853033</v>
      </c>
      <c r="AB140" s="21">
        <f>EXP(-LN(2)/2)*AB139+(1-EXP(-LN(2)/2))/(LN(2)/2)*V140*Y140*VLOOKUP('Données projet'!$B$9,Paramètres!$A$1:$I$89,3,0)*0.475*44/12</f>
        <v>2.9424312346697691E-11</v>
      </c>
      <c r="AC140" s="22">
        <f t="shared" si="111"/>
        <v>56.191450483662301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-2.3942448024172334E-13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391.61151255507264</v>
      </c>
      <c r="AO140" s="59">
        <f t="shared" si="144"/>
        <v>365.61278905364281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97.768122255709159</v>
      </c>
      <c r="AV140" s="21">
        <f>EXP(-LN(2)/25)*AV139+(1-EXP(-LN(2)/25))/(LN(2)/25)*Calculateur!AQ140*Calculateur!AS140*VLOOKUP('Données projet'!$B$10,Paramètres!$A$1:$I$89,3,0)*0.475*44/12</f>
        <v>22.425645379355792</v>
      </c>
      <c r="AW140" s="21">
        <f>EXP(-LN(2)/2)*AW139+(1-EXP(-LN(2)/2))/(LN(2)/2)*AQ140*AT140*VLOOKUP('Données projet'!$B$10,Paramètres!$A$1:$I$89,3,0)*0.475*44/12</f>
        <v>5.9863676561976533E-4</v>
      </c>
      <c r="AX140" s="21">
        <f t="shared" si="114"/>
        <v>120.19436627183056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-2.9842794901924208E-13</v>
      </c>
      <c r="BE140" s="13">
        <f>BD140*VLOOKUP('Données projet'!$B$11,Paramètres!$A$1:$I$89,3,0)*VLOOKUP('Données projet'!$B$11,Paramètres!$A$1:$I$89,5,0)</f>
        <v>-2.839840362867108E-13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486.36809102684492</v>
      </c>
      <c r="BJ140" s="59">
        <f t="shared" si="146"/>
        <v>308.42890859885006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57.594712519472175</v>
      </c>
      <c r="BQ140" s="21">
        <f>EXP(-LN(2)/25)*BQ139+(1-EXP(-LN(2)/25))/(LN(2)/25)*Calculateur!BL140*Calculateur!BN140*VLOOKUP('Données projet'!$B$11,Paramètres!$A$1:$I$89,3,0)*0.475*44/12</f>
        <v>49.589983138321927</v>
      </c>
      <c r="BR140" s="21">
        <f>EXP(-LN(2)/2)*BR139+(1-EXP(-LN(2)/2))/(LN(2)/2)*BL140*BO140*VLOOKUP('Données projet'!$B$11,Paramètres!$A$1:$I$89,3,0)*0.475*44/12</f>
        <v>3.1695193502358192</v>
      </c>
      <c r="BS140" s="22">
        <f t="shared" si="117"/>
        <v>110.35421500802991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6.8212102632969618E-13</v>
      </c>
      <c r="O141" s="13">
        <f>N141*VLOOKUP('Données projet'!$B$9,Paramètres!$A$1:$I$89,3,0)*VLOOKUP('Données projet'!$B$9,Paramètres!$A$1:$I$89,5,0)</f>
        <v>3.8130565371830017E-13</v>
      </c>
      <c r="P141" s="13">
        <f t="shared" si="141"/>
        <v>4.9019074112354236E-12</v>
      </c>
      <c r="Q141" s="20">
        <f t="shared" si="108"/>
        <v>9.2015960881277352E-12</v>
      </c>
      <c r="R141" s="59">
        <f t="shared" si="109"/>
        <v>285.14132726551514</v>
      </c>
      <c r="S141" s="59">
        <f ca="1">AVERAGE(OFFSET($R$3,0,0,'Données projet'!$E$9+1,1))-AVERAGE(OFFSET($H$3,0,0,'Données projet'!$E$9+1,1))</f>
        <v>418.8940806978344</v>
      </c>
      <c r="T141" s="59">
        <f t="shared" si="142"/>
        <v>553.49616487922378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46.745601861946049</v>
      </c>
      <c r="AA141" s="21">
        <f>EXP(-LN(2)/25)*AA140+(1-EXP(-LN(2)/25))/(LN(2)/25)*Calculateur!V141*Calculateur!X141*VLOOKUP('Données projet'!$B$9,Paramètres!$A$1:$I$89,3,0)*0.475*44/12</f>
        <v>8.2781313998731285</v>
      </c>
      <c r="AB141" s="21">
        <f>EXP(-LN(2)/2)*AB140+(1-EXP(-LN(2)/2))/(LN(2)/2)*V141*Y141*VLOOKUP('Données projet'!$B$9,Paramètres!$A$1:$I$89,3,0)*0.475*44/12</f>
        <v>2.0806130792100993E-11</v>
      </c>
      <c r="AC141" s="22">
        <f t="shared" si="111"/>
        <v>55.023733261839979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-2.3942448024172334E-13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391.61151255507264</v>
      </c>
      <c r="AO141" s="59">
        <f t="shared" si="144"/>
        <v>365.61278905364281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95.850949010941036</v>
      </c>
      <c r="AV141" s="21">
        <f>EXP(-LN(2)/25)*AV140+(1-EXP(-LN(2)/25))/(LN(2)/25)*Calculateur!AQ141*Calculateur!AS141*VLOOKUP('Données projet'!$B$10,Paramètres!$A$1:$I$89,3,0)*0.475*44/12</f>
        <v>21.812414927143873</v>
      </c>
      <c r="AW141" s="21">
        <f>EXP(-LN(2)/2)*AW140+(1-EXP(-LN(2)/2))/(LN(2)/2)*AQ141*AT141*VLOOKUP('Données projet'!$B$10,Paramètres!$A$1:$I$89,3,0)*0.475*44/12</f>
        <v>4.2330011643731795E-4</v>
      </c>
      <c r="AX141" s="21">
        <f t="shared" si="114"/>
        <v>117.66378723820135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-2.9842794901924208E-13</v>
      </c>
      <c r="BE141" s="13">
        <f>BD141*VLOOKUP('Données projet'!$B$11,Paramètres!$A$1:$I$89,3,0)*VLOOKUP('Données projet'!$B$11,Paramètres!$A$1:$I$89,5,0)</f>
        <v>-2.839840362867108E-13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486.36809102684492</v>
      </c>
      <c r="BJ141" s="59">
        <f t="shared" si="146"/>
        <v>308.42890859885006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56.465315336271232</v>
      </c>
      <c r="BQ141" s="21">
        <f>EXP(-LN(2)/25)*BQ140+(1-EXP(-LN(2)/25))/(LN(2)/25)*Calculateur!BL141*Calculateur!BN141*VLOOKUP('Données projet'!$B$11,Paramètres!$A$1:$I$89,3,0)*0.475*44/12</f>
        <v>48.233942441580638</v>
      </c>
      <c r="BR141" s="21">
        <f>EXP(-LN(2)/2)*BR140+(1-EXP(-LN(2)/2))/(LN(2)/2)*BL141*BO141*VLOOKUP('Données projet'!$B$11,Paramètres!$A$1:$I$89,3,0)*0.475*44/12</f>
        <v>2.2411886256537277</v>
      </c>
      <c r="BS141" s="22">
        <f t="shared" si="117"/>
        <v>106.9404464035056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6.8212102632969618E-13</v>
      </c>
      <c r="O142" s="13">
        <f>N142*VLOOKUP('Données projet'!$B$9,Paramètres!$A$1:$I$89,3,0)*VLOOKUP('Données projet'!$B$9,Paramètres!$A$1:$I$89,5,0)</f>
        <v>3.8130565371830017E-13</v>
      </c>
      <c r="P142" s="13">
        <f t="shared" si="141"/>
        <v>4.9019074112354236E-12</v>
      </c>
      <c r="Q142" s="20">
        <f t="shared" si="108"/>
        <v>9.2015960881277352E-12</v>
      </c>
      <c r="R142" s="59">
        <f t="shared" si="109"/>
        <v>285.2834402562101</v>
      </c>
      <c r="S142" s="59">
        <f ca="1">AVERAGE(OFFSET($R$3,0,0,'Données projet'!$E$9+1,1))-AVERAGE(OFFSET($H$3,0,0,'Données projet'!$E$9+1,1))</f>
        <v>418.8940806978344</v>
      </c>
      <c r="T142" s="59">
        <f t="shared" si="142"/>
        <v>553.49616487922378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45.828949121435095</v>
      </c>
      <c r="AA142" s="21">
        <f>EXP(-LN(2)/25)*AA141+(1-EXP(-LN(2)/25))/(LN(2)/25)*Calculateur!V142*Calculateur!X142*VLOOKUP('Données projet'!$B$9,Paramètres!$A$1:$I$89,3,0)*0.475*44/12</f>
        <v>8.051765461415588</v>
      </c>
      <c r="AB142" s="21">
        <f>EXP(-LN(2)/2)*AB141+(1-EXP(-LN(2)/2))/(LN(2)/2)*V142*Y142*VLOOKUP('Données projet'!$B$9,Paramètres!$A$1:$I$89,3,0)*0.475*44/12</f>
        <v>1.4712156173348846E-11</v>
      </c>
      <c r="AC142" s="22">
        <f t="shared" si="111"/>
        <v>53.880714582865401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-2.3942448024172334E-13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391.61151255507264</v>
      </c>
      <c r="AO142" s="59">
        <f t="shared" si="144"/>
        <v>365.61278905364281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93.971370364142601</v>
      </c>
      <c r="AV142" s="21">
        <f>EXP(-LN(2)/25)*AV141+(1-EXP(-LN(2)/25))/(LN(2)/25)*Calculateur!AQ142*Calculateur!AS142*VLOOKUP('Données projet'!$B$10,Paramètres!$A$1:$I$89,3,0)*0.475*44/12</f>
        <v>21.215953293896074</v>
      </c>
      <c r="AW142" s="21">
        <f>EXP(-LN(2)/2)*AW141+(1-EXP(-LN(2)/2))/(LN(2)/2)*AQ142*AT142*VLOOKUP('Données projet'!$B$10,Paramètres!$A$1:$I$89,3,0)*0.475*44/12</f>
        <v>2.9931838280988267E-4</v>
      </c>
      <c r="AX142" s="21">
        <f t="shared" si="114"/>
        <v>115.18762297642149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-2.9842794901924208E-13</v>
      </c>
      <c r="BE142" s="13">
        <f>BD142*VLOOKUP('Données projet'!$B$11,Paramètres!$A$1:$I$89,3,0)*VLOOKUP('Données projet'!$B$11,Paramètres!$A$1:$I$89,5,0)</f>
        <v>-2.839840362867108E-13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486.36809102684492</v>
      </c>
      <c r="BJ142" s="59">
        <f t="shared" si="146"/>
        <v>308.42890859885006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55.358064942968596</v>
      </c>
      <c r="BQ142" s="21">
        <f>EXP(-LN(2)/25)*BQ141+(1-EXP(-LN(2)/25))/(LN(2)/25)*Calculateur!BL142*Calculateur!BN142*VLOOKUP('Données projet'!$B$11,Paramètres!$A$1:$I$89,3,0)*0.475*44/12</f>
        <v>46.914982749002824</v>
      </c>
      <c r="BR142" s="21">
        <f>EXP(-LN(2)/2)*BR141+(1-EXP(-LN(2)/2))/(LN(2)/2)*BL142*BO142*VLOOKUP('Données projet'!$B$11,Paramètres!$A$1:$I$89,3,0)*0.475*44/12</f>
        <v>1.5847596751179096</v>
      </c>
      <c r="BS142" s="22">
        <f t="shared" si="117"/>
        <v>103.85780736708932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6.8212102632969618E-13</v>
      </c>
      <c r="O143" s="13">
        <f>N143*VLOOKUP('Données projet'!$B$9,Paramètres!$A$1:$I$89,3,0)*VLOOKUP('Données projet'!$B$9,Paramètres!$A$1:$I$89,5,0)</f>
        <v>3.8130565371830017E-13</v>
      </c>
      <c r="P143" s="13">
        <f t="shared" si="141"/>
        <v>4.9019074112354236E-12</v>
      </c>
      <c r="Q143" s="20">
        <f t="shared" si="108"/>
        <v>9.2015960881277352E-12</v>
      </c>
      <c r="R143" s="59">
        <f t="shared" si="109"/>
        <v>285.42308790423357</v>
      </c>
      <c r="S143" s="59">
        <f ca="1">AVERAGE(OFFSET($R$3,0,0,'Données projet'!$E$9+1,1))-AVERAGE(OFFSET($H$3,0,0,'Données projet'!$E$9+1,1))</f>
        <v>418.8940806978344</v>
      </c>
      <c r="T143" s="59">
        <f t="shared" si="142"/>
        <v>553.49616487922378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44.9302713820626</v>
      </c>
      <c r="AA143" s="21">
        <f>EXP(-LN(2)/25)*AA142+(1-EXP(-LN(2)/25))/(LN(2)/25)*Calculateur!V143*Calculateur!X143*VLOOKUP('Données projet'!$B$9,Paramètres!$A$1:$I$89,3,0)*0.475*44/12</f>
        <v>7.831589511449236</v>
      </c>
      <c r="AB143" s="21">
        <f>EXP(-LN(2)/2)*AB142+(1-EXP(-LN(2)/2))/(LN(2)/2)*V143*Y143*VLOOKUP('Données projet'!$B$9,Paramètres!$A$1:$I$89,3,0)*0.475*44/12</f>
        <v>1.0403065396050497E-11</v>
      </c>
      <c r="AC143" s="22">
        <f t="shared" si="111"/>
        <v>52.76186089352224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-2.3942448024172334E-13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391.61151255507264</v>
      </c>
      <c r="AO143" s="59">
        <f t="shared" si="144"/>
        <v>365.61278905364281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92.128649108178109</v>
      </c>
      <c r="AV143" s="21">
        <f>EXP(-LN(2)/25)*AV142+(1-EXP(-LN(2)/25))/(LN(2)/25)*Calculateur!AQ143*Calculateur!AS143*VLOOKUP('Données projet'!$B$10,Paramètres!$A$1:$I$89,3,0)*0.475*44/12</f>
        <v>20.635801935375991</v>
      </c>
      <c r="AW143" s="21">
        <f>EXP(-LN(2)/2)*AW142+(1-EXP(-LN(2)/2))/(LN(2)/2)*AQ143*AT143*VLOOKUP('Données projet'!$B$10,Paramètres!$A$1:$I$89,3,0)*0.475*44/12</f>
        <v>2.1165005821865897E-4</v>
      </c>
      <c r="AX143" s="21">
        <f t="shared" si="114"/>
        <v>112.76466269361232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-2.9842794901924208E-13</v>
      </c>
      <c r="BE143" s="13">
        <f>BD143*VLOOKUP('Données projet'!$B$11,Paramètres!$A$1:$I$89,3,0)*VLOOKUP('Données projet'!$B$11,Paramètres!$A$1:$I$89,5,0)</f>
        <v>-2.839840362867108E-13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486.36809102684492</v>
      </c>
      <c r="BJ143" s="59">
        <f t="shared" si="146"/>
        <v>308.42890859885006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54.27252705452257</v>
      </c>
      <c r="BQ143" s="21">
        <f>EXP(-LN(2)/25)*BQ142+(1-EXP(-LN(2)/25))/(LN(2)/25)*Calculateur!BL143*Calculateur!BN143*VLOOKUP('Données projet'!$B$11,Paramètres!$A$1:$I$89,3,0)*0.475*44/12</f>
        <v>45.632090078579623</v>
      </c>
      <c r="BR143" s="21">
        <f>EXP(-LN(2)/2)*BR142+(1-EXP(-LN(2)/2))/(LN(2)/2)*BL143*BO143*VLOOKUP('Données projet'!$B$11,Paramètres!$A$1:$I$89,3,0)*0.475*44/12</f>
        <v>1.1205943128268638</v>
      </c>
      <c r="BS143" s="22">
        <f t="shared" si="117"/>
        <v>101.02521144592906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6.8212102632969618E-13</v>
      </c>
      <c r="O144" s="13">
        <f>N144*VLOOKUP('Données projet'!$B$9,Paramètres!$A$1:$I$89,3,0)*VLOOKUP('Données projet'!$B$9,Paramètres!$A$1:$I$89,5,0)</f>
        <v>3.8130565371830017E-13</v>
      </c>
      <c r="P144" s="13">
        <f t="shared" si="141"/>
        <v>4.9019074112354236E-12</v>
      </c>
      <c r="Q144" s="20">
        <f t="shared" si="108"/>
        <v>9.2015960881277352E-12</v>
      </c>
      <c r="R144" s="59">
        <f t="shared" si="109"/>
        <v>285.56031297776923</v>
      </c>
      <c r="S144" s="59">
        <f ca="1">AVERAGE(OFFSET($R$3,0,0,'Données projet'!$E$9+1,1))-AVERAGE(OFFSET($H$3,0,0,'Données projet'!$E$9+1,1))</f>
        <v>418.8940806978344</v>
      </c>
      <c r="T144" s="59">
        <f t="shared" si="142"/>
        <v>553.49616487922378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44.049216165019899</v>
      </c>
      <c r="AA144" s="21">
        <f>EXP(-LN(2)/25)*AA143+(1-EXP(-LN(2)/25))/(LN(2)/25)*Calculateur!V144*Calculateur!X144*VLOOKUP('Données projet'!$B$9,Paramètres!$A$1:$I$89,3,0)*0.475*44/12</f>
        <v>7.6174342844132639</v>
      </c>
      <c r="AB144" s="21">
        <f>EXP(-LN(2)/2)*AB143+(1-EXP(-LN(2)/2))/(LN(2)/2)*V144*Y144*VLOOKUP('Données projet'!$B$9,Paramètres!$A$1:$I$89,3,0)*0.475*44/12</f>
        <v>7.3560780866744229E-12</v>
      </c>
      <c r="AC144" s="22">
        <f t="shared" si="111"/>
        <v>51.666650449440517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-2.3942448024172334E-13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391.61151255507264</v>
      </c>
      <c r="AO144" s="59">
        <f t="shared" si="144"/>
        <v>365.61278905364281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90.322062492094105</v>
      </c>
      <c r="AV144" s="21">
        <f>EXP(-LN(2)/25)*AV143+(1-EXP(-LN(2)/25))/(LN(2)/25)*Calculateur!AQ144*Calculateur!AS144*VLOOKUP('Données projet'!$B$10,Paramètres!$A$1:$I$89,3,0)*0.475*44/12</f>
        <v>20.071514846263476</v>
      </c>
      <c r="AW144" s="21">
        <f>EXP(-LN(2)/2)*AW143+(1-EXP(-LN(2)/2))/(LN(2)/2)*AQ144*AT144*VLOOKUP('Données projet'!$B$10,Paramètres!$A$1:$I$89,3,0)*0.475*44/12</f>
        <v>1.4965919140494133E-4</v>
      </c>
      <c r="AX144" s="21">
        <f t="shared" si="114"/>
        <v>110.39372699754898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-2.9842794901924208E-13</v>
      </c>
      <c r="BE144" s="13">
        <f>BD144*VLOOKUP('Données projet'!$B$11,Paramètres!$A$1:$I$89,3,0)*VLOOKUP('Données projet'!$B$11,Paramètres!$A$1:$I$89,5,0)</f>
        <v>-2.839840362867108E-13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486.36809102684492</v>
      </c>
      <c r="BJ144" s="59">
        <f t="shared" si="146"/>
        <v>308.42890859885006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53.208275901956242</v>
      </c>
      <c r="BQ144" s="21">
        <f>EXP(-LN(2)/25)*BQ143+(1-EXP(-LN(2)/25))/(LN(2)/25)*Calculateur!BL144*Calculateur!BN144*VLOOKUP('Données projet'!$B$11,Paramètres!$A$1:$I$89,3,0)*0.475*44/12</f>
        <v>44.384278175693538</v>
      </c>
      <c r="BR144" s="21">
        <f>EXP(-LN(2)/2)*BR143+(1-EXP(-LN(2)/2))/(LN(2)/2)*BL144*BO144*VLOOKUP('Données projet'!$B$11,Paramètres!$A$1:$I$89,3,0)*0.475*44/12</f>
        <v>0.7923798375589548</v>
      </c>
      <c r="BS144" s="22">
        <f t="shared" si="117"/>
        <v>98.384933915208734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6.8212102632969618E-13</v>
      </c>
      <c r="O145" s="13">
        <f>N145*VLOOKUP('Données projet'!$B$9,Paramètres!$A$1:$I$89,3,0)*VLOOKUP('Données projet'!$B$9,Paramètres!$A$1:$I$89,5,0)</f>
        <v>3.8130565371830017E-13</v>
      </c>
      <c r="P145" s="13">
        <f t="shared" si="141"/>
        <v>4.9019074112354236E-12</v>
      </c>
      <c r="Q145" s="20">
        <f t="shared" si="108"/>
        <v>9.2015960881277352E-12</v>
      </c>
      <c r="R145" s="59">
        <f t="shared" si="109"/>
        <v>285.69515750306829</v>
      </c>
      <c r="S145" s="59">
        <f ca="1">AVERAGE(OFFSET($R$3,0,0,'Données projet'!$E$9+1,1))-AVERAGE(OFFSET($H$3,0,0,'Données projet'!$E$9+1,1))</f>
        <v>418.8940806978344</v>
      </c>
      <c r="T145" s="59">
        <f t="shared" si="142"/>
        <v>553.49616487922378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43.185437903392788</v>
      </c>
      <c r="AA145" s="21">
        <f>EXP(-LN(2)/25)*AA144+(1-EXP(-LN(2)/25))/(LN(2)/25)*Calculateur!V145*Calculateur!X145*VLOOKUP('Données projet'!$B$9,Paramètres!$A$1:$I$89,3,0)*0.475*44/12</f>
        <v>7.4091351433225237</v>
      </c>
      <c r="AB145" s="21">
        <f>EXP(-LN(2)/2)*AB144+(1-EXP(-LN(2)/2))/(LN(2)/2)*V145*Y145*VLOOKUP('Données projet'!$B$9,Paramètres!$A$1:$I$89,3,0)*0.475*44/12</f>
        <v>5.2015326980252484E-12</v>
      </c>
      <c r="AC145" s="22">
        <f t="shared" si="111"/>
        <v>50.594573046720512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-2.3942448024172334E-13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391.61151255507264</v>
      </c>
      <c r="AO145" s="59">
        <f t="shared" si="144"/>
        <v>365.61278905364281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88.550901937642479</v>
      </c>
      <c r="AV145" s="21">
        <f>EXP(-LN(2)/25)*AV144+(1-EXP(-LN(2)/25))/(LN(2)/25)*Calculateur!AQ145*Calculateur!AS145*VLOOKUP('Données projet'!$B$10,Paramètres!$A$1:$I$89,3,0)*0.475*44/12</f>
        <v>19.522658217277311</v>
      </c>
      <c r="AW145" s="21">
        <f>EXP(-LN(2)/2)*AW144+(1-EXP(-LN(2)/2))/(LN(2)/2)*AQ145*AT145*VLOOKUP('Données projet'!$B$10,Paramètres!$A$1:$I$89,3,0)*0.475*44/12</f>
        <v>1.0582502910932949E-4</v>
      </c>
      <c r="AX145" s="21">
        <f t="shared" si="114"/>
        <v>108.0736659799489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-2.9842794901924208E-13</v>
      </c>
      <c r="BE145" s="13">
        <f>BD145*VLOOKUP('Données projet'!$B$11,Paramètres!$A$1:$I$89,3,0)*VLOOKUP('Données projet'!$B$11,Paramètres!$A$1:$I$89,5,0)</f>
        <v>-2.839840362867108E-13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486.36809102684492</v>
      </c>
      <c r="BJ145" s="59">
        <f t="shared" si="146"/>
        <v>308.42890859885006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52.164894065362631</v>
      </c>
      <c r="BQ145" s="21">
        <f>EXP(-LN(2)/25)*BQ144+(1-EXP(-LN(2)/25))/(LN(2)/25)*Calculateur!BL145*Calculateur!BN145*VLOOKUP('Données projet'!$B$11,Paramètres!$A$1:$I$89,3,0)*0.475*44/12</f>
        <v>43.170587754911452</v>
      </c>
      <c r="BR145" s="21">
        <f>EXP(-LN(2)/2)*BR144+(1-EXP(-LN(2)/2))/(LN(2)/2)*BL145*BO145*VLOOKUP('Données projet'!$B$11,Paramètres!$A$1:$I$89,3,0)*0.475*44/12</f>
        <v>0.56029715641343192</v>
      </c>
      <c r="BS145" s="22">
        <f t="shared" si="117"/>
        <v>95.895778976687509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6.8212102632969618E-13</v>
      </c>
      <c r="O146" s="13">
        <f>N146*VLOOKUP('Données projet'!$B$9,Paramètres!$A$1:$I$89,3,0)*VLOOKUP('Données projet'!$B$9,Paramètres!$A$1:$I$89,5,0)</f>
        <v>3.8130565371830017E-13</v>
      </c>
      <c r="P146" s="13">
        <f t="shared" si="141"/>
        <v>4.9019074112354236E-12</v>
      </c>
      <c r="Q146" s="20">
        <f t="shared" si="108"/>
        <v>9.2015960881277352E-12</v>
      </c>
      <c r="R146" s="59">
        <f t="shared" si="109"/>
        <v>285.82766277732065</v>
      </c>
      <c r="S146" s="59">
        <f ca="1">AVERAGE(OFFSET($R$3,0,0,'Données projet'!$E$9+1,1))-AVERAGE(OFFSET($H$3,0,0,'Données projet'!$E$9+1,1))</f>
        <v>418.8940806978344</v>
      </c>
      <c r="T146" s="59">
        <f t="shared" si="142"/>
        <v>553.49616487922378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42.338597806623469</v>
      </c>
      <c r="AA146" s="21">
        <f>EXP(-LN(2)/25)*AA145+(1-EXP(-LN(2)/25))/(LN(2)/25)*Calculateur!V146*Calculateur!X146*VLOOKUP('Données projet'!$B$9,Paramètres!$A$1:$I$89,3,0)*0.475*44/12</f>
        <v>7.2065319531988861</v>
      </c>
      <c r="AB146" s="21">
        <f>EXP(-LN(2)/2)*AB145+(1-EXP(-LN(2)/2))/(LN(2)/2)*V146*Y146*VLOOKUP('Données projet'!$B$9,Paramètres!$A$1:$I$89,3,0)*0.475*44/12</f>
        <v>3.6780390433372114E-12</v>
      </c>
      <c r="AC146" s="22">
        <f t="shared" si="111"/>
        <v>49.545129759826033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-2.3942448024172334E-13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391.61151255507264</v>
      </c>
      <c r="AO146" s="59">
        <f t="shared" si="144"/>
        <v>365.61278905364281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86.814472761362381</v>
      </c>
      <c r="AV146" s="21">
        <f>EXP(-LN(2)/25)*AV145+(1-EXP(-LN(2)/25))/(LN(2)/25)*Calculateur!AQ146*Calculateur!AS146*VLOOKUP('Données projet'!$B$10,Paramètres!$A$1:$I$89,3,0)*0.475*44/12</f>
        <v>18.988810101673888</v>
      </c>
      <c r="AW146" s="21">
        <f>EXP(-LN(2)/2)*AW145+(1-EXP(-LN(2)/2))/(LN(2)/2)*AQ146*AT146*VLOOKUP('Données projet'!$B$10,Paramètres!$A$1:$I$89,3,0)*0.475*44/12</f>
        <v>7.4829595702470667E-5</v>
      </c>
      <c r="AX146" s="21">
        <f t="shared" si="114"/>
        <v>105.80335769263198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-2.9842794901924208E-13</v>
      </c>
      <c r="BE146" s="13">
        <f>BD146*VLOOKUP('Données projet'!$B$11,Paramètres!$A$1:$I$89,3,0)*VLOOKUP('Données projet'!$B$11,Paramètres!$A$1:$I$89,5,0)</f>
        <v>-2.839840362867108E-13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486.36809102684492</v>
      </c>
      <c r="BJ146" s="59">
        <f t="shared" si="146"/>
        <v>308.42890859885006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51.141972310184535</v>
      </c>
      <c r="BQ146" s="21">
        <f>EXP(-LN(2)/25)*BQ145+(1-EXP(-LN(2)/25))/(LN(2)/25)*Calculateur!BL146*Calculateur!BN146*VLOOKUP('Données projet'!$B$11,Paramètres!$A$1:$I$89,3,0)*0.475*44/12</f>
        <v>41.990085762510859</v>
      </c>
      <c r="BR146" s="21">
        <f>EXP(-LN(2)/2)*BR145+(1-EXP(-LN(2)/2))/(LN(2)/2)*BL146*BO146*VLOOKUP('Données projet'!$B$11,Paramètres!$A$1:$I$89,3,0)*0.475*44/12</f>
        <v>0.3961899187794774</v>
      </c>
      <c r="BS146" s="22">
        <f t="shared" si="117"/>
        <v>93.528247991474885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6.8212102632969618E-13</v>
      </c>
      <c r="O147" s="13">
        <f>N147*VLOOKUP('Données projet'!$B$9,Paramètres!$A$1:$I$89,3,0)*VLOOKUP('Données projet'!$B$9,Paramètres!$A$1:$I$89,5,0)</f>
        <v>3.8130565371830017E-13</v>
      </c>
      <c r="P147" s="13">
        <f t="shared" si="141"/>
        <v>4.9019074112354236E-12</v>
      </c>
      <c r="Q147" s="20">
        <f t="shared" si="108"/>
        <v>9.2015960881277352E-12</v>
      </c>
      <c r="R147" s="59">
        <f t="shared" si="109"/>
        <v>285.95786938130209</v>
      </c>
      <c r="S147" s="59">
        <f ca="1">AVERAGE(OFFSET($R$3,0,0,'Données projet'!$E$9+1,1))-AVERAGE(OFFSET($H$3,0,0,'Données projet'!$E$9+1,1))</f>
        <v>418.8940806978344</v>
      </c>
      <c r="T147" s="59">
        <f t="shared" si="142"/>
        <v>553.49616487922378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41.508363727630339</v>
      </c>
      <c r="AA147" s="21">
        <f>EXP(-LN(2)/25)*AA146+(1-EXP(-LN(2)/25))/(LN(2)/25)*Calculateur!V147*Calculateur!X147*VLOOKUP('Données projet'!$B$9,Paramètres!$A$1:$I$89,3,0)*0.475*44/12</f>
        <v>7.0094689579636178</v>
      </c>
      <c r="AB147" s="21">
        <f>EXP(-LN(2)/2)*AB146+(1-EXP(-LN(2)/2))/(LN(2)/2)*V147*Y147*VLOOKUP('Données projet'!$B$9,Paramètres!$A$1:$I$89,3,0)*0.475*44/12</f>
        <v>2.6007663490126242E-12</v>
      </c>
      <c r="AC147" s="22">
        <f t="shared" si="111"/>
        <v>48.517832685596559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-2.3942448024172334E-13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391.61151255507264</v>
      </c>
      <c r="AO147" s="59">
        <f t="shared" si="144"/>
        <v>365.61278905364281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85.112093902111909</v>
      </c>
      <c r="AV147" s="21">
        <f>EXP(-LN(2)/25)*AV146+(1-EXP(-LN(2)/25))/(LN(2)/25)*Calculateur!AQ147*Calculateur!AS147*VLOOKUP('Données projet'!$B$10,Paramètres!$A$1:$I$89,3,0)*0.475*44/12</f>
        <v>18.469560090865492</v>
      </c>
      <c r="AW147" s="21">
        <f>EXP(-LN(2)/2)*AW146+(1-EXP(-LN(2)/2))/(LN(2)/2)*AQ147*AT147*VLOOKUP('Données projet'!$B$10,Paramètres!$A$1:$I$89,3,0)*0.475*44/12</f>
        <v>5.2912514554664743E-5</v>
      </c>
      <c r="AX147" s="21">
        <f t="shared" si="114"/>
        <v>103.58170690549196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-2.9842794901924208E-13</v>
      </c>
      <c r="BE147" s="13">
        <f>BD147*VLOOKUP('Données projet'!$B$11,Paramètres!$A$1:$I$89,3,0)*VLOOKUP('Données projet'!$B$11,Paramètres!$A$1:$I$89,5,0)</f>
        <v>-2.839840362867108E-13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486.36809102684492</v>
      </c>
      <c r="BJ147" s="59">
        <f t="shared" si="146"/>
        <v>308.42890859885006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50.13910942670482</v>
      </c>
      <c r="BQ147" s="21">
        <f>EXP(-LN(2)/25)*BQ146+(1-EXP(-LN(2)/25))/(LN(2)/25)*Calculateur!BL147*Calculateur!BN147*VLOOKUP('Données projet'!$B$11,Paramètres!$A$1:$I$89,3,0)*0.475*44/12</f>
        <v>40.841864659172359</v>
      </c>
      <c r="BR147" s="21">
        <f>EXP(-LN(2)/2)*BR146+(1-EXP(-LN(2)/2))/(LN(2)/2)*BL147*BO147*VLOOKUP('Données projet'!$B$11,Paramètres!$A$1:$I$89,3,0)*0.475*44/12</f>
        <v>0.28014857820671596</v>
      </c>
      <c r="BS147" s="22">
        <f t="shared" si="117"/>
        <v>91.261122664083899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6.8212102632969618E-13</v>
      </c>
      <c r="O148" s="13">
        <f>N148*VLOOKUP('Données projet'!$B$9,Paramètres!$A$1:$I$89,3,0)*VLOOKUP('Données projet'!$B$9,Paramètres!$A$1:$I$89,5,0)</f>
        <v>3.8130565371830017E-13</v>
      </c>
      <c r="P148" s="13">
        <f t="shared" si="141"/>
        <v>4.9019074112354236E-12</v>
      </c>
      <c r="Q148" s="20">
        <f t="shared" si="108"/>
        <v>9.2015960881277352E-12</v>
      </c>
      <c r="R148" s="59">
        <f t="shared" si="109"/>
        <v>286.08581719180279</v>
      </c>
      <c r="S148" s="59">
        <f ca="1">AVERAGE(OFFSET($R$3,0,0,'Données projet'!$E$9+1,1))-AVERAGE(OFFSET($H$3,0,0,'Données projet'!$E$9+1,1))</f>
        <v>418.8940806978344</v>
      </c>
      <c r="T148" s="59">
        <f t="shared" si="142"/>
        <v>553.49616487922378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40.694410032533476</v>
      </c>
      <c r="AA148" s="21">
        <f>EXP(-LN(2)/25)*AA147+(1-EXP(-LN(2)/25))/(LN(2)/25)*Calculateur!V148*Calculateur!X148*VLOOKUP('Données projet'!$B$9,Paramètres!$A$1:$I$89,3,0)*0.475*44/12</f>
        <v>6.8177946606961504</v>
      </c>
      <c r="AB148" s="21">
        <f>EXP(-LN(2)/2)*AB147+(1-EXP(-LN(2)/2))/(LN(2)/2)*V148*Y148*VLOOKUP('Données projet'!$B$9,Paramètres!$A$1:$I$89,3,0)*0.475*44/12</f>
        <v>1.8390195216686057E-12</v>
      </c>
      <c r="AC148" s="22">
        <f t="shared" si="111"/>
        <v>47.512204693231467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-2.3942448024172334E-13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391.61151255507264</v>
      </c>
      <c r="AO148" s="59">
        <f t="shared" si="144"/>
        <v>365.61278905364281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83.443097653942772</v>
      </c>
      <c r="AV148" s="21">
        <f>EXP(-LN(2)/25)*AV147+(1-EXP(-LN(2)/25))/(LN(2)/25)*Calculateur!AQ148*Calculateur!AS148*VLOOKUP('Données projet'!$B$10,Paramètres!$A$1:$I$89,3,0)*0.475*44/12</f>
        <v>17.964508998908823</v>
      </c>
      <c r="AW148" s="21">
        <f>EXP(-LN(2)/2)*AW147+(1-EXP(-LN(2)/2))/(LN(2)/2)*AQ148*AT148*VLOOKUP('Données projet'!$B$10,Paramètres!$A$1:$I$89,3,0)*0.475*44/12</f>
        <v>3.7414797851235333E-5</v>
      </c>
      <c r="AX148" s="21">
        <f t="shared" si="114"/>
        <v>101.40764406764944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-2.9842794901924208E-13</v>
      </c>
      <c r="BE148" s="13">
        <f>BD148*VLOOKUP('Données projet'!$B$11,Paramètres!$A$1:$I$89,3,0)*VLOOKUP('Données projet'!$B$11,Paramètres!$A$1:$I$89,5,0)</f>
        <v>-2.839840362867108E-13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486.36809102684492</v>
      </c>
      <c r="BJ148" s="59">
        <f t="shared" si="146"/>
        <v>308.42890859885006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49.155912072684181</v>
      </c>
      <c r="BQ148" s="21">
        <f>EXP(-LN(2)/25)*BQ147+(1-EXP(-LN(2)/25))/(LN(2)/25)*Calculateur!BL148*Calculateur!BN148*VLOOKUP('Données projet'!$B$11,Paramètres!$A$1:$I$89,3,0)*0.475*44/12</f>
        <v>39.725041722286974</v>
      </c>
      <c r="BR148" s="21">
        <f>EXP(-LN(2)/2)*BR147+(1-EXP(-LN(2)/2))/(LN(2)/2)*BL148*BO148*VLOOKUP('Données projet'!$B$11,Paramètres!$A$1:$I$89,3,0)*0.475*44/12</f>
        <v>0.1980949593897387</v>
      </c>
      <c r="BS148" s="22">
        <f t="shared" si="117"/>
        <v>89.079048754360898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6.8212102632969618E-13</v>
      </c>
      <c r="O149" s="13">
        <f>N149*VLOOKUP('Données projet'!$B$9,Paramètres!$A$1:$I$89,3,0)*VLOOKUP('Données projet'!$B$9,Paramètres!$A$1:$I$89,5,0)</f>
        <v>3.8130565371830017E-13</v>
      </c>
      <c r="P149" s="13">
        <f t="shared" si="141"/>
        <v>4.9019074112354236E-12</v>
      </c>
      <c r="Q149" s="20">
        <f t="shared" si="108"/>
        <v>9.2015960881277352E-12</v>
      </c>
      <c r="R149" s="59">
        <f t="shared" si="109"/>
        <v>286.21154539383986</v>
      </c>
      <c r="S149" s="59">
        <f ca="1">AVERAGE(OFFSET($R$3,0,0,'Données projet'!$E$9+1,1))-AVERAGE(OFFSET($H$3,0,0,'Données projet'!$E$9+1,1))</f>
        <v>418.8940806978344</v>
      </c>
      <c r="T149" s="59">
        <f t="shared" si="142"/>
        <v>553.49616487922378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39.896417472934729</v>
      </c>
      <c r="AA149" s="21">
        <f>EXP(-LN(2)/25)*AA148+(1-EXP(-LN(2)/25))/(LN(2)/25)*Calculateur!V149*Calculateur!X149*VLOOKUP('Données projet'!$B$9,Paramètres!$A$1:$I$89,3,0)*0.475*44/12</f>
        <v>6.6313617071671755</v>
      </c>
      <c r="AB149" s="21">
        <f>EXP(-LN(2)/2)*AB148+(1-EXP(-LN(2)/2))/(LN(2)/2)*V149*Y149*VLOOKUP('Données projet'!$B$9,Paramètres!$A$1:$I$89,3,0)*0.475*44/12</f>
        <v>1.3003831745063121E-12</v>
      </c>
      <c r="AC149" s="22">
        <f t="shared" si="111"/>
        <v>46.527779180103202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-2.3942448024172334E-13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391.61151255507264</v>
      </c>
      <c r="AO149" s="59">
        <f t="shared" si="144"/>
        <v>365.61278905364281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81.806829404213033</v>
      </c>
      <c r="AV149" s="21">
        <f>EXP(-LN(2)/25)*AV148+(1-EXP(-LN(2)/25))/(LN(2)/25)*Calculateur!AQ149*Calculateur!AS149*VLOOKUP('Données projet'!$B$10,Paramètres!$A$1:$I$89,3,0)*0.475*44/12</f>
        <v>17.473268555621193</v>
      </c>
      <c r="AW149" s="21">
        <f>EXP(-LN(2)/2)*AW148+(1-EXP(-LN(2)/2))/(LN(2)/2)*AQ149*AT149*VLOOKUP('Données projet'!$B$10,Paramètres!$A$1:$I$89,3,0)*0.475*44/12</f>
        <v>2.6456257277332372E-5</v>
      </c>
      <c r="AX149" s="21">
        <f t="shared" si="114"/>
        <v>99.280124416091496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-2.9842794901924208E-13</v>
      </c>
      <c r="BE149" s="13">
        <f>BD149*VLOOKUP('Données projet'!$B$11,Paramètres!$A$1:$I$89,3,0)*VLOOKUP('Données projet'!$B$11,Paramètres!$A$1:$I$89,5,0)</f>
        <v>-2.839840362867108E-13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486.36809102684492</v>
      </c>
      <c r="BJ149" s="59">
        <f t="shared" si="146"/>
        <v>308.42890859885006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48.191994619084717</v>
      </c>
      <c r="BQ149" s="21">
        <f>EXP(-LN(2)/25)*BQ148+(1-EXP(-LN(2)/25))/(LN(2)/25)*Calculateur!BL149*Calculateur!BN149*VLOOKUP('Données projet'!$B$11,Paramètres!$A$1:$I$89,3,0)*0.475*44/12</f>
        <v>38.638758367341886</v>
      </c>
      <c r="BR149" s="21">
        <f>EXP(-LN(2)/2)*BR148+(1-EXP(-LN(2)/2))/(LN(2)/2)*BL149*BO149*VLOOKUP('Données projet'!$B$11,Paramètres!$A$1:$I$89,3,0)*0.475*44/12</f>
        <v>0.14007428910335798</v>
      </c>
      <c r="BS149" s="22">
        <f t="shared" si="117"/>
        <v>86.970827275529956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6.8212102632969618E-13</v>
      </c>
      <c r="O150" s="13">
        <f>N150*VLOOKUP('Données projet'!$B$9,Paramètres!$A$1:$I$89,3,0)*VLOOKUP('Données projet'!$B$9,Paramètres!$A$1:$I$89,5,0)</f>
        <v>3.8130565371830017E-13</v>
      </c>
      <c r="P150" s="13">
        <f t="shared" si="141"/>
        <v>4.9019074112354236E-12</v>
      </c>
      <c r="Q150" s="20">
        <f t="shared" si="108"/>
        <v>9.2015960881277352E-12</v>
      </c>
      <c r="R150" s="59">
        <f t="shared" si="109"/>
        <v>286.33509249265762</v>
      </c>
      <c r="S150" s="59">
        <f ca="1">AVERAGE(OFFSET($R$3,0,0,'Données projet'!$E$9+1,1))-AVERAGE(OFFSET($H$3,0,0,'Données projet'!$E$9+1,1))</f>
        <v>418.8940806978344</v>
      </c>
      <c r="T150" s="59">
        <f t="shared" si="142"/>
        <v>553.49616487922378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39.114073060702317</v>
      </c>
      <c r="AA150" s="21">
        <f>EXP(-LN(2)/25)*AA149+(1-EXP(-LN(2)/25))/(LN(2)/25)*Calculateur!V150*Calculateur!X150*VLOOKUP('Données projet'!$B$9,Paramètres!$A$1:$I$89,3,0)*0.475*44/12</f>
        <v>6.4500267725565328</v>
      </c>
      <c r="AB150" s="21">
        <f>EXP(-LN(2)/2)*AB149+(1-EXP(-LN(2)/2))/(LN(2)/2)*V150*Y150*VLOOKUP('Données projet'!$B$9,Paramètres!$A$1:$I$89,3,0)*0.475*44/12</f>
        <v>9.1950976083430286E-13</v>
      </c>
      <c r="AC150" s="22">
        <f t="shared" si="111"/>
        <v>45.564099833259768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-2.3942448024172334E-13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391.61151255507264</v>
      </c>
      <c r="AO150" s="59">
        <f t="shared" si="144"/>
        <v>365.61278905364281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80.202647376835415</v>
      </c>
      <c r="AV150" s="21">
        <f>EXP(-LN(2)/25)*AV149+(1-EXP(-LN(2)/25))/(LN(2)/25)*Calculateur!AQ150*Calculateur!AS150*VLOOKUP('Données projet'!$B$10,Paramètres!$A$1:$I$89,3,0)*0.475*44/12</f>
        <v>16.995461108088474</v>
      </c>
      <c r="AW150" s="21">
        <f>EXP(-LN(2)/2)*AW149+(1-EXP(-LN(2)/2))/(LN(2)/2)*AQ150*AT150*VLOOKUP('Données projet'!$B$10,Paramètres!$A$1:$I$89,3,0)*0.475*44/12</f>
        <v>1.8707398925617667E-5</v>
      </c>
      <c r="AX150" s="21">
        <f t="shared" si="114"/>
        <v>97.198127192322815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-2.9842794901924208E-13</v>
      </c>
      <c r="BE150" s="13">
        <f>BD150*VLOOKUP('Données projet'!$B$11,Paramètres!$A$1:$I$89,3,0)*VLOOKUP('Données projet'!$B$11,Paramètres!$A$1:$I$89,5,0)</f>
        <v>-2.839840362867108E-13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486.36809102684492</v>
      </c>
      <c r="BJ150" s="59">
        <f t="shared" si="146"/>
        <v>308.42890859885006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47.246978998818747</v>
      </c>
      <c r="BQ150" s="21">
        <f>EXP(-LN(2)/25)*BQ149+(1-EXP(-LN(2)/25))/(LN(2)/25)*Calculateur!BL150*Calculateur!BN150*VLOOKUP('Données projet'!$B$11,Paramètres!$A$1:$I$89,3,0)*0.475*44/12</f>
        <v>37.582179487862931</v>
      </c>
      <c r="BR150" s="21">
        <f>EXP(-LN(2)/2)*BR149+(1-EXP(-LN(2)/2))/(LN(2)/2)*BL150*BO150*VLOOKUP('Données projet'!$B$11,Paramètres!$A$1:$I$89,3,0)*0.475*44/12</f>
        <v>9.904747969486935E-2</v>
      </c>
      <c r="BS150" s="22">
        <f t="shared" si="117"/>
        <v>84.928205966376552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6.8212102632969618E-13</v>
      </c>
      <c r="O151" s="13">
        <f>N151*VLOOKUP('Données projet'!$B$9,Paramètres!$A$1:$I$89,3,0)*VLOOKUP('Données projet'!$B$9,Paramètres!$A$1:$I$89,5,0)</f>
        <v>3.8130565371830017E-13</v>
      </c>
      <c r="P151" s="13">
        <f t="shared" si="141"/>
        <v>4.9019074112354236E-12</v>
      </c>
      <c r="Q151" s="20">
        <f t="shared" si="108"/>
        <v>9.2015960881277352E-12</v>
      </c>
      <c r="R151" s="59">
        <f t="shared" si="109"/>
        <v>286.4564963255209</v>
      </c>
      <c r="S151" s="59">
        <f ca="1">AVERAGE(OFFSET($R$3,0,0,'Données projet'!$E$9+1,1))-AVERAGE(OFFSET($H$3,0,0,'Données projet'!$E$9+1,1))</f>
        <v>418.8940806978344</v>
      </c>
      <c r="T151" s="59">
        <f t="shared" si="142"/>
        <v>553.49616487922378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38.347069945210805</v>
      </c>
      <c r="AA151" s="21">
        <f>EXP(-LN(2)/25)*AA150+(1-EXP(-LN(2)/25))/(LN(2)/25)*Calculateur!V151*Calculateur!X151*VLOOKUP('Données projet'!$B$9,Paramètres!$A$1:$I$89,3,0)*0.475*44/12</f>
        <v>6.273650451268808</v>
      </c>
      <c r="AB151" s="21">
        <f>EXP(-LN(2)/2)*AB150+(1-EXP(-LN(2)/2))/(LN(2)/2)*V151*Y151*VLOOKUP('Données projet'!$B$9,Paramètres!$A$1:$I$89,3,0)*0.475*44/12</f>
        <v>6.5019158725315604E-13</v>
      </c>
      <c r="AC151" s="22">
        <f t="shared" si="111"/>
        <v>44.620720396480266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-2.3942448024172334E-13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391.61151255507264</v>
      </c>
      <c r="AO151" s="59">
        <f t="shared" si="144"/>
        <v>365.61278905364281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78.629922380560245</v>
      </c>
      <c r="AV151" s="21">
        <f>EXP(-LN(2)/25)*AV150+(1-EXP(-LN(2)/25))/(LN(2)/25)*Calculateur!AQ151*Calculateur!AS151*VLOOKUP('Données projet'!$B$10,Paramètres!$A$1:$I$89,3,0)*0.475*44/12</f>
        <v>16.530719330335337</v>
      </c>
      <c r="AW151" s="21">
        <f>EXP(-LN(2)/2)*AW150+(1-EXP(-LN(2)/2))/(LN(2)/2)*AQ151*AT151*VLOOKUP('Données projet'!$B$10,Paramètres!$A$1:$I$89,3,0)*0.475*44/12</f>
        <v>1.3228128638666186E-5</v>
      </c>
      <c r="AX151" s="21">
        <f t="shared" si="114"/>
        <v>95.160654939024226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-2.9842794901924208E-13</v>
      </c>
      <c r="BE151" s="13">
        <f>BD151*VLOOKUP('Données projet'!$B$11,Paramètres!$A$1:$I$89,3,0)*VLOOKUP('Données projet'!$B$11,Paramètres!$A$1:$I$89,5,0)</f>
        <v>-2.839840362867108E-13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486.36809102684492</v>
      </c>
      <c r="BJ151" s="59">
        <f t="shared" si="146"/>
        <v>308.42890859885006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46.320494558463579</v>
      </c>
      <c r="BQ151" s="21">
        <f>EXP(-LN(2)/25)*BQ150+(1-EXP(-LN(2)/25))/(LN(2)/25)*Calculateur!BL151*Calculateur!BN151*VLOOKUP('Données projet'!$B$11,Paramètres!$A$1:$I$89,3,0)*0.475*44/12</f>
        <v>36.554492813406398</v>
      </c>
      <c r="BR151" s="21">
        <f>EXP(-LN(2)/2)*BR150+(1-EXP(-LN(2)/2))/(LN(2)/2)*BL151*BO151*VLOOKUP('Données projet'!$B$11,Paramètres!$A$1:$I$89,3,0)*0.475*44/12</f>
        <v>7.003714455167899E-2</v>
      </c>
      <c r="BS151" s="22">
        <f t="shared" si="117"/>
        <v>82.945024516421654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6.8212102632969618E-13</v>
      </c>
      <c r="O152" s="13">
        <f>N152*VLOOKUP('Données projet'!$B$9,Paramètres!$A$1:$I$89,3,0)*VLOOKUP('Données projet'!$B$9,Paramètres!$A$1:$I$89,5,0)</f>
        <v>3.8130565371830017E-13</v>
      </c>
      <c r="P152" s="13">
        <f t="shared" si="141"/>
        <v>4.9019074112354236E-12</v>
      </c>
      <c r="Q152" s="20">
        <f t="shared" si="108"/>
        <v>9.2015960881277352E-12</v>
      </c>
      <c r="R152" s="59">
        <f t="shared" si="109"/>
        <v>286.57579407330229</v>
      </c>
      <c r="S152" s="59">
        <f ca="1">AVERAGE(OFFSET($R$3,0,0,'Données projet'!$E$9+1,1))-AVERAGE(OFFSET($H$3,0,0,'Données projet'!$E$9+1,1))</f>
        <v>418.8940806978344</v>
      </c>
      <c r="T152" s="59">
        <f t="shared" si="142"/>
        <v>553.49616487922378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37.595107292988374</v>
      </c>
      <c r="AA152" s="21">
        <f>EXP(-LN(2)/25)*AA151+(1-EXP(-LN(2)/25))/(LN(2)/25)*Calculateur!V152*Calculateur!X152*VLOOKUP('Données projet'!$B$9,Paramètres!$A$1:$I$89,3,0)*0.475*44/12</f>
        <v>6.1020971497619243</v>
      </c>
      <c r="AB152" s="21">
        <f>EXP(-LN(2)/2)*AB151+(1-EXP(-LN(2)/2))/(LN(2)/2)*V152*Y152*VLOOKUP('Données projet'!$B$9,Paramètres!$A$1:$I$89,3,0)*0.475*44/12</f>
        <v>4.5975488041715143E-13</v>
      </c>
      <c r="AC152" s="22">
        <f t="shared" si="111"/>
        <v>43.69720444275076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-2.3942448024172334E-13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391.61151255507264</v>
      </c>
      <c r="AO152" s="59">
        <f t="shared" si="144"/>
        <v>365.61278905364281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77.088037562194501</v>
      </c>
      <c r="AV152" s="21">
        <f>EXP(-LN(2)/25)*AV151+(1-EXP(-LN(2)/25))/(LN(2)/25)*Calculateur!AQ152*Calculateur!AS152*VLOOKUP('Données projet'!$B$10,Paramètres!$A$1:$I$89,3,0)*0.475*44/12</f>
        <v>16.078685940934569</v>
      </c>
      <c r="AW152" s="21">
        <f>EXP(-LN(2)/2)*AW151+(1-EXP(-LN(2)/2))/(LN(2)/2)*AQ152*AT152*VLOOKUP('Données projet'!$B$10,Paramètres!$A$1:$I$89,3,0)*0.475*44/12</f>
        <v>9.3536994628088333E-6</v>
      </c>
      <c r="AX152" s="21">
        <f t="shared" si="114"/>
        <v>93.166732856828546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-2.9842794901924208E-13</v>
      </c>
      <c r="BE152" s="13">
        <f>BD152*VLOOKUP('Données projet'!$B$11,Paramètres!$A$1:$I$89,3,0)*VLOOKUP('Données projet'!$B$11,Paramètres!$A$1:$I$89,5,0)</f>
        <v>-2.839840362867108E-13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486.36809102684492</v>
      </c>
      <c r="BJ152" s="59">
        <f t="shared" si="146"/>
        <v>308.42890859885006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45.412177912884069</v>
      </c>
      <c r="BQ152" s="21">
        <f>EXP(-LN(2)/25)*BQ151+(1-EXP(-LN(2)/25))/(LN(2)/25)*Calculateur!BL152*Calculateur!BN152*VLOOKUP('Données projet'!$B$11,Paramètres!$A$1:$I$89,3,0)*0.475*44/12</f>
        <v>35.554908285106571</v>
      </c>
      <c r="BR152" s="21">
        <f>EXP(-LN(2)/2)*BR151+(1-EXP(-LN(2)/2))/(LN(2)/2)*BL152*BO152*VLOOKUP('Données projet'!$B$11,Paramètres!$A$1:$I$89,3,0)*0.475*44/12</f>
        <v>4.9523739847434675E-2</v>
      </c>
      <c r="BS152" s="22">
        <f t="shared" si="117"/>
        <v>81.016609937838069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6.8212102632969618E-13</v>
      </c>
      <c r="O153" s="13">
        <f>N153*VLOOKUP('Données projet'!$B$9,Paramètres!$A$1:$I$89,3,0)*VLOOKUP('Données projet'!$B$9,Paramètres!$A$1:$I$89,5,0)</f>
        <v>3.8130565371830017E-13</v>
      </c>
      <c r="P153" s="13">
        <f t="shared" si="141"/>
        <v>4.9019074112354236E-12</v>
      </c>
      <c r="Q153" s="20">
        <f t="shared" si="108"/>
        <v>9.2015960881277352E-12</v>
      </c>
      <c r="R153" s="59">
        <f t="shared" si="109"/>
        <v>286.69302227186955</v>
      </c>
      <c r="S153" s="59">
        <f ca="1">AVERAGE(OFFSET($R$3,0,0,'Données projet'!$E$9+1,1))-AVERAGE(OFFSET($H$3,0,0,'Données projet'!$E$9+1,1))</f>
        <v>418.8940806978344</v>
      </c>
      <c r="T153" s="59">
        <f t="shared" si="142"/>
        <v>553.49616487922378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36.857890169724094</v>
      </c>
      <c r="AA153" s="21">
        <f>EXP(-LN(2)/25)*AA152+(1-EXP(-LN(2)/25))/(LN(2)/25)*Calculateur!V153*Calculateur!X153*VLOOKUP('Données projet'!$B$9,Paramètres!$A$1:$I$89,3,0)*0.475*44/12</f>
        <v>5.9352349823063415</v>
      </c>
      <c r="AB153" s="21">
        <f>EXP(-LN(2)/2)*AB152+(1-EXP(-LN(2)/2))/(LN(2)/2)*V153*Y153*VLOOKUP('Données projet'!$B$9,Paramètres!$A$1:$I$89,3,0)*0.475*44/12</f>
        <v>3.2509579362657802E-13</v>
      </c>
      <c r="AC153" s="22">
        <f t="shared" si="111"/>
        <v>42.793125152030761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-2.3942448024172334E-13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391.61151255507264</v>
      </c>
      <c r="AO153" s="59">
        <f t="shared" si="144"/>
        <v>365.61278905364281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75.576388164660031</v>
      </c>
      <c r="AV153" s="21">
        <f>EXP(-LN(2)/25)*AV152+(1-EXP(-LN(2)/25))/(LN(2)/25)*Calculateur!AQ153*Calculateur!AS153*VLOOKUP('Données projet'!$B$10,Paramètres!$A$1:$I$89,3,0)*0.475*44/12</f>
        <v>15.639013428338368</v>
      </c>
      <c r="AW153" s="21">
        <f>EXP(-LN(2)/2)*AW152+(1-EXP(-LN(2)/2))/(LN(2)/2)*AQ153*AT153*VLOOKUP('Données projet'!$B$10,Paramètres!$A$1:$I$89,3,0)*0.475*44/12</f>
        <v>6.6140643193330929E-6</v>
      </c>
      <c r="AX153" s="21">
        <f t="shared" si="114"/>
        <v>91.215408207062723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-2.9842794901924208E-13</v>
      </c>
      <c r="BE153" s="13">
        <f>BD153*VLOOKUP('Données projet'!$B$11,Paramètres!$A$1:$I$89,3,0)*VLOOKUP('Données projet'!$B$11,Paramètres!$A$1:$I$89,5,0)</f>
        <v>-2.839840362867108E-13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486.36809102684492</v>
      </c>
      <c r="BJ153" s="59">
        <f t="shared" si="146"/>
        <v>308.42890859885006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44.521672802705922</v>
      </c>
      <c r="BQ153" s="21">
        <f>EXP(-LN(2)/25)*BQ152+(1-EXP(-LN(2)/25))/(LN(2)/25)*Calculateur!BL153*Calculateur!BN153*VLOOKUP('Données projet'!$B$11,Paramètres!$A$1:$I$89,3,0)*0.475*44/12</f>
        <v>34.582657448298967</v>
      </c>
      <c r="BR153" s="21">
        <f>EXP(-LN(2)/2)*BR152+(1-EXP(-LN(2)/2))/(LN(2)/2)*BL153*BO153*VLOOKUP('Données projet'!$B$11,Paramètres!$A$1:$I$89,3,0)*0.475*44/12</f>
        <v>3.5018572275839495E-2</v>
      </c>
      <c r="BS153" s="22">
        <f t="shared" si="117"/>
        <v>79.139348823280727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6.8212102632969618E-13</v>
      </c>
      <c r="O154" s="13">
        <f>N154*VLOOKUP('Données projet'!$B$9,Paramètres!$A$1:$I$89,3,0)*VLOOKUP('Données projet'!$B$9,Paramètres!$A$1:$I$89,5,0)</f>
        <v>3.8130565371830017E-13</v>
      </c>
      <c r="P154" s="13">
        <f t="shared" si="141"/>
        <v>4.9019074112354236E-12</v>
      </c>
      <c r="Q154" s="20">
        <f t="shared" ref="Q154:Q203" si="162">(O154+P154)*0.475*44/12</f>
        <v>9.2015960881277352E-12</v>
      </c>
      <c r="R154" s="59">
        <f t="shared" si="109"/>
        <v>286.80821682327456</v>
      </c>
      <c r="S154" s="59">
        <f ca="1">AVERAGE(OFFSET($R$3,0,0,'Données projet'!$E$9+1,1))-AVERAGE(OFFSET($H$3,0,0,'Données projet'!$E$9+1,1))</f>
        <v>418.8940806978344</v>
      </c>
      <c r="T154" s="59">
        <f t="shared" si="142"/>
        <v>553.49616487922378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36.135129424588982</v>
      </c>
      <c r="AA154" s="21">
        <f>EXP(-LN(2)/25)*AA153+(1-EXP(-LN(2)/25))/(LN(2)/25)*Calculateur!V154*Calculateur!X154*VLOOKUP('Données projet'!$B$9,Paramètres!$A$1:$I$89,3,0)*0.475*44/12</f>
        <v>5.772935669594732</v>
      </c>
      <c r="AB154" s="21">
        <f>EXP(-LN(2)/2)*AB153+(1-EXP(-LN(2)/2))/(LN(2)/2)*V154*Y154*VLOOKUP('Données projet'!$B$9,Paramètres!$A$1:$I$89,3,0)*0.475*44/12</f>
        <v>2.2987744020857571E-13</v>
      </c>
      <c r="AC154" s="22">
        <f t="shared" ref="AC154:AC203" si="163">SUM(Z154:AB154)</f>
        <v>41.908065094183939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-2.3942448024172334E-13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391.61151255507264</v>
      </c>
      <c r="AO154" s="59">
        <f t="shared" si="144"/>
        <v>365.61278905364281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74.094381289796118</v>
      </c>
      <c r="AV154" s="21">
        <f>EXP(-LN(2)/25)*AV153+(1-EXP(-LN(2)/25))/(LN(2)/25)*Calculateur!AQ154*Calculateur!AS154*VLOOKUP('Données projet'!$B$10,Paramètres!$A$1:$I$89,3,0)*0.475*44/12</f>
        <v>15.211363783720483</v>
      </c>
      <c r="AW154" s="21">
        <f>EXP(-LN(2)/2)*AW153+(1-EXP(-LN(2)/2))/(LN(2)/2)*AQ154*AT154*VLOOKUP('Données projet'!$B$10,Paramètres!$A$1:$I$89,3,0)*0.475*44/12</f>
        <v>4.6768497314044167E-6</v>
      </c>
      <c r="AX154" s="21">
        <f t="shared" ref="AX154:AX203" si="166">SUM(AU154:AW154)</f>
        <v>89.305749750366331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-2.9842794901924208E-13</v>
      </c>
      <c r="BE154" s="13">
        <f>BD154*VLOOKUP('Données projet'!$B$11,Paramètres!$A$1:$I$89,3,0)*VLOOKUP('Données projet'!$B$11,Paramètres!$A$1:$I$89,5,0)</f>
        <v>-2.839840362867108E-13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486.36809102684492</v>
      </c>
      <c r="BJ154" s="59">
        <f t="shared" si="146"/>
        <v>308.42890859885006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43.648629954583882</v>
      </c>
      <c r="BQ154" s="21">
        <f>EXP(-LN(2)/25)*BQ153+(1-EXP(-LN(2)/25))/(LN(2)/25)*Calculateur!BL154*Calculateur!BN154*VLOOKUP('Données projet'!$B$11,Paramètres!$A$1:$I$89,3,0)*0.475*44/12</f>
        <v>33.636992861752319</v>
      </c>
      <c r="BR154" s="21">
        <f>EXP(-LN(2)/2)*BR153+(1-EXP(-LN(2)/2))/(LN(2)/2)*BL154*BO154*VLOOKUP('Données projet'!$B$11,Paramètres!$A$1:$I$89,3,0)*0.475*44/12</f>
        <v>2.4761869923717338E-2</v>
      </c>
      <c r="BS154" s="22">
        <f t="shared" ref="BS154:BS203" si="169">SUM(BP154:BR154)</f>
        <v>77.310384686259923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6.8212102632969618E-13</v>
      </c>
      <c r="O155" s="13">
        <f>N155*VLOOKUP('Données projet'!$B$9,Paramètres!$A$1:$I$89,3,0)*VLOOKUP('Données projet'!$B$9,Paramètres!$A$1:$I$89,5,0)</f>
        <v>3.8130565371830017E-13</v>
      </c>
      <c r="P155" s="13">
        <f t="shared" si="141"/>
        <v>4.9019074112354236E-12</v>
      </c>
      <c r="Q155" s="20">
        <f t="shared" si="162"/>
        <v>9.2015960881277352E-12</v>
      </c>
      <c r="R155" s="59">
        <f t="shared" si="109"/>
        <v>286.92141300674911</v>
      </c>
      <c r="S155" s="59">
        <f ca="1">AVERAGE(OFFSET($R$3,0,0,'Données projet'!$E$9+1,1))-AVERAGE(OFFSET($H$3,0,0,'Données projet'!$E$9+1,1))</f>
        <v>418.8940806978344</v>
      </c>
      <c r="T155" s="59">
        <f t="shared" si="142"/>
        <v>553.49616487922378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35.42654157682545</v>
      </c>
      <c r="AA155" s="21">
        <f>EXP(-LN(2)/25)*AA154+(1-EXP(-LN(2)/25))/(LN(2)/25)*Calculateur!V155*Calculateur!X155*VLOOKUP('Données projet'!$B$9,Paramètres!$A$1:$I$89,3,0)*0.475*44/12</f>
        <v>5.6150744401241717</v>
      </c>
      <c r="AB155" s="21">
        <f>EXP(-LN(2)/2)*AB154+(1-EXP(-LN(2)/2))/(LN(2)/2)*V155*Y155*VLOOKUP('Données projet'!$B$9,Paramètres!$A$1:$I$89,3,0)*0.475*44/12</f>
        <v>1.6254789681328901E-13</v>
      </c>
      <c r="AC155" s="22">
        <f t="shared" si="163"/>
        <v>41.041616016949781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-2.3942448024172334E-13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391.61151255507264</v>
      </c>
      <c r="AO155" s="59">
        <f t="shared" si="144"/>
        <v>365.61278905364281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72.641435665813347</v>
      </c>
      <c r="AV155" s="21">
        <f>EXP(-LN(2)/25)*AV154+(1-EXP(-LN(2)/25))/(LN(2)/25)*Calculateur!AQ155*Calculateur!AS155*VLOOKUP('Données projet'!$B$10,Paramètres!$A$1:$I$89,3,0)*0.475*44/12</f>
        <v>14.795408241123791</v>
      </c>
      <c r="AW155" s="21">
        <f>EXP(-LN(2)/2)*AW154+(1-EXP(-LN(2)/2))/(LN(2)/2)*AQ155*AT155*VLOOKUP('Données projet'!$B$10,Paramètres!$A$1:$I$89,3,0)*0.475*44/12</f>
        <v>3.3070321596665465E-6</v>
      </c>
      <c r="AX155" s="21">
        <f t="shared" si="166"/>
        <v>87.436847213969301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-2.9842794901924208E-13</v>
      </c>
      <c r="BE155" s="13">
        <f>BD155*VLOOKUP('Données projet'!$B$11,Paramètres!$A$1:$I$89,3,0)*VLOOKUP('Données projet'!$B$11,Paramètres!$A$1:$I$89,5,0)</f>
        <v>-2.839840362867108E-13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486.36809102684492</v>
      </c>
      <c r="BJ155" s="59">
        <f t="shared" si="146"/>
        <v>308.42890859885006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42.792706944209961</v>
      </c>
      <c r="BQ155" s="21">
        <f>EXP(-LN(2)/25)*BQ154+(1-EXP(-LN(2)/25))/(LN(2)/25)*Calculateur!BL155*Calculateur!BN155*VLOOKUP('Données projet'!$B$11,Paramètres!$A$1:$I$89,3,0)*0.475*44/12</f>
        <v>32.717187523055124</v>
      </c>
      <c r="BR155" s="21">
        <f>EXP(-LN(2)/2)*BR154+(1-EXP(-LN(2)/2))/(LN(2)/2)*BL155*BO155*VLOOKUP('Données projet'!$B$11,Paramètres!$A$1:$I$89,3,0)*0.475*44/12</f>
        <v>1.7509286137919747E-2</v>
      </c>
      <c r="BS155" s="22">
        <f t="shared" si="169"/>
        <v>75.527403753403007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6.8212102632969618E-13</v>
      </c>
      <c r="O156" s="13">
        <f>N156*VLOOKUP('Données projet'!$B$9,Paramètres!$A$1:$I$89,3,0)*VLOOKUP('Données projet'!$B$9,Paramètres!$A$1:$I$89,5,0)</f>
        <v>3.8130565371830017E-13</v>
      </c>
      <c r="P156" s="13">
        <f t="shared" si="141"/>
        <v>4.9019074112354236E-12</v>
      </c>
      <c r="Q156" s="20">
        <f t="shared" si="162"/>
        <v>9.2015960881277352E-12</v>
      </c>
      <c r="R156" s="59">
        <f t="shared" si="109"/>
        <v>287.03264548950921</v>
      </c>
      <c r="S156" s="59">
        <f ca="1">AVERAGE(OFFSET($R$3,0,0,'Données projet'!$E$9+1,1))-AVERAGE(OFFSET($H$3,0,0,'Données projet'!$E$9+1,1))</f>
        <v>418.8940806978344</v>
      </c>
      <c r="T156" s="59">
        <f t="shared" si="142"/>
        <v>553.49616487922378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34.731848704560647</v>
      </c>
      <c r="AA156" s="21">
        <f>EXP(-LN(2)/25)*AA155+(1-EXP(-LN(2)/25))/(LN(2)/25)*Calculateur!V156*Calculateur!X156*VLOOKUP('Données projet'!$B$9,Paramètres!$A$1:$I$89,3,0)*0.475*44/12</f>
        <v>5.4615299342750445</v>
      </c>
      <c r="AB156" s="21">
        <f>EXP(-LN(2)/2)*AB155+(1-EXP(-LN(2)/2))/(LN(2)/2)*V156*Y156*VLOOKUP('Données projet'!$B$9,Paramètres!$A$1:$I$89,3,0)*0.475*44/12</f>
        <v>1.1493872010428786E-13</v>
      </c>
      <c r="AC156" s="22">
        <f t="shared" si="163"/>
        <v>40.193378638835803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-2.3942448024172334E-13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391.61151255507264</v>
      </c>
      <c r="AO156" s="59">
        <f t="shared" si="144"/>
        <v>365.61278905364281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71.216981419307558</v>
      </c>
      <c r="AV156" s="21">
        <f>EXP(-LN(2)/25)*AV155+(1-EXP(-LN(2)/25))/(LN(2)/25)*Calculateur!AQ156*Calculateur!AS156*VLOOKUP('Données projet'!$B$10,Paramètres!$A$1:$I$89,3,0)*0.475*44/12</f>
        <v>14.390827024713557</v>
      </c>
      <c r="AW156" s="21">
        <f>EXP(-LN(2)/2)*AW155+(1-EXP(-LN(2)/2))/(LN(2)/2)*AQ156*AT156*VLOOKUP('Données projet'!$B$10,Paramètres!$A$1:$I$89,3,0)*0.475*44/12</f>
        <v>2.3384248657022083E-6</v>
      </c>
      <c r="AX156" s="21">
        <f t="shared" si="166"/>
        <v>85.607810782445981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-2.9842794901924208E-13</v>
      </c>
      <c r="BE156" s="13">
        <f>BD156*VLOOKUP('Données projet'!$B$11,Paramètres!$A$1:$I$89,3,0)*VLOOKUP('Données projet'!$B$11,Paramètres!$A$1:$I$89,5,0)</f>
        <v>-2.839840362867108E-13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486.36809102684492</v>
      </c>
      <c r="BJ156" s="59">
        <f t="shared" si="146"/>
        <v>308.42890859885006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41.953568062007982</v>
      </c>
      <c r="BQ156" s="21">
        <f>EXP(-LN(2)/25)*BQ155+(1-EXP(-LN(2)/25))/(LN(2)/25)*Calculateur!BL156*Calculateur!BN156*VLOOKUP('Données projet'!$B$11,Paramètres!$A$1:$I$89,3,0)*0.475*44/12</f>
        <v>31.822534309715067</v>
      </c>
      <c r="BR156" s="21">
        <f>EXP(-LN(2)/2)*BR155+(1-EXP(-LN(2)/2))/(LN(2)/2)*BL156*BO156*VLOOKUP('Données projet'!$B$11,Paramètres!$A$1:$I$89,3,0)*0.475*44/12</f>
        <v>1.2380934961858669E-2</v>
      </c>
      <c r="BS156" s="22">
        <f t="shared" si="169"/>
        <v>73.78848330668491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6.8212102632969618E-13</v>
      </c>
      <c r="O157" s="13">
        <f>N157*VLOOKUP('Données projet'!$B$9,Paramètres!$A$1:$I$89,3,0)*VLOOKUP('Données projet'!$B$9,Paramètres!$A$1:$I$89,5,0)</f>
        <v>3.8130565371830017E-13</v>
      </c>
      <c r="P157" s="13">
        <f t="shared" si="141"/>
        <v>4.9019074112354236E-12</v>
      </c>
      <c r="Q157" s="20">
        <f t="shared" si="162"/>
        <v>9.2015960881277352E-12</v>
      </c>
      <c r="R157" s="59">
        <f t="shared" si="109"/>
        <v>287.14194833737196</v>
      </c>
      <c r="S157" s="59">
        <f ca="1">AVERAGE(OFFSET($R$3,0,0,'Données projet'!$E$9+1,1))-AVERAGE(OFFSET($H$3,0,0,'Données projet'!$E$9+1,1))</f>
        <v>418.8940806978344</v>
      </c>
      <c r="T157" s="59">
        <f t="shared" si="142"/>
        <v>553.49616487922378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34.050778335800146</v>
      </c>
      <c r="AA157" s="21">
        <f>EXP(-LN(2)/25)*AA156+(1-EXP(-LN(2)/25))/(LN(2)/25)*Calculateur!V157*Calculateur!X157*VLOOKUP('Données projet'!$B$9,Paramètres!$A$1:$I$89,3,0)*0.475*44/12</f>
        <v>5.3121841110129164</v>
      </c>
      <c r="AB157" s="21">
        <f>EXP(-LN(2)/2)*AB156+(1-EXP(-LN(2)/2))/(LN(2)/2)*V157*Y157*VLOOKUP('Données projet'!$B$9,Paramètres!$A$1:$I$89,3,0)*0.475*44/12</f>
        <v>8.1273948406644506E-14</v>
      </c>
      <c r="AC157" s="22">
        <f t="shared" si="163"/>
        <v>39.362962446813142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-2.3942448024172334E-13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391.61151255507264</v>
      </c>
      <c r="AO157" s="59">
        <f t="shared" si="144"/>
        <v>365.61278905364281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69.820459851744445</v>
      </c>
      <c r="AV157" s="21">
        <f>EXP(-LN(2)/25)*AV156+(1-EXP(-LN(2)/25))/(LN(2)/25)*Calculateur!AQ157*Calculateur!AS157*VLOOKUP('Données projet'!$B$10,Paramètres!$A$1:$I$89,3,0)*0.475*44/12</f>
        <v>13.997309102942063</v>
      </c>
      <c r="AW157" s="21">
        <f>EXP(-LN(2)/2)*AW156+(1-EXP(-LN(2)/2))/(LN(2)/2)*AQ157*AT157*VLOOKUP('Données projet'!$B$10,Paramètres!$A$1:$I$89,3,0)*0.475*44/12</f>
        <v>1.6535160798332732E-6</v>
      </c>
      <c r="AX157" s="21">
        <f t="shared" si="166"/>
        <v>83.817770608202594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-2.9842794901924208E-13</v>
      </c>
      <c r="BE157" s="13">
        <f>BD157*VLOOKUP('Données projet'!$B$11,Paramètres!$A$1:$I$89,3,0)*VLOOKUP('Données projet'!$B$11,Paramètres!$A$1:$I$89,5,0)</f>
        <v>-2.839840362867108E-13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486.36809102684492</v>
      </c>
      <c r="BJ157" s="59">
        <f t="shared" si="146"/>
        <v>308.42890859885006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41.130884181461802</v>
      </c>
      <c r="BQ157" s="21">
        <f>EXP(-LN(2)/25)*BQ156+(1-EXP(-LN(2)/25))/(LN(2)/25)*Calculateur!BL157*Calculateur!BN157*VLOOKUP('Données projet'!$B$11,Paramètres!$A$1:$I$89,3,0)*0.475*44/12</f>
        <v>30.952345435541559</v>
      </c>
      <c r="BR157" s="21">
        <f>EXP(-LN(2)/2)*BR156+(1-EXP(-LN(2)/2))/(LN(2)/2)*BL157*BO157*VLOOKUP('Données projet'!$B$11,Paramètres!$A$1:$I$89,3,0)*0.475*44/12</f>
        <v>8.7546430689598737E-3</v>
      </c>
      <c r="BS157" s="22">
        <f t="shared" si="169"/>
        <v>72.091984260072309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6.8212102632969618E-13</v>
      </c>
      <c r="O158" s="13">
        <f>N158*VLOOKUP('Données projet'!$B$9,Paramètres!$A$1:$I$89,3,0)*VLOOKUP('Données projet'!$B$9,Paramètres!$A$1:$I$89,5,0)</f>
        <v>3.8130565371830017E-13</v>
      </c>
      <c r="P158" s="13">
        <f t="shared" si="141"/>
        <v>4.9019074112354236E-12</v>
      </c>
      <c r="Q158" s="20">
        <f t="shared" si="162"/>
        <v>9.2015960881277352E-12</v>
      </c>
      <c r="R158" s="59">
        <f t="shared" si="109"/>
        <v>287.24935502518889</v>
      </c>
      <c r="S158" s="59">
        <f ca="1">AVERAGE(OFFSET($R$3,0,0,'Données projet'!$E$9+1,1))-AVERAGE(OFFSET($H$3,0,0,'Données projet'!$E$9+1,1))</f>
        <v>418.8940806978344</v>
      </c>
      <c r="T158" s="59">
        <f t="shared" si="142"/>
        <v>553.49616487922378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33.383063341559129</v>
      </c>
      <c r="AA158" s="21">
        <f>EXP(-LN(2)/25)*AA157+(1-EXP(-LN(2)/25))/(LN(2)/25)*Calculateur!V158*Calculateur!X158*VLOOKUP('Données projet'!$B$9,Paramètres!$A$1:$I$89,3,0)*0.475*44/12</f>
        <v>5.1669221571416468</v>
      </c>
      <c r="AB158" s="21">
        <f>EXP(-LN(2)/2)*AB157+(1-EXP(-LN(2)/2))/(LN(2)/2)*V158*Y158*VLOOKUP('Données projet'!$B$9,Paramètres!$A$1:$I$89,3,0)*0.475*44/12</f>
        <v>5.7469360052143929E-14</v>
      </c>
      <c r="AC158" s="22">
        <f t="shared" si="163"/>
        <v>38.549985498700835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-2.3942448024172334E-13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391.61151255507264</v>
      </c>
      <c r="AO158" s="59">
        <f t="shared" si="144"/>
        <v>365.61278905364281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68.451323220327197</v>
      </c>
      <c r="AV158" s="21">
        <f>EXP(-LN(2)/25)*AV157+(1-EXP(-LN(2)/25))/(LN(2)/25)*Calculateur!AQ158*Calculateur!AS158*VLOOKUP('Données projet'!$B$10,Paramètres!$A$1:$I$89,3,0)*0.475*44/12</f>
        <v>13.614551949435619</v>
      </c>
      <c r="AW158" s="21">
        <f>EXP(-LN(2)/2)*AW157+(1-EXP(-LN(2)/2))/(LN(2)/2)*AQ158*AT158*VLOOKUP('Données projet'!$B$10,Paramètres!$A$1:$I$89,3,0)*0.475*44/12</f>
        <v>1.1692124328511042E-6</v>
      </c>
      <c r="AX158" s="21">
        <f t="shared" si="166"/>
        <v>82.065876338975258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-2.9842794901924208E-13</v>
      </c>
      <c r="BE158" s="13">
        <f>BD158*VLOOKUP('Données projet'!$B$11,Paramètres!$A$1:$I$89,3,0)*VLOOKUP('Données projet'!$B$11,Paramètres!$A$1:$I$89,5,0)</f>
        <v>-2.839840362867108E-13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486.36809102684492</v>
      </c>
      <c r="BJ158" s="59">
        <f t="shared" si="146"/>
        <v>308.42890859885006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40.324332630025516</v>
      </c>
      <c r="BQ158" s="21">
        <f>EXP(-LN(2)/25)*BQ157+(1-EXP(-LN(2)/25))/(LN(2)/25)*Calculateur!BL158*Calculateur!BN158*VLOOKUP('Données projet'!$B$11,Paramètres!$A$1:$I$89,3,0)*0.475*44/12</f>
        <v>30.10595192189357</v>
      </c>
      <c r="BR158" s="21">
        <f>EXP(-LN(2)/2)*BR157+(1-EXP(-LN(2)/2))/(LN(2)/2)*BL158*BO158*VLOOKUP('Données projet'!$B$11,Paramètres!$A$1:$I$89,3,0)*0.475*44/12</f>
        <v>6.1904674809293344E-3</v>
      </c>
      <c r="BS158" s="22">
        <f t="shared" si="169"/>
        <v>70.436475019400021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6.8212102632969618E-13</v>
      </c>
      <c r="O159" s="13">
        <f>N159*VLOOKUP('Données projet'!$B$9,Paramètres!$A$1:$I$89,3,0)*VLOOKUP('Données projet'!$B$9,Paramètres!$A$1:$I$89,5,0)</f>
        <v>3.8130565371830017E-13</v>
      </c>
      <c r="P159" s="13">
        <f t="shared" si="141"/>
        <v>4.9019074112354236E-12</v>
      </c>
      <c r="Q159" s="20">
        <f t="shared" si="162"/>
        <v>9.2015960881277352E-12</v>
      </c>
      <c r="R159" s="59">
        <f t="shared" si="109"/>
        <v>287.35489844709753</v>
      </c>
      <c r="S159" s="59">
        <f ca="1">AVERAGE(OFFSET($R$3,0,0,'Données projet'!$E$9+1,1))-AVERAGE(OFFSET($H$3,0,0,'Données projet'!$E$9+1,1))</f>
        <v>418.8940806978344</v>
      </c>
      <c r="T159" s="59">
        <f t="shared" si="142"/>
        <v>553.49616487922378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32.728441831089249</v>
      </c>
      <c r="AA159" s="21">
        <f>EXP(-LN(2)/25)*AA158+(1-EXP(-LN(2)/25))/(LN(2)/25)*Calculateur!V159*Calculateur!X159*VLOOKUP('Données projet'!$B$9,Paramètres!$A$1:$I$89,3,0)*0.475*44/12</f>
        <v>5.0256323990379812</v>
      </c>
      <c r="AB159" s="21">
        <f>EXP(-LN(2)/2)*AB158+(1-EXP(-LN(2)/2))/(LN(2)/2)*V159*Y159*VLOOKUP('Données projet'!$B$9,Paramètres!$A$1:$I$89,3,0)*0.475*44/12</f>
        <v>4.0636974203322253E-14</v>
      </c>
      <c r="AC159" s="22">
        <f t="shared" si="163"/>
        <v>37.754074230127273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-2.3942448024172334E-13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391.61151255507264</v>
      </c>
      <c r="AO159" s="59">
        <f t="shared" si="144"/>
        <v>365.61278905364281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67.109034523161156</v>
      </c>
      <c r="AV159" s="21">
        <f>EXP(-LN(2)/25)*AV158+(1-EXP(-LN(2)/25))/(LN(2)/25)*Calculateur!AQ159*Calculateur!AS159*VLOOKUP('Données projet'!$B$10,Paramètres!$A$1:$I$89,3,0)*0.475*44/12</f>
        <v>13.242261310420131</v>
      </c>
      <c r="AW159" s="21">
        <f>EXP(-LN(2)/2)*AW158+(1-EXP(-LN(2)/2))/(LN(2)/2)*AQ159*AT159*VLOOKUP('Données projet'!$B$10,Paramètres!$A$1:$I$89,3,0)*0.475*44/12</f>
        <v>8.2675803991663662E-7</v>
      </c>
      <c r="AX159" s="21">
        <f t="shared" si="166"/>
        <v>80.351296660339329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-2.9842794901924208E-13</v>
      </c>
      <c r="BE159" s="13">
        <f>BD159*VLOOKUP('Données projet'!$B$11,Paramètres!$A$1:$I$89,3,0)*VLOOKUP('Données projet'!$B$11,Paramètres!$A$1:$I$89,5,0)</f>
        <v>-2.839840362867108E-13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486.36809102684492</v>
      </c>
      <c r="BJ159" s="59">
        <f t="shared" si="146"/>
        <v>308.42890859885006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39.533597062565022</v>
      </c>
      <c r="BQ159" s="21">
        <f>EXP(-LN(2)/25)*BQ158+(1-EXP(-LN(2)/25))/(LN(2)/25)*Calculateur!BL159*Calculateur!BN159*VLOOKUP('Données projet'!$B$11,Paramètres!$A$1:$I$89,3,0)*0.475*44/12</f>
        <v>29.282703083386188</v>
      </c>
      <c r="BR159" s="21">
        <f>EXP(-LN(2)/2)*BR158+(1-EXP(-LN(2)/2))/(LN(2)/2)*BL159*BO159*VLOOKUP('Données projet'!$B$11,Paramètres!$A$1:$I$89,3,0)*0.475*44/12</f>
        <v>4.3773215344799369E-3</v>
      </c>
      <c r="BS159" s="22">
        <f t="shared" si="169"/>
        <v>68.82067746748568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6.8212102632969618E-13</v>
      </c>
      <c r="O160" s="13">
        <f>N160*VLOOKUP('Données projet'!$B$9,Paramètres!$A$1:$I$89,3,0)*VLOOKUP('Données projet'!$B$9,Paramètres!$A$1:$I$89,5,0)</f>
        <v>3.8130565371830017E-13</v>
      </c>
      <c r="P160" s="13">
        <f t="shared" si="141"/>
        <v>4.9019074112354236E-12</v>
      </c>
      <c r="Q160" s="20">
        <f t="shared" si="162"/>
        <v>9.2015960881277352E-12</v>
      </c>
      <c r="R160" s="59">
        <f t="shared" si="109"/>
        <v>287.45861092659578</v>
      </c>
      <c r="S160" s="59">
        <f ca="1">AVERAGE(OFFSET($R$3,0,0,'Données projet'!$E$9+1,1))-AVERAGE(OFFSET($H$3,0,0,'Données projet'!$E$9+1,1))</f>
        <v>418.8940806978344</v>
      </c>
      <c r="T160" s="59">
        <f t="shared" si="142"/>
        <v>553.49616487922378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32.086657049159982</v>
      </c>
      <c r="AA160" s="21">
        <f>EXP(-LN(2)/25)*AA159+(1-EXP(-LN(2)/25))/(LN(2)/25)*Calculateur!V160*Calculateur!X160*VLOOKUP('Données projet'!$B$9,Paramètres!$A$1:$I$89,3,0)*0.475*44/12</f>
        <v>4.888206216799766</v>
      </c>
      <c r="AB160" s="21">
        <f>EXP(-LN(2)/2)*AB159+(1-EXP(-LN(2)/2))/(LN(2)/2)*V160*Y160*VLOOKUP('Données projet'!$B$9,Paramètres!$A$1:$I$89,3,0)*0.475*44/12</f>
        <v>2.8734680026071964E-14</v>
      </c>
      <c r="AC160" s="22">
        <f t="shared" si="163"/>
        <v>36.974863265959776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-2.3942448024172334E-13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391.61151255507264</v>
      </c>
      <c r="AO160" s="59">
        <f t="shared" si="144"/>
        <v>365.61278905364281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65.793067288631278</v>
      </c>
      <c r="AV160" s="21">
        <f>EXP(-LN(2)/25)*AV159+(1-EXP(-LN(2)/25))/(LN(2)/25)*Calculateur!AQ160*Calculateur!AS160*VLOOKUP('Données projet'!$B$10,Paramètres!$A$1:$I$89,3,0)*0.475*44/12</f>
        <v>12.880150978506435</v>
      </c>
      <c r="AW160" s="21">
        <f>EXP(-LN(2)/2)*AW159+(1-EXP(-LN(2)/2))/(LN(2)/2)*AQ160*AT160*VLOOKUP('Données projet'!$B$10,Paramètres!$A$1:$I$89,3,0)*0.475*44/12</f>
        <v>5.8460621642555208E-7</v>
      </c>
      <c r="AX160" s="21">
        <f t="shared" si="166"/>
        <v>78.673218851743925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-2.9842794901924208E-13</v>
      </c>
      <c r="BE160" s="13">
        <f>BD160*VLOOKUP('Données projet'!$B$11,Paramètres!$A$1:$I$89,3,0)*VLOOKUP('Données projet'!$B$11,Paramètres!$A$1:$I$89,5,0)</f>
        <v>-2.839840362867108E-13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486.36809102684492</v>
      </c>
      <c r="BJ160" s="59">
        <f t="shared" si="146"/>
        <v>308.42890859885006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38.758367337281356</v>
      </c>
      <c r="BQ160" s="21">
        <f>EXP(-LN(2)/25)*BQ159+(1-EXP(-LN(2)/25))/(LN(2)/25)*Calculateur!BL160*Calculateur!BN160*VLOOKUP('Données projet'!$B$11,Paramètres!$A$1:$I$89,3,0)*0.475*44/12</f>
        <v>28.481966027660565</v>
      </c>
      <c r="BR160" s="21">
        <f>EXP(-LN(2)/2)*BR159+(1-EXP(-LN(2)/2))/(LN(2)/2)*BL160*BO160*VLOOKUP('Données projet'!$B$11,Paramètres!$A$1:$I$89,3,0)*0.475*44/12</f>
        <v>3.0952337404646672E-3</v>
      </c>
      <c r="BS160" s="22">
        <f t="shared" si="169"/>
        <v>67.243428598682385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6.8212102632969618E-13</v>
      </c>
      <c r="O161" s="13">
        <f>N161*VLOOKUP('Données projet'!$B$9,Paramètres!$A$1:$I$89,3,0)*VLOOKUP('Données projet'!$B$9,Paramètres!$A$1:$I$89,5,0)</f>
        <v>3.8130565371830017E-13</v>
      </c>
      <c r="P161" s="13">
        <f t="shared" si="141"/>
        <v>4.9019074112354236E-12</v>
      </c>
      <c r="Q161" s="20">
        <f t="shared" si="162"/>
        <v>9.2015960881277352E-12</v>
      </c>
      <c r="R161" s="59">
        <f t="shared" si="109"/>
        <v>287.5605242264412</v>
      </c>
      <c r="S161" s="59">
        <f ca="1">AVERAGE(OFFSET($R$3,0,0,'Données projet'!$E$9+1,1))-AVERAGE(OFFSET($H$3,0,0,'Données projet'!$E$9+1,1))</f>
        <v>418.8940806978344</v>
      </c>
      <c r="T161" s="59">
        <f t="shared" si="142"/>
        <v>553.49616487922378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31.457457275354287</v>
      </c>
      <c r="AA161" s="21">
        <f>EXP(-LN(2)/25)*AA160+(1-EXP(-LN(2)/25))/(LN(2)/25)*Calculateur!V161*Calculateur!X161*VLOOKUP('Données projet'!$B$9,Paramètres!$A$1:$I$89,3,0)*0.475*44/12</f>
        <v>4.7545379607417839</v>
      </c>
      <c r="AB161" s="21">
        <f>EXP(-LN(2)/2)*AB160+(1-EXP(-LN(2)/2))/(LN(2)/2)*V161*Y161*VLOOKUP('Données projet'!$B$9,Paramètres!$A$1:$I$89,3,0)*0.475*44/12</f>
        <v>2.0318487101661126E-14</v>
      </c>
      <c r="AC161" s="22">
        <f t="shared" si="163"/>
        <v>36.211995236096094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-2.3942448024172334E-13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391.61151255507264</v>
      </c>
      <c r="AO161" s="59">
        <f t="shared" si="144"/>
        <v>365.61278905364281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64.502905368909779</v>
      </c>
      <c r="AV161" s="21">
        <f>EXP(-LN(2)/25)*AV160+(1-EXP(-LN(2)/25))/(LN(2)/25)*Calculateur!AQ161*Calculateur!AS161*VLOOKUP('Données projet'!$B$10,Paramètres!$A$1:$I$89,3,0)*0.475*44/12</f>
        <v>12.527942572661475</v>
      </c>
      <c r="AW161" s="21">
        <f>EXP(-LN(2)/2)*AW160+(1-EXP(-LN(2)/2))/(LN(2)/2)*AQ161*AT161*VLOOKUP('Données projet'!$B$10,Paramètres!$A$1:$I$89,3,0)*0.475*44/12</f>
        <v>4.1337901995831831E-7</v>
      </c>
      <c r="AX161" s="21">
        <f t="shared" si="166"/>
        <v>77.03084835495028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-2.9842794901924208E-13</v>
      </c>
      <c r="BE161" s="13">
        <f>BD161*VLOOKUP('Données projet'!$B$11,Paramètres!$A$1:$I$89,3,0)*VLOOKUP('Données projet'!$B$11,Paramètres!$A$1:$I$89,5,0)</f>
        <v>-2.839840362867108E-13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486.36809102684492</v>
      </c>
      <c r="BJ161" s="59">
        <f t="shared" si="146"/>
        <v>308.42890859885006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37.99833939406706</v>
      </c>
      <c r="BQ161" s="21">
        <f>EXP(-LN(2)/25)*BQ160+(1-EXP(-LN(2)/25))/(LN(2)/25)*Calculateur!BL161*Calculateur!BN161*VLOOKUP('Données projet'!$B$11,Paramètres!$A$1:$I$89,3,0)*0.475*44/12</f>
        <v>27.703125168832692</v>
      </c>
      <c r="BR161" s="21">
        <f>EXP(-LN(2)/2)*BR160+(1-EXP(-LN(2)/2))/(LN(2)/2)*BL161*BO161*VLOOKUP('Données projet'!$B$11,Paramètres!$A$1:$I$89,3,0)*0.475*44/12</f>
        <v>2.1886607672399684E-3</v>
      </c>
      <c r="BS161" s="22">
        <f t="shared" si="169"/>
        <v>65.703653223667004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6.8212102632969618E-13</v>
      </c>
      <c r="O162" s="13">
        <f>N162*VLOOKUP('Données projet'!$B$9,Paramètres!$A$1:$I$89,3,0)*VLOOKUP('Données projet'!$B$9,Paramètres!$A$1:$I$89,5,0)</f>
        <v>3.8130565371830017E-13</v>
      </c>
      <c r="P162" s="13">
        <f t="shared" si="141"/>
        <v>4.9019074112354236E-12</v>
      </c>
      <c r="Q162" s="20">
        <f t="shared" si="162"/>
        <v>9.2015960881277352E-12</v>
      </c>
      <c r="R162" s="59">
        <f t="shared" si="109"/>
        <v>287.66066955837817</v>
      </c>
      <c r="S162" s="59">
        <f ca="1">AVERAGE(OFFSET($R$3,0,0,'Données projet'!$E$9+1,1))-AVERAGE(OFFSET($H$3,0,0,'Données projet'!$E$9+1,1))</f>
        <v>418.8940806978344</v>
      </c>
      <c r="T162" s="59">
        <f t="shared" si="142"/>
        <v>553.49616487922378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30.840595725338954</v>
      </c>
      <c r="AA162" s="21">
        <f>EXP(-LN(2)/25)*AA161+(1-EXP(-LN(2)/25))/(LN(2)/25)*Calculateur!V162*Calculateur!X162*VLOOKUP('Données projet'!$B$9,Paramètres!$A$1:$I$89,3,0)*0.475*44/12</f>
        <v>4.6245248701750148</v>
      </c>
      <c r="AB162" s="21">
        <f>EXP(-LN(2)/2)*AB161+(1-EXP(-LN(2)/2))/(LN(2)/2)*V162*Y162*VLOOKUP('Données projet'!$B$9,Paramètres!$A$1:$I$89,3,0)*0.475*44/12</f>
        <v>1.4367340013035982E-14</v>
      </c>
      <c r="AC162" s="22">
        <f t="shared" si="163"/>
        <v>35.46512059551398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-2.3942448024172334E-13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391.61151255507264</v>
      </c>
      <c r="AO162" s="59">
        <f t="shared" si="144"/>
        <v>365.61278905364281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63.238042737512949</v>
      </c>
      <c r="AV162" s="21">
        <f>EXP(-LN(2)/25)*AV161+(1-EXP(-LN(2)/25))/(LN(2)/25)*Calculateur!AQ162*Calculateur!AS162*VLOOKUP('Données projet'!$B$10,Paramètres!$A$1:$I$89,3,0)*0.475*44/12</f>
        <v>12.18536532419618</v>
      </c>
      <c r="AW162" s="21">
        <f>EXP(-LN(2)/2)*AW161+(1-EXP(-LN(2)/2))/(LN(2)/2)*AQ162*AT162*VLOOKUP('Données projet'!$B$10,Paramètres!$A$1:$I$89,3,0)*0.475*44/12</f>
        <v>2.9230310821277604E-7</v>
      </c>
      <c r="AX162" s="21">
        <f t="shared" si="166"/>
        <v>75.423408354012238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-2.9842794901924208E-13</v>
      </c>
      <c r="BE162" s="13">
        <f>BD162*VLOOKUP('Données projet'!$B$11,Paramètres!$A$1:$I$89,3,0)*VLOOKUP('Données projet'!$B$11,Paramètres!$A$1:$I$89,5,0)</f>
        <v>-2.839840362867108E-13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486.36809102684492</v>
      </c>
      <c r="BJ162" s="59">
        <f t="shared" si="146"/>
        <v>308.42890859885006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37.253215135247927</v>
      </c>
      <c r="BQ162" s="21">
        <f>EXP(-LN(2)/25)*BQ161+(1-EXP(-LN(2)/25))/(LN(2)/25)*Calculateur!BL162*Calculateur!BN162*VLOOKUP('Données projet'!$B$11,Paramètres!$A$1:$I$89,3,0)*0.475*44/12</f>
        <v>26.945581754246927</v>
      </c>
      <c r="BR162" s="21">
        <f>EXP(-LN(2)/2)*BR161+(1-EXP(-LN(2)/2))/(LN(2)/2)*BL162*BO162*VLOOKUP('Données projet'!$B$11,Paramètres!$A$1:$I$89,3,0)*0.475*44/12</f>
        <v>1.5476168702323336E-3</v>
      </c>
      <c r="BS162" s="22">
        <f t="shared" si="169"/>
        <v>64.200344506365084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6.8212102632969618E-13</v>
      </c>
      <c r="O163" s="13">
        <f>N163*VLOOKUP('Données projet'!$B$9,Paramètres!$A$1:$I$89,3,0)*VLOOKUP('Données projet'!$B$9,Paramètres!$A$1:$I$89,5,0)</f>
        <v>3.8130565371830017E-13</v>
      </c>
      <c r="P163" s="13">
        <f t="shared" si="141"/>
        <v>4.9019074112354236E-12</v>
      </c>
      <c r="Q163" s="20">
        <f t="shared" si="162"/>
        <v>9.2015960881277352E-12</v>
      </c>
      <c r="R163" s="59">
        <f t="shared" si="109"/>
        <v>287.75907759269757</v>
      </c>
      <c r="S163" s="59">
        <f ca="1">AVERAGE(OFFSET($R$3,0,0,'Données projet'!$E$9+1,1))-AVERAGE(OFFSET($H$3,0,0,'Données projet'!$E$9+1,1))</f>
        <v>418.8940806978344</v>
      </c>
      <c r="T163" s="59">
        <f t="shared" si="142"/>
        <v>553.49616487922378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30.235830454071028</v>
      </c>
      <c r="AA163" s="21">
        <f>EXP(-LN(2)/25)*AA162+(1-EXP(-LN(2)/25))/(LN(2)/25)*Calculateur!V163*Calculateur!X163*VLOOKUP('Données projet'!$B$9,Paramètres!$A$1:$I$89,3,0)*0.475*44/12</f>
        <v>4.4980669944068854</v>
      </c>
      <c r="AB163" s="21">
        <f>EXP(-LN(2)/2)*AB162+(1-EXP(-LN(2)/2))/(LN(2)/2)*V163*Y163*VLOOKUP('Données projet'!$B$9,Paramètres!$A$1:$I$89,3,0)*0.475*44/12</f>
        <v>1.0159243550830563E-14</v>
      </c>
      <c r="AC163" s="22">
        <f t="shared" si="163"/>
        <v>34.733897448477919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-2.3942448024172334E-13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391.61151255507264</v>
      </c>
      <c r="AO163" s="59">
        <f t="shared" si="144"/>
        <v>365.61278905364281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61.997983290827783</v>
      </c>
      <c r="AV163" s="21">
        <f>EXP(-LN(2)/25)*AV162+(1-EXP(-LN(2)/25))/(LN(2)/25)*Calculateur!AQ163*Calculateur!AS163*VLOOKUP('Données projet'!$B$10,Paramètres!$A$1:$I$89,3,0)*0.475*44/12</f>
        <v>11.852155868605523</v>
      </c>
      <c r="AW163" s="21">
        <f>EXP(-LN(2)/2)*AW162+(1-EXP(-LN(2)/2))/(LN(2)/2)*AQ163*AT163*VLOOKUP('Données projet'!$B$10,Paramètres!$A$1:$I$89,3,0)*0.475*44/12</f>
        <v>2.0668950997915915E-7</v>
      </c>
      <c r="AX163" s="21">
        <f t="shared" si="166"/>
        <v>73.850139366122818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-2.9842794901924208E-13</v>
      </c>
      <c r="BE163" s="13">
        <f>BD163*VLOOKUP('Données projet'!$B$11,Paramètres!$A$1:$I$89,3,0)*VLOOKUP('Données projet'!$B$11,Paramètres!$A$1:$I$89,5,0)</f>
        <v>-2.839840362867108E-13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486.36809102684492</v>
      </c>
      <c r="BJ163" s="59">
        <f t="shared" si="146"/>
        <v>308.42890859885006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36.522702308663312</v>
      </c>
      <c r="BQ163" s="21">
        <f>EXP(-LN(2)/25)*BQ162+(1-EXP(-LN(2)/25))/(LN(2)/25)*Calculateur!BL163*Calculateur!BN163*VLOOKUP('Données projet'!$B$11,Paramètres!$A$1:$I$89,3,0)*0.475*44/12</f>
        <v>26.208753404170483</v>
      </c>
      <c r="BR163" s="21">
        <f>EXP(-LN(2)/2)*BR162+(1-EXP(-LN(2)/2))/(LN(2)/2)*BL163*BO163*VLOOKUP('Données projet'!$B$11,Paramètres!$A$1:$I$89,3,0)*0.475*44/12</f>
        <v>1.0943303836199842E-3</v>
      </c>
      <c r="BS163" s="22">
        <f t="shared" si="169"/>
        <v>62.732550043217415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6.8212102632969618E-13</v>
      </c>
      <c r="O164" s="13">
        <f>N164*VLOOKUP('Données projet'!$B$9,Paramètres!$A$1:$I$89,3,0)*VLOOKUP('Données projet'!$B$9,Paramètres!$A$1:$I$89,5,0)</f>
        <v>3.8130565371830017E-13</v>
      </c>
      <c r="P164" s="13">
        <f t="shared" si="141"/>
        <v>4.9019074112354236E-12</v>
      </c>
      <c r="Q164" s="20">
        <f t="shared" si="162"/>
        <v>9.2015960881277352E-12</v>
      </c>
      <c r="R164" s="59">
        <f t="shared" si="109"/>
        <v>287.85577846762891</v>
      </c>
      <c r="S164" s="59">
        <f ca="1">AVERAGE(OFFSET($R$3,0,0,'Données projet'!$E$9+1,1))-AVERAGE(OFFSET($H$3,0,0,'Données projet'!$E$9+1,1))</f>
        <v>418.8940806978344</v>
      </c>
      <c r="T164" s="59">
        <f t="shared" si="142"/>
        <v>553.49616487922378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29.642924260902273</v>
      </c>
      <c r="AA164" s="21">
        <f>EXP(-LN(2)/25)*AA163+(1-EXP(-LN(2)/25))/(LN(2)/25)*Calculateur!V164*Calculateur!X164*VLOOKUP('Données projet'!$B$9,Paramètres!$A$1:$I$89,3,0)*0.475*44/12</f>
        <v>4.375067115901766</v>
      </c>
      <c r="AB164" s="21">
        <f>EXP(-LN(2)/2)*AB163+(1-EXP(-LN(2)/2))/(LN(2)/2)*V164*Y164*VLOOKUP('Données projet'!$B$9,Paramètres!$A$1:$I$89,3,0)*0.475*44/12</f>
        <v>7.1836700065179911E-15</v>
      </c>
      <c r="AC164" s="22">
        <f t="shared" si="163"/>
        <v>34.017991376804048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-2.3942448024172334E-13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391.61151255507264</v>
      </c>
      <c r="AO164" s="59">
        <f t="shared" si="144"/>
        <v>365.61278905364281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60.782240653530536</v>
      </c>
      <c r="AV164" s="21">
        <f>EXP(-LN(2)/25)*AV163+(1-EXP(-LN(2)/25))/(LN(2)/25)*Calculateur!AQ164*Calculateur!AS164*VLOOKUP('Données projet'!$B$10,Paramètres!$A$1:$I$89,3,0)*0.475*44/12</f>
        <v>11.528058043100717</v>
      </c>
      <c r="AW164" s="21">
        <f>EXP(-LN(2)/2)*AW163+(1-EXP(-LN(2)/2))/(LN(2)/2)*AQ164*AT164*VLOOKUP('Données projet'!$B$10,Paramètres!$A$1:$I$89,3,0)*0.475*44/12</f>
        <v>1.4615155410638802E-7</v>
      </c>
      <c r="AX164" s="21">
        <f t="shared" si="166"/>
        <v>72.3102988427828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-2.9842794901924208E-13</v>
      </c>
      <c r="BE164" s="13">
        <f>BD164*VLOOKUP('Données projet'!$B$11,Paramètres!$A$1:$I$89,3,0)*VLOOKUP('Données projet'!$B$11,Paramètres!$A$1:$I$89,5,0)</f>
        <v>-2.839840362867108E-13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486.36809102684492</v>
      </c>
      <c r="BJ164" s="59">
        <f t="shared" si="146"/>
        <v>308.42890859885006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35.806514393039194</v>
      </c>
      <c r="BQ164" s="21">
        <f>EXP(-LN(2)/25)*BQ163+(1-EXP(-LN(2)/25))/(LN(2)/25)*Calculateur!BL164*Calculateur!BN164*VLOOKUP('Données projet'!$B$11,Paramètres!$A$1:$I$89,3,0)*0.475*44/12</f>
        <v>25.492073664075001</v>
      </c>
      <c r="BR164" s="21">
        <f>EXP(-LN(2)/2)*BR163+(1-EXP(-LN(2)/2))/(LN(2)/2)*BL164*BO164*VLOOKUP('Données projet'!$B$11,Paramètres!$A$1:$I$89,3,0)*0.475*44/12</f>
        <v>7.738084351161668E-4</v>
      </c>
      <c r="BS164" s="22">
        <f t="shared" si="169"/>
        <v>61.299361865549308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6.8212102632969618E-13</v>
      </c>
      <c r="O165" s="13">
        <f>N165*VLOOKUP('Données projet'!$B$9,Paramètres!$A$1:$I$89,3,0)*VLOOKUP('Données projet'!$B$9,Paramètres!$A$1:$I$89,5,0)</f>
        <v>3.8130565371830017E-13</v>
      </c>
      <c r="P165" s="13">
        <f t="shared" si="141"/>
        <v>4.9019074112354236E-12</v>
      </c>
      <c r="Q165" s="20">
        <f t="shared" si="162"/>
        <v>9.2015960881277352E-12</v>
      </c>
      <c r="R165" s="59">
        <f t="shared" si="109"/>
        <v>287.95080179857092</v>
      </c>
      <c r="S165" s="59">
        <f ca="1">AVERAGE(OFFSET($R$3,0,0,'Données projet'!$E$9+1,1))-AVERAGE(OFFSET($H$3,0,0,'Données projet'!$E$9+1,1))</f>
        <v>418.8940806978344</v>
      </c>
      <c r="T165" s="59">
        <f t="shared" si="142"/>
        <v>553.49616487922378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29.061644596544486</v>
      </c>
      <c r="AA165" s="21">
        <f>EXP(-LN(2)/25)*AA164+(1-EXP(-LN(2)/25))/(LN(2)/25)*Calculateur!V165*Calculateur!X165*VLOOKUP('Données projet'!$B$9,Paramètres!$A$1:$I$89,3,0)*0.475*44/12</f>
        <v>4.2554306755426516</v>
      </c>
      <c r="AB165" s="21">
        <f>EXP(-LN(2)/2)*AB164+(1-EXP(-LN(2)/2))/(LN(2)/2)*V165*Y165*VLOOKUP('Données projet'!$B$9,Paramètres!$A$1:$I$89,3,0)*0.475*44/12</f>
        <v>5.0796217754152816E-15</v>
      </c>
      <c r="AC165" s="22">
        <f t="shared" si="163"/>
        <v>33.317075272087145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-2.3942448024172334E-13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391.61151255507264</v>
      </c>
      <c r="AO165" s="59">
        <f t="shared" si="144"/>
        <v>365.61278905364281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59.590337987820895</v>
      </c>
      <c r="AV165" s="21">
        <f>EXP(-LN(2)/25)*AV164+(1-EXP(-LN(2)/25))/(LN(2)/25)*Calculateur!AQ165*Calculateur!AS165*VLOOKUP('Données projet'!$B$10,Paramètres!$A$1:$I$89,3,0)*0.475*44/12</f>
        <v>11.212822689677903</v>
      </c>
      <c r="AW165" s="21">
        <f>EXP(-LN(2)/2)*AW164+(1-EXP(-LN(2)/2))/(LN(2)/2)*AQ165*AT165*VLOOKUP('Données projet'!$B$10,Paramètres!$A$1:$I$89,3,0)*0.475*44/12</f>
        <v>1.0334475498957958E-7</v>
      </c>
      <c r="AX165" s="21">
        <f t="shared" si="166"/>
        <v>70.803160780843555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-2.9842794901924208E-13</v>
      </c>
      <c r="BE165" s="13">
        <f>BD165*VLOOKUP('Données projet'!$B$11,Paramètres!$A$1:$I$89,3,0)*VLOOKUP('Données projet'!$B$11,Paramètres!$A$1:$I$89,5,0)</f>
        <v>-2.839840362867108E-13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486.36809102684492</v>
      </c>
      <c r="BJ165" s="59">
        <f t="shared" si="146"/>
        <v>308.42890859885006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35.104370485608975</v>
      </c>
      <c r="BQ165" s="21">
        <f>EXP(-LN(2)/25)*BQ164+(1-EXP(-LN(2)/25))/(LN(2)/25)*Calculateur!BL165*Calculateur!BN165*VLOOKUP('Données projet'!$B$11,Paramètres!$A$1:$I$89,3,0)*0.475*44/12</f>
        <v>24.794991569160977</v>
      </c>
      <c r="BR165" s="21">
        <f>EXP(-LN(2)/2)*BR164+(1-EXP(-LN(2)/2))/(LN(2)/2)*BL165*BO165*VLOOKUP('Données projet'!$B$11,Paramètres!$A$1:$I$89,3,0)*0.475*44/12</f>
        <v>5.4716519180999211E-4</v>
      </c>
      <c r="BS165" s="22">
        <f t="shared" si="169"/>
        <v>59.899909219961764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6.8212102632969618E-13</v>
      </c>
      <c r="O166" s="13">
        <f>N166*VLOOKUP('Données projet'!$B$9,Paramètres!$A$1:$I$89,3,0)*VLOOKUP('Données projet'!$B$9,Paramètres!$A$1:$I$89,5,0)</f>
        <v>3.8130565371830017E-13</v>
      </c>
      <c r="P166" s="13">
        <f t="shared" si="141"/>
        <v>4.9019074112354236E-12</v>
      </c>
      <c r="Q166" s="20">
        <f t="shared" si="162"/>
        <v>9.2015960881277352E-12</v>
      </c>
      <c r="R166" s="59">
        <f t="shared" si="109"/>
        <v>288.04417668716144</v>
      </c>
      <c r="S166" s="59">
        <f ca="1">AVERAGE(OFFSET($R$3,0,0,'Données projet'!$E$9+1,1))-AVERAGE(OFFSET($H$3,0,0,'Données projet'!$E$9+1,1))</f>
        <v>418.8940806978344</v>
      </c>
      <c r="T166" s="59">
        <f t="shared" si="142"/>
        <v>553.49616487922378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28.491763471859169</v>
      </c>
      <c r="AA166" s="21">
        <f>EXP(-LN(2)/25)*AA165+(1-EXP(-LN(2)/25))/(LN(2)/25)*Calculateur!V166*Calculateur!X166*VLOOKUP('Données projet'!$B$9,Paramètres!$A$1:$I$89,3,0)*0.475*44/12</f>
        <v>4.1390656999365643</v>
      </c>
      <c r="AB166" s="21">
        <f>EXP(-LN(2)/2)*AB165+(1-EXP(-LN(2)/2))/(LN(2)/2)*V166*Y166*VLOOKUP('Données projet'!$B$9,Paramètres!$A$1:$I$89,3,0)*0.475*44/12</f>
        <v>3.5918350032589955E-15</v>
      </c>
      <c r="AC166" s="22">
        <f t="shared" si="163"/>
        <v>32.630829171795739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-2.3942448024172334E-13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391.61151255507264</v>
      </c>
      <c r="AO166" s="59">
        <f t="shared" si="144"/>
        <v>365.61278905364281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58.421807806396977</v>
      </c>
      <c r="AV166" s="21">
        <f>EXP(-LN(2)/25)*AV165+(1-EXP(-LN(2)/25))/(LN(2)/25)*Calculateur!AQ166*Calculateur!AS166*VLOOKUP('Données projet'!$B$10,Paramètres!$A$1:$I$89,3,0)*0.475*44/12</f>
        <v>10.906207463571944</v>
      </c>
      <c r="AW166" s="21">
        <f>EXP(-LN(2)/2)*AW165+(1-EXP(-LN(2)/2))/(LN(2)/2)*AQ166*AT166*VLOOKUP('Données projet'!$B$10,Paramètres!$A$1:$I$89,3,0)*0.475*44/12</f>
        <v>7.307577705319401E-8</v>
      </c>
      <c r="AX166" s="21">
        <f t="shared" si="166"/>
        <v>69.328015343044697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-2.9842794901924208E-13</v>
      </c>
      <c r="BE166" s="13">
        <f>BD166*VLOOKUP('Données projet'!$B$11,Paramètres!$A$1:$I$89,3,0)*VLOOKUP('Données projet'!$B$11,Paramètres!$A$1:$I$89,5,0)</f>
        <v>-2.839840362867108E-13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486.36809102684492</v>
      </c>
      <c r="BJ166" s="59">
        <f t="shared" si="146"/>
        <v>308.42890859885006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34.415995191937967</v>
      </c>
      <c r="BQ166" s="21">
        <f>EXP(-LN(2)/25)*BQ165+(1-EXP(-LN(2)/25))/(LN(2)/25)*Calculateur!BL166*Calculateur!BN166*VLOOKUP('Données projet'!$B$11,Paramètres!$A$1:$I$89,3,0)*0.475*44/12</f>
        <v>24.116971220790333</v>
      </c>
      <c r="BR166" s="21">
        <f>EXP(-LN(2)/2)*BR165+(1-EXP(-LN(2)/2))/(LN(2)/2)*BL166*BO166*VLOOKUP('Données projet'!$B$11,Paramètres!$A$1:$I$89,3,0)*0.475*44/12</f>
        <v>3.869042175580834E-4</v>
      </c>
      <c r="BS166" s="22">
        <f t="shared" si="169"/>
        <v>58.533353316945856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6.8212102632969618E-13</v>
      </c>
      <c r="O167" s="13">
        <f>N167*VLOOKUP('Données projet'!$B$9,Paramètres!$A$1:$I$89,3,0)*VLOOKUP('Données projet'!$B$9,Paramètres!$A$1:$I$89,5,0)</f>
        <v>3.8130565371830017E-13</v>
      </c>
      <c r="P167" s="13">
        <f t="shared" si="141"/>
        <v>4.9019074112354236E-12</v>
      </c>
      <c r="Q167" s="20">
        <f t="shared" si="162"/>
        <v>9.2015960881277352E-12</v>
      </c>
      <c r="R167" s="59">
        <f t="shared" si="109"/>
        <v>288.1359317301899</v>
      </c>
      <c r="S167" s="59">
        <f ca="1">AVERAGE(OFFSET($R$3,0,0,'Données projet'!$E$9+1,1))-AVERAGE(OFFSET($H$3,0,0,'Données projet'!$E$9+1,1))</f>
        <v>418.8940806978344</v>
      </c>
      <c r="T167" s="59">
        <f t="shared" si="142"/>
        <v>553.49616487922378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27.933057368435769</v>
      </c>
      <c r="AA167" s="21">
        <f>EXP(-LN(2)/25)*AA166+(1-EXP(-LN(2)/25))/(LN(2)/25)*Calculateur!V167*Calculateur!X167*VLOOKUP('Données projet'!$B$9,Paramètres!$A$1:$I$89,3,0)*0.475*44/12</f>
        <v>4.025882730707794</v>
      </c>
      <c r="AB167" s="21">
        <f>EXP(-LN(2)/2)*AB166+(1-EXP(-LN(2)/2))/(LN(2)/2)*V167*Y167*VLOOKUP('Données projet'!$B$9,Paramètres!$A$1:$I$89,3,0)*0.475*44/12</f>
        <v>2.5398108877076408E-15</v>
      </c>
      <c r="AC167" s="22">
        <f t="shared" si="163"/>
        <v>31.958940099143565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-2.3942448024172334E-13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391.61151255507264</v>
      </c>
      <c r="AO167" s="59">
        <f t="shared" si="144"/>
        <v>365.61278905364281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57.276191789097751</v>
      </c>
      <c r="AV167" s="21">
        <f>EXP(-LN(2)/25)*AV166+(1-EXP(-LN(2)/25))/(LN(2)/25)*Calculateur!AQ167*Calculateur!AS167*VLOOKUP('Données projet'!$B$10,Paramètres!$A$1:$I$89,3,0)*0.475*44/12</f>
        <v>10.607976646948044</v>
      </c>
      <c r="AW167" s="21">
        <f>EXP(-LN(2)/2)*AW166+(1-EXP(-LN(2)/2))/(LN(2)/2)*AQ167*AT167*VLOOKUP('Données projet'!$B$10,Paramètres!$A$1:$I$89,3,0)*0.475*44/12</f>
        <v>5.1672377494789788E-8</v>
      </c>
      <c r="AX167" s="21">
        <f t="shared" si="166"/>
        <v>67.884168487718171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-2.9842794901924208E-13</v>
      </c>
      <c r="BE167" s="13">
        <f>BD167*VLOOKUP('Données projet'!$B$11,Paramètres!$A$1:$I$89,3,0)*VLOOKUP('Données projet'!$B$11,Paramètres!$A$1:$I$89,5,0)</f>
        <v>-2.839840362867108E-13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486.36809102684492</v>
      </c>
      <c r="BJ167" s="59">
        <f t="shared" si="146"/>
        <v>308.42890859885006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33.741118517908376</v>
      </c>
      <c r="BQ167" s="21">
        <f>EXP(-LN(2)/25)*BQ166+(1-EXP(-LN(2)/25))/(LN(2)/25)*Calculateur!BL167*Calculateur!BN167*VLOOKUP('Données projet'!$B$11,Paramètres!$A$1:$I$89,3,0)*0.475*44/12</f>
        <v>23.457491374501426</v>
      </c>
      <c r="BR167" s="21">
        <f>EXP(-LN(2)/2)*BR166+(1-EXP(-LN(2)/2))/(LN(2)/2)*BL167*BO167*VLOOKUP('Données projet'!$B$11,Paramètres!$A$1:$I$89,3,0)*0.475*44/12</f>
        <v>2.7358259590499605E-4</v>
      </c>
      <c r="BS167" s="22">
        <f t="shared" si="169"/>
        <v>57.198883475005708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6.8212102632969618E-13</v>
      </c>
      <c r="O168" s="13">
        <f>N168*VLOOKUP('Données projet'!$B$9,Paramètres!$A$1:$I$89,3,0)*VLOOKUP('Données projet'!$B$9,Paramètres!$A$1:$I$89,5,0)</f>
        <v>3.8130565371830017E-13</v>
      </c>
      <c r="P168" s="13">
        <f t="shared" si="141"/>
        <v>4.9019074112354236E-12</v>
      </c>
      <c r="Q168" s="20">
        <f t="shared" si="162"/>
        <v>9.2015960881277352E-12</v>
      </c>
      <c r="R168" s="59">
        <f t="shared" si="109"/>
        <v>288.22609502835536</v>
      </c>
      <c r="S168" s="59">
        <f ca="1">AVERAGE(OFFSET($R$3,0,0,'Données projet'!$E$9+1,1))-AVERAGE(OFFSET($H$3,0,0,'Données projet'!$E$9+1,1))</f>
        <v>418.8940806978344</v>
      </c>
      <c r="T168" s="59">
        <f t="shared" si="142"/>
        <v>553.49616487922378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27.385307150923428</v>
      </c>
      <c r="AA168" s="21">
        <f>EXP(-LN(2)/25)*AA167+(1-EXP(-LN(2)/25))/(LN(2)/25)*Calculateur!V168*Calculateur!X168*VLOOKUP('Données projet'!$B$9,Paramètres!$A$1:$I$89,3,0)*0.475*44/12</f>
        <v>3.915794755724618</v>
      </c>
      <c r="AB168" s="21">
        <f>EXP(-LN(2)/2)*AB167+(1-EXP(-LN(2)/2))/(LN(2)/2)*V168*Y168*VLOOKUP('Données projet'!$B$9,Paramètres!$A$1:$I$89,3,0)*0.475*44/12</f>
        <v>1.7959175016294978E-15</v>
      </c>
      <c r="AC168" s="22">
        <f t="shared" si="163"/>
        <v>31.30110190664805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-2.3942448024172334E-13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391.61151255507264</v>
      </c>
      <c r="AO168" s="59">
        <f t="shared" si="144"/>
        <v>365.61278905364281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56.153040603140987</v>
      </c>
      <c r="AV168" s="21">
        <f>EXP(-LN(2)/25)*AV167+(1-EXP(-LN(2)/25))/(LN(2)/25)*Calculateur!AQ168*Calculateur!AS168*VLOOKUP('Données projet'!$B$10,Paramètres!$A$1:$I$89,3,0)*0.475*44/12</f>
        <v>10.317900967688002</v>
      </c>
      <c r="AW168" s="21">
        <f>EXP(-LN(2)/2)*AW167+(1-EXP(-LN(2)/2))/(LN(2)/2)*AQ168*AT168*VLOOKUP('Données projet'!$B$10,Paramètres!$A$1:$I$89,3,0)*0.475*44/12</f>
        <v>3.6537888526597005E-8</v>
      </c>
      <c r="AX168" s="21">
        <f t="shared" si="166"/>
        <v>66.470941607366868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-2.9842794901924208E-13</v>
      </c>
      <c r="BE168" s="13">
        <f>BD168*VLOOKUP('Données projet'!$B$11,Paramètres!$A$1:$I$89,3,0)*VLOOKUP('Données projet'!$B$11,Paramètres!$A$1:$I$89,5,0)</f>
        <v>-2.839840362867108E-13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486.36809102684492</v>
      </c>
      <c r="BJ168" s="59">
        <f t="shared" si="146"/>
        <v>308.42890859885006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33.07947576382238</v>
      </c>
      <c r="BQ168" s="21">
        <f>EXP(-LN(2)/25)*BQ167+(1-EXP(-LN(2)/25))/(LN(2)/25)*Calculateur!BL168*Calculateur!BN168*VLOOKUP('Données projet'!$B$11,Paramètres!$A$1:$I$89,3,0)*0.475*44/12</f>
        <v>22.816045039289826</v>
      </c>
      <c r="BR168" s="21">
        <f>EXP(-LN(2)/2)*BR167+(1-EXP(-LN(2)/2))/(LN(2)/2)*BL168*BO168*VLOOKUP('Données projet'!$B$11,Paramètres!$A$1:$I$89,3,0)*0.475*44/12</f>
        <v>1.934521087790417E-4</v>
      </c>
      <c r="BS168" s="22">
        <f t="shared" si="169"/>
        <v>55.895714255220987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6.8212102632969618E-13</v>
      </c>
      <c r="O169" s="13">
        <f>N169*VLOOKUP('Données projet'!$B$9,Paramètres!$A$1:$I$89,3,0)*VLOOKUP('Données projet'!$B$9,Paramètres!$A$1:$I$89,5,0)</f>
        <v>3.8130565371830017E-13</v>
      </c>
      <c r="P169" s="13">
        <f t="shared" si="141"/>
        <v>4.9019074112354236E-12</v>
      </c>
      <c r="Q169" s="20">
        <f t="shared" si="162"/>
        <v>9.2015960881277352E-12</v>
      </c>
      <c r="R169" s="59">
        <f t="shared" si="109"/>
        <v>288.31469419487263</v>
      </c>
      <c r="S169" s="59">
        <f ca="1">AVERAGE(OFFSET($R$3,0,0,'Données projet'!$E$9+1,1))-AVERAGE(OFFSET($H$3,0,0,'Données projet'!$E$9+1,1))</f>
        <v>418.8940806978344</v>
      </c>
      <c r="T169" s="59">
        <f t="shared" si="142"/>
        <v>553.49616487922378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26.84829798108186</v>
      </c>
      <c r="AA169" s="21">
        <f>EXP(-LN(2)/25)*AA168+(1-EXP(-LN(2)/25))/(LN(2)/25)*Calculateur!V169*Calculateur!X169*VLOOKUP('Données projet'!$B$9,Paramètres!$A$1:$I$89,3,0)*0.475*44/12</f>
        <v>3.8087171422066319</v>
      </c>
      <c r="AB169" s="21">
        <f>EXP(-LN(2)/2)*AB168+(1-EXP(-LN(2)/2))/(LN(2)/2)*V169*Y169*VLOOKUP('Données projet'!$B$9,Paramètres!$A$1:$I$89,3,0)*0.475*44/12</f>
        <v>1.2699054438538204E-15</v>
      </c>
      <c r="AC169" s="22">
        <f t="shared" si="163"/>
        <v>30.657015123288492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-2.3942448024172334E-13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391.61151255507264</v>
      </c>
      <c r="AO169" s="59">
        <f t="shared" si="144"/>
        <v>365.61278905364281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55.051913726886255</v>
      </c>
      <c r="AV169" s="21">
        <f>EXP(-LN(2)/25)*AV168+(1-EXP(-LN(2)/25))/(LN(2)/25)*Calculateur!AQ169*Calculateur!AS169*VLOOKUP('Données projet'!$B$10,Paramètres!$A$1:$I$89,3,0)*0.475*44/12</f>
        <v>10.035757423131743</v>
      </c>
      <c r="AW169" s="21">
        <f>EXP(-LN(2)/2)*AW168+(1-EXP(-LN(2)/2))/(LN(2)/2)*AQ169*AT169*VLOOKUP('Données projet'!$B$10,Paramètres!$A$1:$I$89,3,0)*0.475*44/12</f>
        <v>2.5836188747394894E-8</v>
      </c>
      <c r="AX169" s="21">
        <f t="shared" si="166"/>
        <v>65.087671175854183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-2.9842794901924208E-13</v>
      </c>
      <c r="BE169" s="13">
        <f>BD169*VLOOKUP('Données projet'!$B$11,Paramètres!$A$1:$I$89,3,0)*VLOOKUP('Données projet'!$B$11,Paramètres!$A$1:$I$89,5,0)</f>
        <v>-2.839840362867108E-13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486.36809102684492</v>
      </c>
      <c r="BJ169" s="59">
        <f t="shared" si="146"/>
        <v>308.42890859885006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32.430807420581779</v>
      </c>
      <c r="BQ169" s="21">
        <f>EXP(-LN(2)/25)*BQ168+(1-EXP(-LN(2)/25))/(LN(2)/25)*Calculateur!BL169*Calculateur!BN169*VLOOKUP('Données projet'!$B$11,Paramètres!$A$1:$I$89,3,0)*0.475*44/12</f>
        <v>22.192139087846783</v>
      </c>
      <c r="BR169" s="21">
        <f>EXP(-LN(2)/2)*BR168+(1-EXP(-LN(2)/2))/(LN(2)/2)*BL169*BO169*VLOOKUP('Données projet'!$B$11,Paramètres!$A$1:$I$89,3,0)*0.475*44/12</f>
        <v>1.3679129795249803E-4</v>
      </c>
      <c r="BS169" s="22">
        <f t="shared" si="169"/>
        <v>54.623083299726517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6.8212102632969618E-13</v>
      </c>
      <c r="O170" s="13">
        <f>N170*VLOOKUP('Données projet'!$B$9,Paramètres!$A$1:$I$89,3,0)*VLOOKUP('Données projet'!$B$9,Paramètres!$A$1:$I$89,5,0)</f>
        <v>3.8130565371830017E-13</v>
      </c>
      <c r="P170" s="13">
        <f t="shared" si="141"/>
        <v>4.9019074112354236E-12</v>
      </c>
      <c r="Q170" s="20">
        <f t="shared" si="162"/>
        <v>9.2015960881277352E-12</v>
      </c>
      <c r="R170" s="59">
        <f t="shared" si="109"/>
        <v>288.40175636392883</v>
      </c>
      <c r="S170" s="59">
        <f ca="1">AVERAGE(OFFSET($R$3,0,0,'Données projet'!$E$9+1,1))-AVERAGE(OFFSET($H$3,0,0,'Données projet'!$E$9+1,1))</f>
        <v>418.8940806978344</v>
      </c>
      <c r="T170" s="59">
        <f t="shared" si="142"/>
        <v>553.49616487922378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26.321819233517633</v>
      </c>
      <c r="AA170" s="21">
        <f>EXP(-LN(2)/25)*AA169+(1-EXP(-LN(2)/25))/(LN(2)/25)*Calculateur!V170*Calculateur!X170*VLOOKUP('Données projet'!$B$9,Paramètres!$A$1:$I$89,3,0)*0.475*44/12</f>
        <v>3.7045675716612618</v>
      </c>
      <c r="AB170" s="21">
        <f>EXP(-LN(2)/2)*AB169+(1-EXP(-LN(2)/2))/(LN(2)/2)*V170*Y170*VLOOKUP('Données projet'!$B$9,Paramètres!$A$1:$I$89,3,0)*0.475*44/12</f>
        <v>8.9795875081474888E-16</v>
      </c>
      <c r="AC170" s="22">
        <f t="shared" si="163"/>
        <v>30.026386805178895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-2.3942448024172334E-13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391.61151255507264</v>
      </c>
      <c r="AO170" s="59">
        <f t="shared" si="144"/>
        <v>365.61278905364281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53.972379277053804</v>
      </c>
      <c r="AV170" s="21">
        <f>EXP(-LN(2)/25)*AV169+(1-EXP(-LN(2)/25))/(LN(2)/25)*Calculateur!AQ170*Calculateur!AS170*VLOOKUP('Données projet'!$B$10,Paramètres!$A$1:$I$89,3,0)*0.475*44/12</f>
        <v>9.7613291086386607</v>
      </c>
      <c r="AW170" s="21">
        <f>EXP(-LN(2)/2)*AW169+(1-EXP(-LN(2)/2))/(LN(2)/2)*AQ170*AT170*VLOOKUP('Données projet'!$B$10,Paramètres!$A$1:$I$89,3,0)*0.475*44/12</f>
        <v>1.8268944263298503E-8</v>
      </c>
      <c r="AX170" s="21">
        <f t="shared" si="166"/>
        <v>63.733708403961408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-2.9842794901924208E-13</v>
      </c>
      <c r="BE170" s="13">
        <f>BD170*VLOOKUP('Données projet'!$B$11,Paramètres!$A$1:$I$89,3,0)*VLOOKUP('Données projet'!$B$11,Paramètres!$A$1:$I$89,5,0)</f>
        <v>-2.839840362867108E-13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486.36809102684492</v>
      </c>
      <c r="BJ170" s="59">
        <f t="shared" si="146"/>
        <v>308.42890859885006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31.794859067903502</v>
      </c>
      <c r="BQ170" s="21">
        <f>EXP(-LN(2)/25)*BQ169+(1-EXP(-LN(2)/25))/(LN(2)/25)*Calculateur!BL170*Calculateur!BN170*VLOOKUP('Données projet'!$B$11,Paramètres!$A$1:$I$89,3,0)*0.475*44/12</f>
        <v>21.58529387745574</v>
      </c>
      <c r="BR170" s="21">
        <f>EXP(-LN(2)/2)*BR169+(1-EXP(-LN(2)/2))/(LN(2)/2)*BL170*BO170*VLOOKUP('Données projet'!$B$11,Paramètres!$A$1:$I$89,3,0)*0.475*44/12</f>
        <v>9.672605438952085E-5</v>
      </c>
      <c r="BS170" s="22">
        <f t="shared" si="169"/>
        <v>53.38024967141363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6.8212102632969618E-13</v>
      </c>
      <c r="O171" s="13">
        <f>N171*VLOOKUP('Données projet'!$B$9,Paramètres!$A$1:$I$89,3,0)*VLOOKUP('Données projet'!$B$9,Paramètres!$A$1:$I$89,5,0)</f>
        <v>3.8130565371830017E-13</v>
      </c>
      <c r="P171" s="13">
        <f t="shared" si="141"/>
        <v>4.9019074112354236E-12</v>
      </c>
      <c r="Q171" s="20">
        <f t="shared" si="162"/>
        <v>9.2015960881277352E-12</v>
      </c>
      <c r="R171" s="59">
        <f t="shared" si="109"/>
        <v>288.48730819899373</v>
      </c>
      <c r="S171" s="59">
        <f ca="1">AVERAGE(OFFSET($R$3,0,0,'Données projet'!$E$9+1,1))-AVERAGE(OFFSET($H$3,0,0,'Données projet'!$E$9+1,1))</f>
        <v>418.8940806978344</v>
      </c>
      <c r="T171" s="59">
        <f t="shared" si="142"/>
        <v>553.49616487922378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25.805664413072812</v>
      </c>
      <c r="AA171" s="21">
        <f>EXP(-LN(2)/25)*AA170+(1-EXP(-LN(2)/25))/(LN(2)/25)*Calculateur!V171*Calculateur!X171*VLOOKUP('Données projet'!$B$9,Paramètres!$A$1:$I$89,3,0)*0.475*44/12</f>
        <v>3.603265976599443</v>
      </c>
      <c r="AB171" s="21">
        <f>EXP(-LN(2)/2)*AB170+(1-EXP(-LN(2)/2))/(LN(2)/2)*V171*Y171*VLOOKUP('Données projet'!$B$9,Paramètres!$A$1:$I$89,3,0)*0.475*44/12</f>
        <v>6.349527219269102E-16</v>
      </c>
      <c r="AC171" s="22">
        <f t="shared" si="163"/>
        <v>29.408930389672253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-2.3942448024172334E-13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391.61151255507264</v>
      </c>
      <c r="AO171" s="59">
        <f t="shared" si="144"/>
        <v>365.61278905364281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52.914013839331567</v>
      </c>
      <c r="AV171" s="21">
        <f>EXP(-LN(2)/25)*AV170+(1-EXP(-LN(2)/25))/(LN(2)/25)*Calculateur!AQ171*Calculateur!AS171*VLOOKUP('Données projet'!$B$10,Paramètres!$A$1:$I$89,3,0)*0.475*44/12</f>
        <v>9.4944050508369493</v>
      </c>
      <c r="AW171" s="21">
        <f>EXP(-LN(2)/2)*AW170+(1-EXP(-LN(2)/2))/(LN(2)/2)*AQ171*AT171*VLOOKUP('Données projet'!$B$10,Paramètres!$A$1:$I$89,3,0)*0.475*44/12</f>
        <v>1.2918094373697447E-8</v>
      </c>
      <c r="AX171" s="21">
        <f t="shared" si="166"/>
        <v>62.408418903086613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-2.9842794901924208E-13</v>
      </c>
      <c r="BE171" s="13">
        <f>BD171*VLOOKUP('Données projet'!$B$11,Paramètres!$A$1:$I$89,3,0)*VLOOKUP('Données projet'!$B$11,Paramètres!$A$1:$I$89,5,0)</f>
        <v>-2.839840362867108E-13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486.36809102684492</v>
      </c>
      <c r="BJ171" s="59">
        <f t="shared" si="146"/>
        <v>308.42890859885006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31.171381274531051</v>
      </c>
      <c r="BQ171" s="21">
        <f>EXP(-LN(2)/25)*BQ170+(1-EXP(-LN(2)/25))/(LN(2)/25)*Calculateur!BL171*Calculateur!BN171*VLOOKUP('Données projet'!$B$11,Paramètres!$A$1:$I$89,3,0)*0.475*44/12</f>
        <v>20.995042881255443</v>
      </c>
      <c r="BR171" s="21">
        <f>EXP(-LN(2)/2)*BR170+(1-EXP(-LN(2)/2))/(LN(2)/2)*BL171*BO171*VLOOKUP('Données projet'!$B$11,Paramètres!$A$1:$I$89,3,0)*0.475*44/12</f>
        <v>6.8395648976249013E-5</v>
      </c>
      <c r="BS171" s="22">
        <f t="shared" si="169"/>
        <v>52.166492551435468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6.8212102632969618E-13</v>
      </c>
      <c r="O172" s="13">
        <f>N172*VLOOKUP('Données projet'!$B$9,Paramètres!$A$1:$I$89,3,0)*VLOOKUP('Données projet'!$B$9,Paramètres!$A$1:$I$89,5,0)</f>
        <v>3.8130565371830017E-13</v>
      </c>
      <c r="P172" s="13">
        <f t="shared" si="141"/>
        <v>4.9019074112354236E-12</v>
      </c>
      <c r="Q172" s="20">
        <f t="shared" si="162"/>
        <v>9.2015960881277352E-12</v>
      </c>
      <c r="R172" s="59">
        <f t="shared" si="109"/>
        <v>288.57137590098563</v>
      </c>
      <c r="S172" s="59">
        <f ca="1">AVERAGE(OFFSET($R$3,0,0,'Données projet'!$E$9+1,1))-AVERAGE(OFFSET($H$3,0,0,'Données projet'!$E$9+1,1))</f>
        <v>418.8940806978344</v>
      </c>
      <c r="T172" s="59">
        <f t="shared" si="142"/>
        <v>553.49616487922378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25.299631073833559</v>
      </c>
      <c r="AA172" s="21">
        <f>EXP(-LN(2)/25)*AA171+(1-EXP(-LN(2)/25))/(LN(2)/25)*Calculateur!V172*Calculateur!X172*VLOOKUP('Données projet'!$B$9,Paramètres!$A$1:$I$89,3,0)*0.475*44/12</f>
        <v>3.5047344789818089</v>
      </c>
      <c r="AB172" s="21">
        <f>EXP(-LN(2)/2)*AB171+(1-EXP(-LN(2)/2))/(LN(2)/2)*V172*Y172*VLOOKUP('Données projet'!$B$9,Paramètres!$A$1:$I$89,3,0)*0.475*44/12</f>
        <v>4.4897937540737444E-16</v>
      </c>
      <c r="AC172" s="22">
        <f t="shared" si="163"/>
        <v>28.804365552815369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-2.3942448024172334E-13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391.61151255507264</v>
      </c>
      <c r="AO172" s="59">
        <f t="shared" si="144"/>
        <v>365.61278905364281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51.876402302303887</v>
      </c>
      <c r="AV172" s="21">
        <f>EXP(-LN(2)/25)*AV171+(1-EXP(-LN(2)/25))/(LN(2)/25)*Calculateur!AQ172*Calculateur!AS172*VLOOKUP('Données projet'!$B$10,Paramètres!$A$1:$I$89,3,0)*0.475*44/12</f>
        <v>9.2347800454327515</v>
      </c>
      <c r="AW172" s="21">
        <f>EXP(-LN(2)/2)*AW171+(1-EXP(-LN(2)/2))/(LN(2)/2)*AQ172*AT172*VLOOKUP('Données projet'!$B$10,Paramètres!$A$1:$I$89,3,0)*0.475*44/12</f>
        <v>9.1344721316492513E-9</v>
      </c>
      <c r="AX172" s="21">
        <f t="shared" si="166"/>
        <v>61.111182356871112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-2.9842794901924208E-13</v>
      </c>
      <c r="BE172" s="13">
        <f>BD172*VLOOKUP('Données projet'!$B$11,Paramètres!$A$1:$I$89,3,0)*VLOOKUP('Données projet'!$B$11,Paramètres!$A$1:$I$89,5,0)</f>
        <v>-2.839840362867108E-13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486.36809102684492</v>
      </c>
      <c r="BJ172" s="59">
        <f t="shared" si="146"/>
        <v>308.42890859885006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30.560129500402731</v>
      </c>
      <c r="BQ172" s="21">
        <f>EXP(-LN(2)/25)*BQ171+(1-EXP(-LN(2)/25))/(LN(2)/25)*Calculateur!BL172*Calculateur!BN172*VLOOKUP('Données projet'!$B$11,Paramètres!$A$1:$I$89,3,0)*0.475*44/12</f>
        <v>20.420932329586194</v>
      </c>
      <c r="BR172" s="21">
        <f>EXP(-LN(2)/2)*BR171+(1-EXP(-LN(2)/2))/(LN(2)/2)*BL172*BO172*VLOOKUP('Données projet'!$B$11,Paramètres!$A$1:$I$89,3,0)*0.475*44/12</f>
        <v>4.8363027194760425E-5</v>
      </c>
      <c r="BS172" s="22">
        <f t="shared" si="169"/>
        <v>50.981110193016121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6.8212102632969618E-13</v>
      </c>
      <c r="O173" s="13">
        <f>N173*VLOOKUP('Données projet'!$B$9,Paramètres!$A$1:$I$89,3,0)*VLOOKUP('Données projet'!$B$9,Paramètres!$A$1:$I$89,5,0)</f>
        <v>3.8130565371830017E-13</v>
      </c>
      <c r="P173" s="13">
        <f t="shared" si="141"/>
        <v>4.9019074112354236E-12</v>
      </c>
      <c r="Q173" s="20">
        <f t="shared" si="162"/>
        <v>9.2015960881277352E-12</v>
      </c>
      <c r="R173" s="59">
        <f t="shared" si="109"/>
        <v>288.6539852162951</v>
      </c>
      <c r="S173" s="59">
        <f ca="1">AVERAGE(OFFSET($R$3,0,0,'Données projet'!$E$9+1,1))-AVERAGE(OFFSET($H$3,0,0,'Données projet'!$E$9+1,1))</f>
        <v>418.8940806978344</v>
      </c>
      <c r="T173" s="59">
        <f t="shared" si="142"/>
        <v>553.49616487922378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24.803520739726928</v>
      </c>
      <c r="AA173" s="21">
        <f>EXP(-LN(2)/25)*AA172+(1-EXP(-LN(2)/25))/(LN(2)/25)*Calculateur!V173*Calculateur!X173*VLOOKUP('Données projet'!$B$9,Paramètres!$A$1:$I$89,3,0)*0.475*44/12</f>
        <v>3.4088973303480752</v>
      </c>
      <c r="AB173" s="21">
        <f>EXP(-LN(2)/2)*AB172+(1-EXP(-LN(2)/2))/(LN(2)/2)*V173*Y173*VLOOKUP('Données projet'!$B$9,Paramètres!$A$1:$I$89,3,0)*0.475*44/12</f>
        <v>3.174763609634551E-16</v>
      </c>
      <c r="AC173" s="22">
        <f t="shared" si="163"/>
        <v>28.212418070075003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-2.3942448024172334E-13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391.61151255507264</v>
      </c>
      <c r="AO173" s="59">
        <f t="shared" si="144"/>
        <v>365.61278905364281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50.859137694636779</v>
      </c>
      <c r="AV173" s="21">
        <f>EXP(-LN(2)/25)*AV172+(1-EXP(-LN(2)/25))/(LN(2)/25)*Calculateur!AQ173*Calculateur!AS173*VLOOKUP('Données projet'!$B$10,Paramètres!$A$1:$I$89,3,0)*0.475*44/12</f>
        <v>8.9822544994544167</v>
      </c>
      <c r="AW173" s="21">
        <f>EXP(-LN(2)/2)*AW172+(1-EXP(-LN(2)/2))/(LN(2)/2)*AQ173*AT173*VLOOKUP('Données projet'!$B$10,Paramètres!$A$1:$I$89,3,0)*0.475*44/12</f>
        <v>6.4590471868487236E-9</v>
      </c>
      <c r="AX173" s="21">
        <f t="shared" si="166"/>
        <v>59.841392200550246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-2.9842794901924208E-13</v>
      </c>
      <c r="BE173" s="13">
        <f>BD173*VLOOKUP('Données projet'!$B$11,Paramètres!$A$1:$I$89,3,0)*VLOOKUP('Données projet'!$B$11,Paramètres!$A$1:$I$89,5,0)</f>
        <v>-2.839840362867108E-13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486.36809102684492</v>
      </c>
      <c r="BJ173" s="59">
        <f t="shared" si="146"/>
        <v>308.42890859885006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29.960864000738297</v>
      </c>
      <c r="BQ173" s="21">
        <f>EXP(-LN(2)/25)*BQ172+(1-EXP(-LN(2)/25))/(LN(2)/25)*Calculateur!BL173*Calculateur!BN173*VLOOKUP('Données projet'!$B$11,Paramètres!$A$1:$I$89,3,0)*0.475*44/12</f>
        <v>19.862520861143501</v>
      </c>
      <c r="BR173" s="21">
        <f>EXP(-LN(2)/2)*BR172+(1-EXP(-LN(2)/2))/(LN(2)/2)*BL173*BO173*VLOOKUP('Données projet'!$B$11,Paramètres!$A$1:$I$89,3,0)*0.475*44/12</f>
        <v>3.4197824488124507E-5</v>
      </c>
      <c r="BS173" s="22">
        <f t="shared" si="169"/>
        <v>49.823419059706289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6.8212102632969618E-13</v>
      </c>
      <c r="O174" s="13">
        <f>N174*VLOOKUP('Données projet'!$B$9,Paramètres!$A$1:$I$89,3,0)*VLOOKUP('Données projet'!$B$9,Paramètres!$A$1:$I$89,5,0)</f>
        <v>3.8130565371830017E-13</v>
      </c>
      <c r="P174" s="13">
        <f t="shared" si="141"/>
        <v>4.9019074112354236E-12</v>
      </c>
      <c r="Q174" s="20">
        <f t="shared" si="162"/>
        <v>9.2015960881277352E-12</v>
      </c>
      <c r="R174" s="59">
        <f t="shared" si="109"/>
        <v>288.73516144467072</v>
      </c>
      <c r="S174" s="59">
        <f ca="1">AVERAGE(OFFSET($R$3,0,0,'Données projet'!$E$9+1,1))-AVERAGE(OFFSET($H$3,0,0,'Données projet'!$E$9+1,1))</f>
        <v>418.8940806978344</v>
      </c>
      <c r="T174" s="59">
        <f t="shared" si="142"/>
        <v>553.49616487922378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24.317138826674704</v>
      </c>
      <c r="AA174" s="21">
        <f>EXP(-LN(2)/25)*AA173+(1-EXP(-LN(2)/25))/(LN(2)/25)*Calculateur!V174*Calculateur!X174*VLOOKUP('Données projet'!$B$9,Paramètres!$A$1:$I$89,3,0)*0.475*44/12</f>
        <v>3.3156808535835878</v>
      </c>
      <c r="AB174" s="21">
        <f>EXP(-LN(2)/2)*AB173+(1-EXP(-LN(2)/2))/(LN(2)/2)*V174*Y174*VLOOKUP('Données projet'!$B$9,Paramètres!$A$1:$I$89,3,0)*0.475*44/12</f>
        <v>2.2448968770368722E-16</v>
      </c>
      <c r="AC174" s="22">
        <f t="shared" si="163"/>
        <v>27.63281968025829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-2.3942448024172334E-13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391.61151255507264</v>
      </c>
      <c r="AO174" s="59">
        <f t="shared" si="144"/>
        <v>365.61278905364281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49.861821025455875</v>
      </c>
      <c r="AV174" s="21">
        <f>EXP(-LN(2)/25)*AV173+(1-EXP(-LN(2)/25))/(LN(2)/25)*Calculateur!AQ174*Calculateur!AS174*VLOOKUP('Données projet'!$B$10,Paramètres!$A$1:$I$89,3,0)*0.475*44/12</f>
        <v>8.7366342778105999</v>
      </c>
      <c r="AW174" s="21">
        <f>EXP(-LN(2)/2)*AW173+(1-EXP(-LN(2)/2))/(LN(2)/2)*AQ174*AT174*VLOOKUP('Données projet'!$B$10,Paramètres!$A$1:$I$89,3,0)*0.475*44/12</f>
        <v>4.5672360658246256E-9</v>
      </c>
      <c r="AX174" s="21">
        <f t="shared" si="166"/>
        <v>58.59845530783371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-2.9842794901924208E-13</v>
      </c>
      <c r="BE174" s="13">
        <f>BD174*VLOOKUP('Données projet'!$B$11,Paramètres!$A$1:$I$89,3,0)*VLOOKUP('Données projet'!$B$11,Paramètres!$A$1:$I$89,5,0)</f>
        <v>-2.839840362867108E-13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486.36809102684492</v>
      </c>
      <c r="BJ174" s="59">
        <f t="shared" si="146"/>
        <v>308.42890859885006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29.373349732006421</v>
      </c>
      <c r="BQ174" s="21">
        <f>EXP(-LN(2)/25)*BQ173+(1-EXP(-LN(2)/25))/(LN(2)/25)*Calculateur!BL174*Calculateur!BN174*VLOOKUP('Données projet'!$B$11,Paramètres!$A$1:$I$89,3,0)*0.475*44/12</f>
        <v>19.319379183670957</v>
      </c>
      <c r="BR174" s="21">
        <f>EXP(-LN(2)/2)*BR173+(1-EXP(-LN(2)/2))/(LN(2)/2)*BL174*BO174*VLOOKUP('Données projet'!$B$11,Paramètres!$A$1:$I$89,3,0)*0.475*44/12</f>
        <v>2.4181513597380212E-5</v>
      </c>
      <c r="BS174" s="22">
        <f t="shared" si="169"/>
        <v>48.692753097190973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6.8212102632969618E-13</v>
      </c>
      <c r="O175" s="13">
        <f>N175*VLOOKUP('Données projet'!$B$9,Paramètres!$A$1:$I$89,3,0)*VLOOKUP('Données projet'!$B$9,Paramètres!$A$1:$I$89,5,0)</f>
        <v>3.8130565371830017E-13</v>
      </c>
      <c r="P175" s="13">
        <f t="shared" si="141"/>
        <v>4.9019074112354236E-12</v>
      </c>
      <c r="Q175" s="20">
        <f t="shared" si="162"/>
        <v>9.2015960881277352E-12</v>
      </c>
      <c r="R175" s="59">
        <f t="shared" si="109"/>
        <v>288.81492944696686</v>
      </c>
      <c r="S175" s="59">
        <f ca="1">AVERAGE(OFFSET($R$3,0,0,'Données projet'!$E$9+1,1))-AVERAGE(OFFSET($H$3,0,0,'Données projet'!$E$9+1,1))</f>
        <v>418.8940806978344</v>
      </c>
      <c r="T175" s="59">
        <f t="shared" si="142"/>
        <v>553.49616487922378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23.840294566273759</v>
      </c>
      <c r="AA175" s="21">
        <f>EXP(-LN(2)/25)*AA174+(1-EXP(-LN(2)/25))/(LN(2)/25)*Calculateur!V175*Calculateur!X175*VLOOKUP('Données projet'!$B$9,Paramètres!$A$1:$I$89,3,0)*0.475*44/12</f>
        <v>3.2250133862782664</v>
      </c>
      <c r="AB175" s="21">
        <f>EXP(-LN(2)/2)*AB174+(1-EXP(-LN(2)/2))/(LN(2)/2)*V175*Y175*VLOOKUP('Données projet'!$B$9,Paramètres!$A$1:$I$89,3,0)*0.475*44/12</f>
        <v>1.5873818048172755E-16</v>
      </c>
      <c r="AC175" s="22">
        <f t="shared" si="163"/>
        <v>27.065307952552025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-2.3942448024172334E-13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391.61151255507264</v>
      </c>
      <c r="AO175" s="59">
        <f t="shared" si="144"/>
        <v>365.61278905364281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48.884061127854508</v>
      </c>
      <c r="AV175" s="21">
        <f>EXP(-LN(2)/25)*AV174+(1-EXP(-LN(2)/25))/(LN(2)/25)*Calculateur!AQ175*Calculateur!AS175*VLOOKUP('Données projet'!$B$10,Paramètres!$A$1:$I$89,3,0)*0.475*44/12</f>
        <v>8.4977305540442405</v>
      </c>
      <c r="AW175" s="21">
        <f>EXP(-LN(2)/2)*AW174+(1-EXP(-LN(2)/2))/(LN(2)/2)*AQ175*AT175*VLOOKUP('Données projet'!$B$10,Paramètres!$A$1:$I$89,3,0)*0.475*44/12</f>
        <v>3.2295235934243618E-9</v>
      </c>
      <c r="AX175" s="21">
        <f t="shared" si="166"/>
        <v>57.38179168512827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-2.9842794901924208E-13</v>
      </c>
      <c r="BE175" s="13">
        <f>BD175*VLOOKUP('Données projet'!$B$11,Paramètres!$A$1:$I$89,3,0)*VLOOKUP('Données projet'!$B$11,Paramètres!$A$1:$I$89,5,0)</f>
        <v>-2.839840362867108E-13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486.36809102684492</v>
      </c>
      <c r="BJ175" s="59">
        <f t="shared" si="146"/>
        <v>308.42890859885006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28.797356259736056</v>
      </c>
      <c r="BQ175" s="21">
        <f>EXP(-LN(2)/25)*BQ174+(1-EXP(-LN(2)/25))/(LN(2)/25)*Calculateur!BL175*Calculateur!BN175*VLOOKUP('Données projet'!$B$11,Paramètres!$A$1:$I$89,3,0)*0.475*44/12</f>
        <v>18.791089743931479</v>
      </c>
      <c r="BR175" s="21">
        <f>EXP(-LN(2)/2)*BR174+(1-EXP(-LN(2)/2))/(LN(2)/2)*BL175*BO175*VLOOKUP('Données projet'!$B$11,Paramètres!$A$1:$I$89,3,0)*0.475*44/12</f>
        <v>1.7098912244062253E-5</v>
      </c>
      <c r="BS175" s="22">
        <f t="shared" si="169"/>
        <v>47.58846310257978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6.8212102632969618E-13</v>
      </c>
      <c r="O176" s="13">
        <f>N176*VLOOKUP('Données projet'!$B$9,Paramètres!$A$1:$I$89,3,0)*VLOOKUP('Données projet'!$B$9,Paramètres!$A$1:$I$89,5,0)</f>
        <v>3.8130565371830017E-13</v>
      </c>
      <c r="P176" s="13">
        <f t="shared" si="141"/>
        <v>4.9019074112354236E-12</v>
      </c>
      <c r="Q176" s="20">
        <f t="shared" si="162"/>
        <v>9.2015960881277352E-12</v>
      </c>
      <c r="R176" s="59">
        <f t="shared" si="109"/>
        <v>288.89331365275768</v>
      </c>
      <c r="S176" s="59">
        <f ca="1">AVERAGE(OFFSET($R$3,0,0,'Données projet'!$E$9+1,1))-AVERAGE(OFFSET($H$3,0,0,'Données projet'!$E$9+1,1))</f>
        <v>418.8940806978344</v>
      </c>
      <c r="T176" s="59">
        <f t="shared" si="142"/>
        <v>553.49616487922378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23.372800930972996</v>
      </c>
      <c r="AA176" s="21">
        <f>EXP(-LN(2)/25)*AA175+(1-EXP(-LN(2)/25))/(LN(2)/25)*Calculateur!V176*Calculateur!X176*VLOOKUP('Données projet'!$B$9,Paramètres!$A$1:$I$89,3,0)*0.475*44/12</f>
        <v>3.136825225634404</v>
      </c>
      <c r="AB176" s="21">
        <f>EXP(-LN(2)/2)*AB175+(1-EXP(-LN(2)/2))/(LN(2)/2)*V176*Y176*VLOOKUP('Données projet'!$B$9,Paramètres!$A$1:$I$89,3,0)*0.475*44/12</f>
        <v>1.1224484385184361E-16</v>
      </c>
      <c r="AC176" s="22">
        <f t="shared" si="163"/>
        <v>26.5096261566074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-2.3942448024172334E-13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391.61151255507264</v>
      </c>
      <c r="AO176" s="59">
        <f t="shared" si="144"/>
        <v>365.61278905364281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47.925474505470454</v>
      </c>
      <c r="AV176" s="21">
        <f>EXP(-LN(2)/25)*AV175+(1-EXP(-LN(2)/25))/(LN(2)/25)*Calculateur!AQ176*Calculateur!AS176*VLOOKUP('Données projet'!$B$10,Paramètres!$A$1:$I$89,3,0)*0.475*44/12</f>
        <v>8.2653596651676722</v>
      </c>
      <c r="AW176" s="21">
        <f>EXP(-LN(2)/2)*AW175+(1-EXP(-LN(2)/2))/(LN(2)/2)*AQ176*AT176*VLOOKUP('Données projet'!$B$10,Paramètres!$A$1:$I$89,3,0)*0.475*44/12</f>
        <v>2.2836180329123128E-9</v>
      </c>
      <c r="AX176" s="21">
        <f t="shared" si="166"/>
        <v>56.190834172921747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-2.9842794901924208E-13</v>
      </c>
      <c r="BE176" s="13">
        <f>BD176*VLOOKUP('Données projet'!$B$11,Paramètres!$A$1:$I$89,3,0)*VLOOKUP('Données projet'!$B$11,Paramètres!$A$1:$I$89,5,0)</f>
        <v>-2.839840362867108E-13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486.36809102684492</v>
      </c>
      <c r="BJ176" s="59">
        <f t="shared" si="146"/>
        <v>308.42890859885006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28.232657668135584</v>
      </c>
      <c r="BQ176" s="21">
        <f>EXP(-LN(2)/25)*BQ175+(1-EXP(-LN(2)/25))/(LN(2)/25)*Calculateur!BL176*Calculateur!BN176*VLOOKUP('Données projet'!$B$11,Paramètres!$A$1:$I$89,3,0)*0.475*44/12</f>
        <v>18.27724640670321</v>
      </c>
      <c r="BR176" s="21">
        <f>EXP(-LN(2)/2)*BR175+(1-EXP(-LN(2)/2))/(LN(2)/2)*BL176*BO176*VLOOKUP('Données projet'!$B$11,Paramètres!$A$1:$I$89,3,0)*0.475*44/12</f>
        <v>1.2090756798690106E-5</v>
      </c>
      <c r="BS176" s="22">
        <f t="shared" si="169"/>
        <v>46.509916165595591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6.8212102632969618E-13</v>
      </c>
      <c r="O177" s="13">
        <f>N177*VLOOKUP('Données projet'!$B$9,Paramètres!$A$1:$I$89,3,0)*VLOOKUP('Données projet'!$B$9,Paramètres!$A$1:$I$89,5,0)</f>
        <v>3.8130565371830017E-13</v>
      </c>
      <c r="P177" s="13">
        <f t="shared" si="141"/>
        <v>4.9019074112354236E-12</v>
      </c>
      <c r="Q177" s="20">
        <f t="shared" si="162"/>
        <v>9.2015960881277352E-12</v>
      </c>
      <c r="R177" s="59">
        <f t="shared" si="109"/>
        <v>288.97033806781894</v>
      </c>
      <c r="S177" s="59">
        <f ca="1">AVERAGE(OFFSET($R$3,0,0,'Données projet'!$E$9+1,1))-AVERAGE(OFFSET($H$3,0,0,'Données projet'!$E$9+1,1))</f>
        <v>418.8940806978344</v>
      </c>
      <c r="T177" s="59">
        <f t="shared" si="142"/>
        <v>553.49616487922378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22.914474560717519</v>
      </c>
      <c r="AA177" s="21">
        <f>EXP(-LN(2)/25)*AA176+(1-EXP(-LN(2)/25))/(LN(2)/25)*Calculateur!V177*Calculateur!X177*VLOOKUP('Données projet'!$B$9,Paramètres!$A$1:$I$89,3,0)*0.475*44/12</f>
        <v>3.0510485748809621</v>
      </c>
      <c r="AB177" s="21">
        <f>EXP(-LN(2)/2)*AB176+(1-EXP(-LN(2)/2))/(LN(2)/2)*V177*Y177*VLOOKUP('Données projet'!$B$9,Paramètres!$A$1:$I$89,3,0)*0.475*44/12</f>
        <v>7.9369090240863775E-17</v>
      </c>
      <c r="AC177" s="22">
        <f t="shared" si="163"/>
        <v>25.965523135598481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-2.3942448024172334E-13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391.61151255507264</v>
      </c>
      <c r="AO177" s="59">
        <f t="shared" si="144"/>
        <v>365.61278905364281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46.985685182071244</v>
      </c>
      <c r="AV177" s="21">
        <f>EXP(-LN(2)/25)*AV176+(1-EXP(-LN(2)/25))/(LN(2)/25)*Calculateur!AQ177*Calculateur!AS177*VLOOKUP('Données projet'!$B$10,Paramètres!$A$1:$I$89,3,0)*0.475*44/12</f>
        <v>8.0393429704672883</v>
      </c>
      <c r="AW177" s="21">
        <f>EXP(-LN(2)/2)*AW176+(1-EXP(-LN(2)/2))/(LN(2)/2)*AQ177*AT177*VLOOKUP('Données projet'!$B$10,Paramètres!$A$1:$I$89,3,0)*0.475*44/12</f>
        <v>1.6147617967121809E-9</v>
      </c>
      <c r="AX177" s="21">
        <f t="shared" si="166"/>
        <v>55.025028154153297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-2.9842794901924208E-13</v>
      </c>
      <c r="BE177" s="13">
        <f>BD177*VLOOKUP('Données projet'!$B$11,Paramètres!$A$1:$I$89,3,0)*VLOOKUP('Données projet'!$B$11,Paramètres!$A$1:$I$89,5,0)</f>
        <v>-2.839840362867108E-13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486.36809102684492</v>
      </c>
      <c r="BJ177" s="59">
        <f t="shared" si="146"/>
        <v>308.42890859885006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27.679032471484266</v>
      </c>
      <c r="BQ177" s="21">
        <f>EXP(-LN(2)/25)*BQ176+(1-EXP(-LN(2)/25))/(LN(2)/25)*Calculateur!BL177*Calculateur!BN177*VLOOKUP('Données projet'!$B$11,Paramètres!$A$1:$I$89,3,0)*0.475*44/12</f>
        <v>17.777454142553296</v>
      </c>
      <c r="BR177" s="21">
        <f>EXP(-LN(2)/2)*BR176+(1-EXP(-LN(2)/2))/(LN(2)/2)*BL177*BO177*VLOOKUP('Données projet'!$B$11,Paramètres!$A$1:$I$89,3,0)*0.475*44/12</f>
        <v>8.5494561220311267E-6</v>
      </c>
      <c r="BS177" s="22">
        <f t="shared" si="169"/>
        <v>45.456495163493678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6.8212102632969618E-13</v>
      </c>
      <c r="O178" s="13">
        <f>N178*VLOOKUP('Données projet'!$B$9,Paramètres!$A$1:$I$89,3,0)*VLOOKUP('Données projet'!$B$9,Paramètres!$A$1:$I$89,5,0)</f>
        <v>3.8130565371830017E-13</v>
      </c>
      <c r="P178" s="13">
        <f t="shared" si="141"/>
        <v>4.9019074112354236E-12</v>
      </c>
      <c r="Q178" s="20">
        <f t="shared" si="162"/>
        <v>9.2015960881277352E-12</v>
      </c>
      <c r="R178" s="59">
        <f t="shared" si="109"/>
        <v>289.04602628147961</v>
      </c>
      <c r="S178" s="59">
        <f ca="1">AVERAGE(OFFSET($R$3,0,0,'Données projet'!$E$9+1,1))-AVERAGE(OFFSET($H$3,0,0,'Données projet'!$E$9+1,1))</f>
        <v>418.8940806978344</v>
      </c>
      <c r="T178" s="59">
        <f t="shared" si="142"/>
        <v>553.49616487922378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22.465135691031271</v>
      </c>
      <c r="AA178" s="21">
        <f>EXP(-LN(2)/25)*AA177+(1-EXP(-LN(2)/25))/(LN(2)/25)*Calculateur!V178*Calculateur!X178*VLOOKUP('Données projet'!$B$9,Paramètres!$A$1:$I$89,3,0)*0.475*44/12</f>
        <v>2.9676174911531708</v>
      </c>
      <c r="AB178" s="21">
        <f>EXP(-LN(2)/2)*AB177+(1-EXP(-LN(2)/2))/(LN(2)/2)*V178*Y178*VLOOKUP('Données projet'!$B$9,Paramètres!$A$1:$I$89,3,0)*0.475*44/12</f>
        <v>5.6122421925921805E-17</v>
      </c>
      <c r="AC178" s="22">
        <f t="shared" si="163"/>
        <v>25.432753182184442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-2.3942448024172334E-13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391.61151255507264</v>
      </c>
      <c r="AO178" s="59">
        <f t="shared" si="144"/>
        <v>365.61278905364281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46.064324554089005</v>
      </c>
      <c r="AV178" s="21">
        <f>EXP(-LN(2)/25)*AV177+(1-EXP(-LN(2)/25))/(LN(2)/25)*Calculateur!AQ178*Calculateur!AS178*VLOOKUP('Données projet'!$B$10,Paramètres!$A$1:$I$89,3,0)*0.475*44/12</f>
        <v>7.8195067141691874</v>
      </c>
      <c r="AW178" s="21">
        <f>EXP(-LN(2)/2)*AW177+(1-EXP(-LN(2)/2))/(LN(2)/2)*AQ178*AT178*VLOOKUP('Données projet'!$B$10,Paramètres!$A$1:$I$89,3,0)*0.475*44/12</f>
        <v>1.1418090164561564E-9</v>
      </c>
      <c r="AX178" s="21">
        <f t="shared" si="166"/>
        <v>53.883831269399998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-2.9842794901924208E-13</v>
      </c>
      <c r="BE178" s="13">
        <f>BD178*VLOOKUP('Données projet'!$B$11,Paramètres!$A$1:$I$89,3,0)*VLOOKUP('Données projet'!$B$11,Paramètres!$A$1:$I$89,5,0)</f>
        <v>-2.839840362867108E-13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486.36809102684492</v>
      </c>
      <c r="BJ178" s="59">
        <f t="shared" si="146"/>
        <v>308.42890859885006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27.136263527261253</v>
      </c>
      <c r="BQ178" s="21">
        <f>EXP(-LN(2)/25)*BQ177+(1-EXP(-LN(2)/25))/(LN(2)/25)*Calculateur!BL178*Calculateur!BN178*VLOOKUP('Données projet'!$B$11,Paramètres!$A$1:$I$89,3,0)*0.475*44/12</f>
        <v>17.291328724149494</v>
      </c>
      <c r="BR178" s="21">
        <f>EXP(-LN(2)/2)*BR177+(1-EXP(-LN(2)/2))/(LN(2)/2)*BL178*BO178*VLOOKUP('Données projet'!$B$11,Paramètres!$A$1:$I$89,3,0)*0.475*44/12</f>
        <v>6.0453783993450531E-6</v>
      </c>
      <c r="BS178" s="22">
        <f t="shared" si="169"/>
        <v>44.427598296789142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6.8212102632969618E-13</v>
      </c>
      <c r="O179" s="13">
        <f>N179*VLOOKUP('Données projet'!$B$9,Paramètres!$A$1:$I$89,3,0)*VLOOKUP('Données projet'!$B$9,Paramètres!$A$1:$I$89,5,0)</f>
        <v>3.8130565371830017E-13</v>
      </c>
      <c r="P179" s="13">
        <f t="shared" si="141"/>
        <v>4.9019074112354236E-12</v>
      </c>
      <c r="Q179" s="20">
        <f t="shared" si="162"/>
        <v>9.2015960881277352E-12</v>
      </c>
      <c r="R179" s="59">
        <f t="shared" si="109"/>
        <v>289.12040147384681</v>
      </c>
      <c r="S179" s="59">
        <f ca="1">AVERAGE(OFFSET($R$3,0,0,'Données projet'!$E$9+1,1))-AVERAGE(OFFSET($H$3,0,0,'Données projet'!$E$9+1,1))</f>
        <v>418.8940806978344</v>
      </c>
      <c r="T179" s="59">
        <f t="shared" si="142"/>
        <v>553.49616487922378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22.024608082509921</v>
      </c>
      <c r="AA179" s="21">
        <f>EXP(-LN(2)/25)*AA178+(1-EXP(-LN(2)/25))/(LN(2)/25)*Calculateur!V179*Calculateur!X179*VLOOKUP('Données projet'!$B$9,Paramètres!$A$1:$I$89,3,0)*0.475*44/12</f>
        <v>2.886467834797366</v>
      </c>
      <c r="AB179" s="21">
        <f>EXP(-LN(2)/2)*AB178+(1-EXP(-LN(2)/2))/(LN(2)/2)*V179*Y179*VLOOKUP('Données projet'!$B$9,Paramètres!$A$1:$I$89,3,0)*0.475*44/12</f>
        <v>3.9684545120431887E-17</v>
      </c>
      <c r="AC179" s="22">
        <f t="shared" si="163"/>
        <v>24.911075917307286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-2.3942448024172334E-13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391.61151255507264</v>
      </c>
      <c r="AO179" s="59">
        <f t="shared" si="144"/>
        <v>365.61278905364281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45.161031246047003</v>
      </c>
      <c r="AV179" s="21">
        <f>EXP(-LN(2)/25)*AV178+(1-EXP(-LN(2)/25))/(LN(2)/25)*Calculateur!AQ179*Calculateur!AS179*VLOOKUP('Données projet'!$B$10,Paramètres!$A$1:$I$89,3,0)*0.475*44/12</f>
        <v>7.6056818918602449</v>
      </c>
      <c r="AW179" s="21">
        <f>EXP(-LN(2)/2)*AW178+(1-EXP(-LN(2)/2))/(LN(2)/2)*AQ179*AT179*VLOOKUP('Données projet'!$B$10,Paramètres!$A$1:$I$89,3,0)*0.475*44/12</f>
        <v>8.0738089835609044E-10</v>
      </c>
      <c r="AX179" s="21">
        <f t="shared" si="166"/>
        <v>52.766713138714628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-2.9842794901924208E-13</v>
      </c>
      <c r="BE179" s="13">
        <f>BD179*VLOOKUP('Données projet'!$B$11,Paramètres!$A$1:$I$89,3,0)*VLOOKUP('Données projet'!$B$11,Paramètres!$A$1:$I$89,5,0)</f>
        <v>-2.839840362867108E-13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486.36809102684492</v>
      </c>
      <c r="BJ179" s="59">
        <f t="shared" si="146"/>
        <v>308.42890859885006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26.604137950978089</v>
      </c>
      <c r="BQ179" s="21">
        <f>EXP(-LN(2)/25)*BQ178+(1-EXP(-LN(2)/25))/(LN(2)/25)*Calculateur!BL179*Calculateur!BN179*VLOOKUP('Données projet'!$B$11,Paramètres!$A$1:$I$89,3,0)*0.475*44/12</f>
        <v>16.81849643087617</v>
      </c>
      <c r="BR179" s="21">
        <f>EXP(-LN(2)/2)*BR178+(1-EXP(-LN(2)/2))/(LN(2)/2)*BL179*BO179*VLOOKUP('Données projet'!$B$11,Paramètres!$A$1:$I$89,3,0)*0.475*44/12</f>
        <v>4.2747280610155633E-6</v>
      </c>
      <c r="BS179" s="22">
        <f t="shared" si="169"/>
        <v>43.422638656582322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6.8212102632969618E-13</v>
      </c>
      <c r="O180" s="13">
        <f>N180*VLOOKUP('Données projet'!$B$9,Paramètres!$A$1:$I$89,3,0)*VLOOKUP('Données projet'!$B$9,Paramètres!$A$1:$I$89,5,0)</f>
        <v>3.8130565371830017E-13</v>
      </c>
      <c r="P180" s="13">
        <f t="shared" si="141"/>
        <v>4.9019074112354236E-12</v>
      </c>
      <c r="Q180" s="20">
        <f t="shared" si="162"/>
        <v>9.2015960881277352E-12</v>
      </c>
      <c r="R180" s="59">
        <f t="shared" si="109"/>
        <v>289.19348642290447</v>
      </c>
      <c r="S180" s="59">
        <f ca="1">AVERAGE(OFFSET($R$3,0,0,'Données projet'!$E$9+1,1))-AVERAGE(OFFSET($H$3,0,0,'Données projet'!$E$9+1,1))</f>
        <v>418.8940806978344</v>
      </c>
      <c r="T180" s="59">
        <f t="shared" si="142"/>
        <v>553.49616487922378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21.592718951696366</v>
      </c>
      <c r="AA180" s="21">
        <f>EXP(-LN(2)/25)*AA179+(1-EXP(-LN(2)/25))/(LN(2)/25)*Calculateur!V180*Calculateur!X180*VLOOKUP('Données projet'!$B$9,Paramètres!$A$1:$I$89,3,0)*0.475*44/12</f>
        <v>2.8075372200620858</v>
      </c>
      <c r="AB180" s="21">
        <f>EXP(-LN(2)/2)*AB179+(1-EXP(-LN(2)/2))/(LN(2)/2)*V180*Y180*VLOOKUP('Données projet'!$B$9,Paramètres!$A$1:$I$89,3,0)*0.475*44/12</f>
        <v>2.8061210962960903E-17</v>
      </c>
      <c r="AC180" s="22">
        <f t="shared" si="163"/>
        <v>24.40025617175845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-2.3942448024172334E-13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391.61151255507264</v>
      </c>
      <c r="AO180" s="59">
        <f t="shared" si="144"/>
        <v>365.61278905364281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44.27545096882119</v>
      </c>
      <c r="AV180" s="21">
        <f>EXP(-LN(2)/25)*AV179+(1-EXP(-LN(2)/25))/(LN(2)/25)*Calculateur!AQ180*Calculateur!AS180*VLOOKUP('Données projet'!$B$10,Paramètres!$A$1:$I$89,3,0)*0.475*44/12</f>
        <v>7.3977041205618992</v>
      </c>
      <c r="AW180" s="21">
        <f>EXP(-LN(2)/2)*AW179+(1-EXP(-LN(2)/2))/(LN(2)/2)*AQ180*AT180*VLOOKUP('Données projet'!$B$10,Paramètres!$A$1:$I$89,3,0)*0.475*44/12</f>
        <v>5.7090450822807821E-10</v>
      </c>
      <c r="AX180" s="21">
        <f t="shared" si="166"/>
        <v>51.673155089953994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-2.9842794901924208E-13</v>
      </c>
      <c r="BE180" s="13">
        <f>BD180*VLOOKUP('Données projet'!$B$11,Paramètres!$A$1:$I$89,3,0)*VLOOKUP('Données projet'!$B$11,Paramètres!$A$1:$I$89,5,0)</f>
        <v>-2.839840362867108E-13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486.36809102684492</v>
      </c>
      <c r="BJ180" s="59">
        <f t="shared" si="146"/>
        <v>308.42890859885006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26.082447032681284</v>
      </c>
      <c r="BQ180" s="21">
        <f>EXP(-LN(2)/25)*BQ179+(1-EXP(-LN(2)/25))/(LN(2)/25)*Calculateur!BL180*Calculateur!BN180*VLOOKUP('Données projet'!$B$11,Paramètres!$A$1:$I$89,3,0)*0.475*44/12</f>
        <v>16.358593761527572</v>
      </c>
      <c r="BR180" s="21">
        <f>EXP(-LN(2)/2)*BR179+(1-EXP(-LN(2)/2))/(LN(2)/2)*BL180*BO180*VLOOKUP('Données projet'!$B$11,Paramètres!$A$1:$I$89,3,0)*0.475*44/12</f>
        <v>3.0226891996725266E-6</v>
      </c>
      <c r="BS180" s="22">
        <f t="shared" si="169"/>
        <v>42.441043816898059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6.8212102632969618E-13</v>
      </c>
      <c r="O181" s="13">
        <f>N181*VLOOKUP('Données projet'!$B$9,Paramètres!$A$1:$I$89,3,0)*VLOOKUP('Données projet'!$B$9,Paramètres!$A$1:$I$89,5,0)</f>
        <v>3.8130565371830017E-13</v>
      </c>
      <c r="P181" s="13">
        <f t="shared" si="141"/>
        <v>4.9019074112354236E-12</v>
      </c>
      <c r="Q181" s="20">
        <f t="shared" si="162"/>
        <v>9.2015960881277352E-12</v>
      </c>
      <c r="R181" s="59">
        <f t="shared" si="109"/>
        <v>289.26530351148938</v>
      </c>
      <c r="S181" s="59">
        <f ca="1">AVERAGE(OFFSET($R$3,0,0,'Données projet'!$E$9+1,1))-AVERAGE(OFFSET($H$3,0,0,'Données projet'!$E$9+1,1))</f>
        <v>418.8940806978344</v>
      </c>
      <c r="T181" s="59">
        <f t="shared" si="142"/>
        <v>553.49616487922378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21.169298903311706</v>
      </c>
      <c r="AA181" s="21">
        <f>EXP(-LN(2)/25)*AA180+(1-EXP(-LN(2)/25))/(LN(2)/25)*Calculateur!V181*Calculateur!X181*VLOOKUP('Données projet'!$B$9,Paramètres!$A$1:$I$89,3,0)*0.475*44/12</f>
        <v>2.7307649671375223</v>
      </c>
      <c r="AB181" s="21">
        <f>EXP(-LN(2)/2)*AB180+(1-EXP(-LN(2)/2))/(LN(2)/2)*V181*Y181*VLOOKUP('Données projet'!$B$9,Paramètres!$A$1:$I$89,3,0)*0.475*44/12</f>
        <v>1.9842272560215944E-17</v>
      </c>
      <c r="AC181" s="22">
        <f t="shared" si="163"/>
        <v>23.900063870449227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-2.3942448024172334E-13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391.61151255507264</v>
      </c>
      <c r="AO181" s="59">
        <f t="shared" si="144"/>
        <v>365.61278905364281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43.407236380681141</v>
      </c>
      <c r="AV181" s="21">
        <f>EXP(-LN(2)/25)*AV180+(1-EXP(-LN(2)/25))/(LN(2)/25)*Calculateur!AQ181*Calculateur!AS181*VLOOKUP('Données projet'!$B$10,Paramètres!$A$1:$I$89,3,0)*0.475*44/12</f>
        <v>7.1954135123567822</v>
      </c>
      <c r="AW181" s="21">
        <f>EXP(-LN(2)/2)*AW180+(1-EXP(-LN(2)/2))/(LN(2)/2)*AQ181*AT181*VLOOKUP('Données projet'!$B$10,Paramètres!$A$1:$I$89,3,0)*0.475*44/12</f>
        <v>4.0369044917804522E-10</v>
      </c>
      <c r="AX181" s="21">
        <f t="shared" si="166"/>
        <v>50.602649893441608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-2.9842794901924208E-13</v>
      </c>
      <c r="BE181" s="13">
        <f>BD181*VLOOKUP('Données projet'!$B$11,Paramètres!$A$1:$I$89,3,0)*VLOOKUP('Données projet'!$B$11,Paramètres!$A$1:$I$89,5,0)</f>
        <v>-2.839840362867108E-13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486.36809102684492</v>
      </c>
      <c r="BJ181" s="59">
        <f t="shared" si="146"/>
        <v>308.42890859885006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25.570986155092239</v>
      </c>
      <c r="BQ181" s="21">
        <f>EXP(-LN(2)/25)*BQ180+(1-EXP(-LN(2)/25))/(LN(2)/25)*Calculateur!BL181*Calculateur!BN181*VLOOKUP('Données projet'!$B$11,Paramètres!$A$1:$I$89,3,0)*0.475*44/12</f>
        <v>15.911267154857542</v>
      </c>
      <c r="BR181" s="21">
        <f>EXP(-LN(2)/2)*BR180+(1-EXP(-LN(2)/2))/(LN(2)/2)*BL181*BO181*VLOOKUP('Données projet'!$B$11,Paramètres!$A$1:$I$89,3,0)*0.475*44/12</f>
        <v>2.1373640305077817E-6</v>
      </c>
      <c r="BS181" s="22">
        <f t="shared" si="169"/>
        <v>41.482255447313811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6.8212102632969618E-13</v>
      </c>
      <c r="O182" s="13">
        <f>N182*VLOOKUP('Données projet'!$B$9,Paramètres!$A$1:$I$89,3,0)*VLOOKUP('Données projet'!$B$9,Paramètres!$A$1:$I$89,5,0)</f>
        <v>3.8130565371830017E-13</v>
      </c>
      <c r="P182" s="13">
        <f t="shared" si="141"/>
        <v>4.9019074112354236E-12</v>
      </c>
      <c r="Q182" s="20">
        <f t="shared" si="162"/>
        <v>9.2015960881277352E-12</v>
      </c>
      <c r="R182" s="59">
        <f t="shared" si="109"/>
        <v>289.33587473414633</v>
      </c>
      <c r="S182" s="59">
        <f ca="1">AVERAGE(OFFSET($R$3,0,0,'Données projet'!$E$9+1,1))-AVERAGE(OFFSET($H$3,0,0,'Données projet'!$E$9+1,1))</f>
        <v>418.8940806978344</v>
      </c>
      <c r="T182" s="59">
        <f t="shared" si="142"/>
        <v>553.49616487922378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20.754181863815141</v>
      </c>
      <c r="AA182" s="21">
        <f>EXP(-LN(2)/25)*AA181+(1-EXP(-LN(2)/25))/(LN(2)/25)*Calculateur!V182*Calculateur!X182*VLOOKUP('Données projet'!$B$9,Paramètres!$A$1:$I$89,3,0)*0.475*44/12</f>
        <v>2.6560920555064582</v>
      </c>
      <c r="AB182" s="21">
        <f>EXP(-LN(2)/2)*AB181+(1-EXP(-LN(2)/2))/(LN(2)/2)*V182*Y182*VLOOKUP('Données projet'!$B$9,Paramètres!$A$1:$I$89,3,0)*0.475*44/12</f>
        <v>1.4030605481480451E-17</v>
      </c>
      <c r="AC182" s="22">
        <f t="shared" si="163"/>
        <v>23.4102739193216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-2.3942448024172334E-13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391.61151255507264</v>
      </c>
      <c r="AO182" s="59">
        <f t="shared" si="144"/>
        <v>365.61278905364281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42.556046951055905</v>
      </c>
      <c r="AV182" s="21">
        <f>EXP(-LN(2)/25)*AV181+(1-EXP(-LN(2)/25))/(LN(2)/25)*Calculateur!AQ182*Calculateur!AS182*VLOOKUP('Données projet'!$B$10,Paramètres!$A$1:$I$89,3,0)*0.475*44/12</f>
        <v>6.9986545514710343</v>
      </c>
      <c r="AW182" s="21">
        <f>EXP(-LN(2)/2)*AW181+(1-EXP(-LN(2)/2))/(LN(2)/2)*AQ182*AT182*VLOOKUP('Données projet'!$B$10,Paramètres!$A$1:$I$89,3,0)*0.475*44/12</f>
        <v>2.854522541140391E-10</v>
      </c>
      <c r="AX182" s="21">
        <f t="shared" si="166"/>
        <v>49.554701502812392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-2.9842794901924208E-13</v>
      </c>
      <c r="BE182" s="13">
        <f>BD182*VLOOKUP('Données projet'!$B$11,Paramètres!$A$1:$I$89,3,0)*VLOOKUP('Données projet'!$B$11,Paramètres!$A$1:$I$89,5,0)</f>
        <v>-2.839840362867108E-13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486.36809102684492</v>
      </c>
      <c r="BJ182" s="59">
        <f t="shared" si="146"/>
        <v>308.42890859885006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25.069554713352382</v>
      </c>
      <c r="BQ182" s="21">
        <f>EXP(-LN(2)/25)*BQ181+(1-EXP(-LN(2)/25))/(LN(2)/25)*Calculateur!BL182*Calculateur!BN182*VLOOKUP('Données projet'!$B$11,Paramètres!$A$1:$I$89,3,0)*0.475*44/12</f>
        <v>15.476172717770789</v>
      </c>
      <c r="BR182" s="21">
        <f>EXP(-LN(2)/2)*BR181+(1-EXP(-LN(2)/2))/(LN(2)/2)*BL182*BO182*VLOOKUP('Données projet'!$B$11,Paramètres!$A$1:$I$89,3,0)*0.475*44/12</f>
        <v>1.5113445998362633E-6</v>
      </c>
      <c r="BS182" s="22">
        <f t="shared" si="169"/>
        <v>40.545728942467768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6.8212102632969618E-13</v>
      </c>
      <c r="O183" s="13">
        <f>N183*VLOOKUP('Données projet'!$B$9,Paramètres!$A$1:$I$89,3,0)*VLOOKUP('Données projet'!$B$9,Paramètres!$A$1:$I$89,5,0)</f>
        <v>3.8130565371830017E-13</v>
      </c>
      <c r="P183" s="13">
        <f t="shared" si="141"/>
        <v>4.9019074112354236E-12</v>
      </c>
      <c r="Q183" s="20">
        <f t="shared" si="162"/>
        <v>9.2015960881277352E-12</v>
      </c>
      <c r="R183" s="59">
        <f t="shared" si="109"/>
        <v>289.40522170386384</v>
      </c>
      <c r="S183" s="59">
        <f ca="1">AVERAGE(OFFSET($R$3,0,0,'Données projet'!$E$9+1,1))-AVERAGE(OFFSET($H$3,0,0,'Données projet'!$E$9+1,1))</f>
        <v>418.8940806978344</v>
      </c>
      <c r="T183" s="59">
        <f t="shared" si="142"/>
        <v>553.49616487922378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20.34720501626671</v>
      </c>
      <c r="AA183" s="21">
        <f>EXP(-LN(2)/25)*AA182+(1-EXP(-LN(2)/25))/(LN(2)/25)*Calculateur!V183*Calculateur!X183*VLOOKUP('Données projet'!$B$9,Paramètres!$A$1:$I$89,3,0)*0.475*44/12</f>
        <v>2.5834610785708234</v>
      </c>
      <c r="AB183" s="21">
        <f>EXP(-LN(2)/2)*AB182+(1-EXP(-LN(2)/2))/(LN(2)/2)*V183*Y183*VLOOKUP('Données projet'!$B$9,Paramètres!$A$1:$I$89,3,0)*0.475*44/12</f>
        <v>9.9211362801079719E-18</v>
      </c>
      <c r="AC183" s="22">
        <f t="shared" si="163"/>
        <v>22.930666094837534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-2.3942448024172334E-13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391.61151255507264</v>
      </c>
      <c r="AO183" s="59">
        <f t="shared" si="144"/>
        <v>365.61278905364281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41.721548826971336</v>
      </c>
      <c r="AV183" s="21">
        <f>EXP(-LN(2)/25)*AV182+(1-EXP(-LN(2)/25))/(LN(2)/25)*Calculateur!AQ183*Calculateur!AS183*VLOOKUP('Données projet'!$B$10,Paramètres!$A$1:$I$89,3,0)*0.475*44/12</f>
        <v>6.807275974717812</v>
      </c>
      <c r="AW183" s="21">
        <f>EXP(-LN(2)/2)*AW182+(1-EXP(-LN(2)/2))/(LN(2)/2)*AQ183*AT183*VLOOKUP('Données projet'!$B$10,Paramètres!$A$1:$I$89,3,0)*0.475*44/12</f>
        <v>2.0184522458902261E-10</v>
      </c>
      <c r="AX183" s="21">
        <f t="shared" si="166"/>
        <v>48.528824801890991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-2.9842794901924208E-13</v>
      </c>
      <c r="BE183" s="13">
        <f>BD183*VLOOKUP('Données projet'!$B$11,Paramètres!$A$1:$I$89,3,0)*VLOOKUP('Données projet'!$B$11,Paramètres!$A$1:$I$89,5,0)</f>
        <v>-2.839840362867108E-13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486.36809102684492</v>
      </c>
      <c r="BJ183" s="59">
        <f t="shared" si="146"/>
        <v>308.42890859885006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24.577956036342062</v>
      </c>
      <c r="BQ183" s="21">
        <f>EXP(-LN(2)/25)*BQ182+(1-EXP(-LN(2)/25))/(LN(2)/25)*Calculateur!BL183*Calculateur!BN183*VLOOKUP('Données projet'!$B$11,Paramètres!$A$1:$I$89,3,0)*0.475*44/12</f>
        <v>15.052975960946794</v>
      </c>
      <c r="BR183" s="21">
        <f>EXP(-LN(2)/2)*BR182+(1-EXP(-LN(2)/2))/(LN(2)/2)*BL183*BO183*VLOOKUP('Données projet'!$B$11,Paramètres!$A$1:$I$89,3,0)*0.475*44/12</f>
        <v>1.0686820152538908E-6</v>
      </c>
      <c r="BS183" s="22">
        <f t="shared" si="169"/>
        <v>39.630933065970872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6.8212102632969618E-13</v>
      </c>
      <c r="O184" s="13">
        <f>N184*VLOOKUP('Données projet'!$B$9,Paramètres!$A$1:$I$89,3,0)*VLOOKUP('Données projet'!$B$9,Paramètres!$A$1:$I$89,5,0)</f>
        <v>3.8130565371830017E-13</v>
      </c>
      <c r="P184" s="13">
        <f t="shared" si="141"/>
        <v>4.9019074112354236E-12</v>
      </c>
      <c r="Q184" s="20">
        <f t="shared" si="162"/>
        <v>9.2015960881277352E-12</v>
      </c>
      <c r="R184" s="59">
        <f t="shared" si="109"/>
        <v>289.4733656586933</v>
      </c>
      <c r="S184" s="59">
        <f ca="1">AVERAGE(OFFSET($R$3,0,0,'Données projet'!$E$9+1,1))-AVERAGE(OFFSET($H$3,0,0,'Données projet'!$E$9+1,1))</f>
        <v>418.8940806978344</v>
      </c>
      <c r="T184" s="59">
        <f t="shared" si="142"/>
        <v>553.49616487922378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19.948208736467336</v>
      </c>
      <c r="AA184" s="21">
        <f>EXP(-LN(2)/25)*AA183+(1-EXP(-LN(2)/25))/(LN(2)/25)*Calculateur!V184*Calculateur!X184*VLOOKUP('Données projet'!$B$9,Paramètres!$A$1:$I$89,3,0)*0.475*44/12</f>
        <v>2.5128161995189906</v>
      </c>
      <c r="AB184" s="21">
        <f>EXP(-LN(2)/2)*AB183+(1-EXP(-LN(2)/2))/(LN(2)/2)*V184*Y184*VLOOKUP('Données projet'!$B$9,Paramètres!$A$1:$I$89,3,0)*0.475*44/12</f>
        <v>7.0153027407402257E-18</v>
      </c>
      <c r="AC184" s="22">
        <f t="shared" si="163"/>
        <v>22.461024935986327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-2.3942448024172334E-13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391.61151255507264</v>
      </c>
      <c r="AO184" s="59">
        <f t="shared" si="144"/>
        <v>365.61278905364281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40.903414702106467</v>
      </c>
      <c r="AV184" s="21">
        <f>EXP(-LN(2)/25)*AV183+(1-EXP(-LN(2)/25))/(LN(2)/25)*Calculateur!AQ184*Calculateur!AS184*VLOOKUP('Données projet'!$B$10,Paramètres!$A$1:$I$89,3,0)*0.475*44/12</f>
        <v>6.6211306552100684</v>
      </c>
      <c r="AW184" s="21">
        <f>EXP(-LN(2)/2)*AW183+(1-EXP(-LN(2)/2))/(LN(2)/2)*AQ184*AT184*VLOOKUP('Données projet'!$B$10,Paramètres!$A$1:$I$89,3,0)*0.475*44/12</f>
        <v>1.4272612705701955E-10</v>
      </c>
      <c r="AX184" s="21">
        <f t="shared" si="166"/>
        <v>47.52454535745926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-2.9842794901924208E-13</v>
      </c>
      <c r="BE184" s="13">
        <f>BD184*VLOOKUP('Données projet'!$B$11,Paramètres!$A$1:$I$89,3,0)*VLOOKUP('Données projet'!$B$11,Paramètres!$A$1:$I$89,5,0)</f>
        <v>-2.839840362867108E-13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486.36809102684492</v>
      </c>
      <c r="BJ184" s="59">
        <f t="shared" si="146"/>
        <v>308.42890859885006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24.09599730954233</v>
      </c>
      <c r="BQ184" s="21">
        <f>EXP(-LN(2)/25)*BQ183+(1-EXP(-LN(2)/25))/(LN(2)/25)*Calculateur!BL184*Calculateur!BN184*VLOOKUP('Données projet'!$B$11,Paramètres!$A$1:$I$89,3,0)*0.475*44/12</f>
        <v>14.641351541693103</v>
      </c>
      <c r="BR184" s="21">
        <f>EXP(-LN(2)/2)*BR183+(1-EXP(-LN(2)/2))/(LN(2)/2)*BL184*BO184*VLOOKUP('Données projet'!$B$11,Paramètres!$A$1:$I$89,3,0)*0.475*44/12</f>
        <v>7.5567229991813164E-7</v>
      </c>
      <c r="BS184" s="22">
        <f t="shared" si="169"/>
        <v>38.737349606907735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6.8212102632969618E-13</v>
      </c>
      <c r="O185" s="13">
        <f>N185*VLOOKUP('Données projet'!$B$9,Paramètres!$A$1:$I$89,3,0)*VLOOKUP('Données projet'!$B$9,Paramètres!$A$1:$I$89,5,0)</f>
        <v>3.8130565371830017E-13</v>
      </c>
      <c r="P185" s="13">
        <f t="shared" si="141"/>
        <v>4.9019074112354236E-12</v>
      </c>
      <c r="Q185" s="20">
        <f t="shared" si="162"/>
        <v>9.2015960881277352E-12</v>
      </c>
      <c r="R185" s="59">
        <f t="shared" si="109"/>
        <v>289.54032746825362</v>
      </c>
      <c r="S185" s="59">
        <f ca="1">AVERAGE(OFFSET($R$3,0,0,'Données projet'!$E$9+1,1))-AVERAGE(OFFSET($H$3,0,0,'Données projet'!$E$9+1,1))</f>
        <v>418.8940806978344</v>
      </c>
      <c r="T185" s="59">
        <f t="shared" si="142"/>
        <v>553.49616487922378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19.55703653035113</v>
      </c>
      <c r="AA185" s="21">
        <f>EXP(-LN(2)/25)*AA184+(1-EXP(-LN(2)/25))/(LN(2)/25)*Calculateur!V185*Calculateur!X185*VLOOKUP('Données projet'!$B$9,Paramètres!$A$1:$I$89,3,0)*0.475*44/12</f>
        <v>2.444103108399883</v>
      </c>
      <c r="AB185" s="21">
        <f>EXP(-LN(2)/2)*AB184+(1-EXP(-LN(2)/2))/(LN(2)/2)*V185*Y185*VLOOKUP('Données projet'!$B$9,Paramètres!$A$1:$I$89,3,0)*0.475*44/12</f>
        <v>4.9605681400539859E-18</v>
      </c>
      <c r="AC185" s="22">
        <f t="shared" si="163"/>
        <v>22.001139638751013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-2.3942448024172334E-13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391.61151255507264</v>
      </c>
      <c r="AO185" s="59">
        <f t="shared" si="144"/>
        <v>365.61278905364281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40.101323688417658</v>
      </c>
      <c r="AV185" s="21">
        <f>EXP(-LN(2)/25)*AV184+(1-EXP(-LN(2)/25))/(LN(2)/25)*Calculateur!AQ185*Calculateur!AS185*VLOOKUP('Données projet'!$B$10,Paramètres!$A$1:$I$89,3,0)*0.475*44/12</f>
        <v>6.4400754892532204</v>
      </c>
      <c r="AW185" s="21">
        <f>EXP(-LN(2)/2)*AW184+(1-EXP(-LN(2)/2))/(LN(2)/2)*AQ185*AT185*VLOOKUP('Données projet'!$B$10,Paramètres!$A$1:$I$89,3,0)*0.475*44/12</f>
        <v>1.0092261229451131E-10</v>
      </c>
      <c r="AX185" s="21">
        <f t="shared" si="166"/>
        <v>46.541399177771801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-2.9842794901924208E-13</v>
      </c>
      <c r="BE185" s="13">
        <f>BD185*VLOOKUP('Données projet'!$B$11,Paramètres!$A$1:$I$89,3,0)*VLOOKUP('Données projet'!$B$11,Paramètres!$A$1:$I$89,5,0)</f>
        <v>-2.839840362867108E-13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486.36809102684492</v>
      </c>
      <c r="BJ185" s="59">
        <f t="shared" si="146"/>
        <v>308.42890859885006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23.623489499409345</v>
      </c>
      <c r="BQ185" s="21">
        <f>EXP(-LN(2)/25)*BQ184+(1-EXP(-LN(2)/25))/(LN(2)/25)*Calculateur!BL185*Calculateur!BN185*VLOOKUP('Données projet'!$B$11,Paramètres!$A$1:$I$89,3,0)*0.475*44/12</f>
        <v>14.240983013830292</v>
      </c>
      <c r="BR185" s="21">
        <f>EXP(-LN(2)/2)*BR184+(1-EXP(-LN(2)/2))/(LN(2)/2)*BL185*BO185*VLOOKUP('Données projet'!$B$11,Paramètres!$A$1:$I$89,3,0)*0.475*44/12</f>
        <v>5.3434100762694542E-7</v>
      </c>
      <c r="BS185" s="22">
        <f t="shared" si="169"/>
        <v>37.864473047580638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6.8212102632969618E-13</v>
      </c>
      <c r="O186" s="13">
        <f>N186*VLOOKUP('Données projet'!$B$9,Paramètres!$A$1:$I$89,3,0)*VLOOKUP('Données projet'!$B$9,Paramètres!$A$1:$I$89,5,0)</f>
        <v>3.8130565371830017E-13</v>
      </c>
      <c r="P186" s="13">
        <f t="shared" si="141"/>
        <v>4.9019074112354236E-12</v>
      </c>
      <c r="Q186" s="20">
        <f t="shared" si="162"/>
        <v>9.2015960881277352E-12</v>
      </c>
      <c r="R186" s="59">
        <f t="shared" si="109"/>
        <v>289.60612764012217</v>
      </c>
      <c r="S186" s="59">
        <f ca="1">AVERAGE(OFFSET($R$3,0,0,'Données projet'!$E$9+1,1))-AVERAGE(OFFSET($H$3,0,0,'Données projet'!$E$9+1,1))</f>
        <v>418.8940806978344</v>
      </c>
      <c r="T186" s="59">
        <f t="shared" si="142"/>
        <v>553.49616487922378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19.173534972605374</v>
      </c>
      <c r="AA186" s="21">
        <f>EXP(-LN(2)/25)*AA185+(1-EXP(-LN(2)/25))/(LN(2)/25)*Calculateur!V186*Calculateur!X186*VLOOKUP('Données projet'!$B$9,Paramètres!$A$1:$I$89,3,0)*0.475*44/12</f>
        <v>2.377268980370892</v>
      </c>
      <c r="AB186" s="21">
        <f>EXP(-LN(2)/2)*AB185+(1-EXP(-LN(2)/2))/(LN(2)/2)*V186*Y186*VLOOKUP('Données projet'!$B$9,Paramètres!$A$1:$I$89,3,0)*0.475*44/12</f>
        <v>3.5076513703701128E-18</v>
      </c>
      <c r="AC186" s="22">
        <f t="shared" si="163"/>
        <v>21.550803952976267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-2.3942448024172334E-13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391.61151255507264</v>
      </c>
      <c r="AO186" s="59">
        <f t="shared" si="144"/>
        <v>365.61278905364281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39.314961190280073</v>
      </c>
      <c r="AV186" s="21">
        <f>EXP(-LN(2)/25)*AV185+(1-EXP(-LN(2)/25))/(LN(2)/25)*Calculateur!AQ186*Calculateur!AS186*VLOOKUP('Données projet'!$B$10,Paramètres!$A$1:$I$89,3,0)*0.475*44/12</f>
        <v>6.2639712863307402</v>
      </c>
      <c r="AW186" s="21">
        <f>EXP(-LN(2)/2)*AW185+(1-EXP(-LN(2)/2))/(LN(2)/2)*AQ186*AT186*VLOOKUP('Données projet'!$B$10,Paramètres!$A$1:$I$89,3,0)*0.475*44/12</f>
        <v>7.1363063528509776E-11</v>
      </c>
      <c r="AX186" s="21">
        <f t="shared" si="166"/>
        <v>45.578932476682176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-2.9842794901924208E-13</v>
      </c>
      <c r="BE186" s="13">
        <f>BD186*VLOOKUP('Données projet'!$B$11,Paramètres!$A$1:$I$89,3,0)*VLOOKUP('Données projet'!$B$11,Paramètres!$A$1:$I$89,5,0)</f>
        <v>-2.839840362867108E-13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486.36809102684492</v>
      </c>
      <c r="BJ186" s="59">
        <f t="shared" si="146"/>
        <v>308.42890859885006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23.160247279231761</v>
      </c>
      <c r="BQ186" s="21">
        <f>EXP(-LN(2)/25)*BQ185+(1-EXP(-LN(2)/25))/(LN(2)/25)*Calculateur!BL186*Calculateur!BN186*VLOOKUP('Données projet'!$B$11,Paramètres!$A$1:$I$89,3,0)*0.475*44/12</f>
        <v>13.851562584416353</v>
      </c>
      <c r="BR186" s="21">
        <f>EXP(-LN(2)/2)*BR185+(1-EXP(-LN(2)/2))/(LN(2)/2)*BL186*BO186*VLOOKUP('Données projet'!$B$11,Paramètres!$A$1:$I$89,3,0)*0.475*44/12</f>
        <v>3.7783614995906582E-7</v>
      </c>
      <c r="BS186" s="22">
        <f t="shared" si="169"/>
        <v>37.011810241484262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6.8212102632969618E-13</v>
      </c>
      <c r="O187" s="13">
        <f>N187*VLOOKUP('Données projet'!$B$9,Paramètres!$A$1:$I$89,3,0)*VLOOKUP('Données projet'!$B$9,Paramètres!$A$1:$I$89,5,0)</f>
        <v>3.8130565371830017E-13</v>
      </c>
      <c r="P187" s="13">
        <f t="shared" si="141"/>
        <v>4.9019074112354236E-12</v>
      </c>
      <c r="Q187" s="20">
        <f t="shared" si="162"/>
        <v>9.2015960881277352E-12</v>
      </c>
      <c r="R187" s="59">
        <f t="shared" si="109"/>
        <v>289.67078632611594</v>
      </c>
      <c r="S187" s="59">
        <f ca="1">AVERAGE(OFFSET($R$3,0,0,'Données projet'!$E$9+1,1))-AVERAGE(OFFSET($H$3,0,0,'Données projet'!$E$9+1,1))</f>
        <v>418.8940806978344</v>
      </c>
      <c r="T187" s="59">
        <f t="shared" si="142"/>
        <v>553.49616487922378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18.797553646494158</v>
      </c>
      <c r="AA187" s="21">
        <f>EXP(-LN(2)/25)*AA186+(1-EXP(-LN(2)/25))/(LN(2)/25)*Calculateur!V187*Calculateur!X187*VLOOKUP('Données projet'!$B$9,Paramètres!$A$1:$I$89,3,0)*0.475*44/12</f>
        <v>2.3122624350875074</v>
      </c>
      <c r="AB187" s="21">
        <f>EXP(-LN(2)/2)*AB186+(1-EXP(-LN(2)/2))/(LN(2)/2)*V187*Y187*VLOOKUP('Données projet'!$B$9,Paramètres!$A$1:$I$89,3,0)*0.475*44/12</f>
        <v>2.480284070026993E-18</v>
      </c>
      <c r="AC187" s="22">
        <f t="shared" si="163"/>
        <v>21.109816081581666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-2.3942448024172334E-13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391.61151255507264</v>
      </c>
      <c r="AO187" s="59">
        <f t="shared" si="144"/>
        <v>365.61278905364281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38.544018781097201</v>
      </c>
      <c r="AV187" s="21">
        <f>EXP(-LN(2)/25)*AV186+(1-EXP(-LN(2)/25))/(LN(2)/25)*Calculateur!AQ187*Calculateur!AS187*VLOOKUP('Données projet'!$B$10,Paramètres!$A$1:$I$89,3,0)*0.475*44/12</f>
        <v>6.0926826620980927</v>
      </c>
      <c r="AW187" s="21">
        <f>EXP(-LN(2)/2)*AW186+(1-EXP(-LN(2)/2))/(LN(2)/2)*AQ187*AT187*VLOOKUP('Données projet'!$B$10,Paramètres!$A$1:$I$89,3,0)*0.475*44/12</f>
        <v>5.0461306147255653E-11</v>
      </c>
      <c r="AX187" s="21">
        <f t="shared" si="166"/>
        <v>44.636701443245755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-2.9842794901924208E-13</v>
      </c>
      <c r="BE187" s="13">
        <f>BD187*VLOOKUP('Données projet'!$B$11,Paramètres!$A$1:$I$89,3,0)*VLOOKUP('Données projet'!$B$11,Paramètres!$A$1:$I$89,5,0)</f>
        <v>-2.839840362867108E-13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486.36809102684492</v>
      </c>
      <c r="BJ187" s="59">
        <f t="shared" si="146"/>
        <v>308.42890859885006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22.706088956442006</v>
      </c>
      <c r="BQ187" s="21">
        <f>EXP(-LN(2)/25)*BQ186+(1-EXP(-LN(2)/25))/(LN(2)/25)*Calculateur!BL187*Calculateur!BN187*VLOOKUP('Données projet'!$B$11,Paramètres!$A$1:$I$89,3,0)*0.475*44/12</f>
        <v>13.472790877123471</v>
      </c>
      <c r="BR187" s="21">
        <f>EXP(-LN(2)/2)*BR186+(1-EXP(-LN(2)/2))/(LN(2)/2)*BL187*BO187*VLOOKUP('Données projet'!$B$11,Paramètres!$A$1:$I$89,3,0)*0.475*44/12</f>
        <v>2.6717050381347271E-7</v>
      </c>
      <c r="BS187" s="22">
        <f t="shared" si="169"/>
        <v>36.178880100735981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6.8212102632969618E-13</v>
      </c>
      <c r="O188" s="13">
        <f>N188*VLOOKUP('Données projet'!$B$9,Paramètres!$A$1:$I$89,3,0)*VLOOKUP('Données projet'!$B$9,Paramètres!$A$1:$I$89,5,0)</f>
        <v>3.8130565371830017E-13</v>
      </c>
      <c r="P188" s="13">
        <f t="shared" si="141"/>
        <v>4.9019074112354236E-12</v>
      </c>
      <c r="Q188" s="20">
        <f t="shared" si="162"/>
        <v>9.2015960881277352E-12</v>
      </c>
      <c r="R188" s="59">
        <f t="shared" si="109"/>
        <v>289.73432332846295</v>
      </c>
      <c r="S188" s="59">
        <f ca="1">AVERAGE(OFFSET($R$3,0,0,'Données projet'!$E$9+1,1))-AVERAGE(OFFSET($H$3,0,0,'Données projet'!$E$9+1,1))</f>
        <v>418.8940806978344</v>
      </c>
      <c r="T188" s="59">
        <f t="shared" si="142"/>
        <v>553.49616487922378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18.428945084862022</v>
      </c>
      <c r="AA188" s="21">
        <f>EXP(-LN(2)/25)*AA187+(1-EXP(-LN(2)/25))/(LN(2)/25)*Calculateur!V188*Calculateur!X188*VLOOKUP('Données projet'!$B$9,Paramètres!$A$1:$I$89,3,0)*0.475*44/12</f>
        <v>2.2490334972034427</v>
      </c>
      <c r="AB188" s="21">
        <f>EXP(-LN(2)/2)*AB187+(1-EXP(-LN(2)/2))/(LN(2)/2)*V188*Y188*VLOOKUP('Données projet'!$B$9,Paramètres!$A$1:$I$89,3,0)*0.475*44/12</f>
        <v>1.7538256851850564E-18</v>
      </c>
      <c r="AC188" s="22">
        <f t="shared" si="163"/>
        <v>20.677978582065464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-2.3942448024172334E-13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391.61151255507264</v>
      </c>
      <c r="AO188" s="59">
        <f t="shared" si="144"/>
        <v>365.61278905364281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37.788194082329966</v>
      </c>
      <c r="AV188" s="21">
        <f>EXP(-LN(2)/25)*AV187+(1-EXP(-LN(2)/25))/(LN(2)/25)*Calculateur!AQ188*Calculateur!AS188*VLOOKUP('Données projet'!$B$10,Paramètres!$A$1:$I$89,3,0)*0.475*44/12</f>
        <v>5.9260779343027643</v>
      </c>
      <c r="AW188" s="21">
        <f>EXP(-LN(2)/2)*AW187+(1-EXP(-LN(2)/2))/(LN(2)/2)*AQ188*AT188*VLOOKUP('Données projet'!$B$10,Paramètres!$A$1:$I$89,3,0)*0.475*44/12</f>
        <v>3.5681531764254888E-11</v>
      </c>
      <c r="AX188" s="21">
        <f t="shared" si="166"/>
        <v>43.714272016668417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-2.9842794901924208E-13</v>
      </c>
      <c r="BE188" s="13">
        <f>BD188*VLOOKUP('Données projet'!$B$11,Paramètres!$A$1:$I$89,3,0)*VLOOKUP('Données projet'!$B$11,Paramètres!$A$1:$I$89,5,0)</f>
        <v>-2.839840362867108E-13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486.36809102684492</v>
      </c>
      <c r="BJ188" s="59">
        <f t="shared" si="146"/>
        <v>308.42890859885006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22.260836401352933</v>
      </c>
      <c r="BQ188" s="21">
        <f>EXP(-LN(2)/25)*BQ187+(1-EXP(-LN(2)/25))/(LN(2)/25)*Calculateur!BL188*Calculateur!BN188*VLOOKUP('Données projet'!$B$11,Paramètres!$A$1:$I$89,3,0)*0.475*44/12</f>
        <v>13.104376702085249</v>
      </c>
      <c r="BR188" s="21">
        <f>EXP(-LN(2)/2)*BR187+(1-EXP(-LN(2)/2))/(LN(2)/2)*BL188*BO188*VLOOKUP('Données projet'!$B$11,Paramètres!$A$1:$I$89,3,0)*0.475*44/12</f>
        <v>1.8891807497953291E-7</v>
      </c>
      <c r="BS188" s="22">
        <f t="shared" si="169"/>
        <v>35.365213292356252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6.8212102632969618E-13</v>
      </c>
      <c r="O189" s="13">
        <f>N189*VLOOKUP('Données projet'!$B$9,Paramètres!$A$1:$I$89,3,0)*VLOOKUP('Données projet'!$B$9,Paramètres!$A$1:$I$89,5,0)</f>
        <v>3.8130565371830017E-13</v>
      </c>
      <c r="P189" s="13">
        <f t="shared" si="141"/>
        <v>4.9019074112354236E-12</v>
      </c>
      <c r="Q189" s="20">
        <f t="shared" si="162"/>
        <v>9.2015960881277352E-12</v>
      </c>
      <c r="R189" s="59">
        <f t="shared" si="109"/>
        <v>289.79675810586662</v>
      </c>
      <c r="S189" s="59">
        <f ca="1">AVERAGE(OFFSET($R$3,0,0,'Données projet'!$E$9+1,1))-AVERAGE(OFFSET($H$3,0,0,'Données projet'!$E$9+1,1))</f>
        <v>418.8940806978344</v>
      </c>
      <c r="T189" s="59">
        <f t="shared" si="142"/>
        <v>553.49616487922378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18.067564712294466</v>
      </c>
      <c r="AA189" s="21">
        <f>EXP(-LN(2)/25)*AA188+(1-EXP(-LN(2)/25))/(LN(2)/25)*Calculateur!V189*Calculateur!X189*VLOOKUP('Données projet'!$B$9,Paramètres!$A$1:$I$89,3,0)*0.475*44/12</f>
        <v>2.187533557950883</v>
      </c>
      <c r="AB189" s="21">
        <f>EXP(-LN(2)/2)*AB188+(1-EXP(-LN(2)/2))/(LN(2)/2)*V189*Y189*VLOOKUP('Données projet'!$B$9,Paramètres!$A$1:$I$89,3,0)*0.475*44/12</f>
        <v>1.2401420350134965E-18</v>
      </c>
      <c r="AC189" s="22">
        <f t="shared" si="163"/>
        <v>20.255098270245348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-2.3942448024172334E-13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391.61151255507264</v>
      </c>
      <c r="AO189" s="59">
        <f t="shared" si="144"/>
        <v>365.61278905364281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37.047190644898009</v>
      </c>
      <c r="AV189" s="21">
        <f>EXP(-LN(2)/25)*AV188+(1-EXP(-LN(2)/25))/(LN(2)/25)*Calculateur!AQ189*Calculateur!AS189*VLOOKUP('Données projet'!$B$10,Paramètres!$A$1:$I$89,3,0)*0.475*44/12</f>
        <v>5.7640290215503605</v>
      </c>
      <c r="AW189" s="21">
        <f>EXP(-LN(2)/2)*AW188+(1-EXP(-LN(2)/2))/(LN(2)/2)*AQ189*AT189*VLOOKUP('Données projet'!$B$10,Paramètres!$A$1:$I$89,3,0)*0.475*44/12</f>
        <v>2.5230653073627826E-11</v>
      </c>
      <c r="AX189" s="21">
        <f t="shared" si="166"/>
        <v>42.811219666473598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-2.9842794901924208E-13</v>
      </c>
      <c r="BE189" s="13">
        <f>BD189*VLOOKUP('Données projet'!$B$11,Paramètres!$A$1:$I$89,3,0)*VLOOKUP('Données projet'!$B$11,Paramètres!$A$1:$I$89,5,0)</f>
        <v>-2.839840362867108E-13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486.36809102684492</v>
      </c>
      <c r="BJ189" s="59">
        <f t="shared" si="146"/>
        <v>308.42890859885006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21.824314977291912</v>
      </c>
      <c r="BQ189" s="21">
        <f>EXP(-LN(2)/25)*BQ188+(1-EXP(-LN(2)/25))/(LN(2)/25)*Calculateur!BL189*Calculateur!BN189*VLOOKUP('Données projet'!$B$11,Paramètres!$A$1:$I$89,3,0)*0.475*44/12</f>
        <v>12.746036832037507</v>
      </c>
      <c r="BR189" s="21">
        <f>EXP(-LN(2)/2)*BR188+(1-EXP(-LN(2)/2))/(LN(2)/2)*BL189*BO189*VLOOKUP('Données projet'!$B$11,Paramètres!$A$1:$I$89,3,0)*0.475*44/12</f>
        <v>1.3358525190673635E-7</v>
      </c>
      <c r="BS189" s="22">
        <f t="shared" si="169"/>
        <v>34.570351942914677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6.8212102632969618E-13</v>
      </c>
      <c r="O190" s="13">
        <f>N190*VLOOKUP('Données projet'!$B$9,Paramètres!$A$1:$I$89,3,0)*VLOOKUP('Données projet'!$B$9,Paramètres!$A$1:$I$89,5,0)</f>
        <v>3.8130565371830017E-13</v>
      </c>
      <c r="P190" s="13">
        <f t="shared" si="141"/>
        <v>4.9019074112354236E-12</v>
      </c>
      <c r="Q190" s="20">
        <f t="shared" si="162"/>
        <v>9.2015960881277352E-12</v>
      </c>
      <c r="R190" s="59">
        <f t="shared" si="109"/>
        <v>289.85810977946562</v>
      </c>
      <c r="S190" s="59">
        <f ca="1">AVERAGE(OFFSET($R$3,0,0,'Données projet'!$E$9+1,1))-AVERAGE(OFFSET($H$3,0,0,'Données projet'!$E$9+1,1))</f>
        <v>418.8940806978344</v>
      </c>
      <c r="T190" s="59">
        <f t="shared" si="142"/>
        <v>553.49616487922378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17.7132707884127</v>
      </c>
      <c r="AA190" s="21">
        <f>EXP(-LN(2)/25)*AA189+(1-EXP(-LN(2)/25))/(LN(2)/25)*Calculateur!V190*Calculateur!X190*VLOOKUP('Données projet'!$B$9,Paramètres!$A$1:$I$89,3,0)*0.475*44/12</f>
        <v>2.1277153377713258</v>
      </c>
      <c r="AB190" s="21">
        <f>EXP(-LN(2)/2)*AB189+(1-EXP(-LN(2)/2))/(LN(2)/2)*V190*Y190*VLOOKUP('Données projet'!$B$9,Paramètres!$A$1:$I$89,3,0)*0.475*44/12</f>
        <v>8.7691284259252821E-19</v>
      </c>
      <c r="AC190" s="22">
        <f t="shared" si="163"/>
        <v>19.840986126184028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-2.3942448024172334E-13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391.61151255507264</v>
      </c>
      <c r="AO190" s="59">
        <f t="shared" si="144"/>
        <v>365.61278905364281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36.320717832906631</v>
      </c>
      <c r="AV190" s="21">
        <f>EXP(-LN(2)/25)*AV189+(1-EXP(-LN(2)/25))/(LN(2)/25)*Calculateur!AQ190*Calculateur!AS190*VLOOKUP('Données projet'!$B$10,Paramètres!$A$1:$I$89,3,0)*0.475*44/12</f>
        <v>5.6064113448389534</v>
      </c>
      <c r="AW190" s="21">
        <f>EXP(-LN(2)/2)*AW189+(1-EXP(-LN(2)/2))/(LN(2)/2)*AQ190*AT190*VLOOKUP('Données projet'!$B$10,Paramètres!$A$1:$I$89,3,0)*0.475*44/12</f>
        <v>1.7840765882127444E-11</v>
      </c>
      <c r="AX190" s="21">
        <f t="shared" si="166"/>
        <v>41.927129177763426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-2.9842794901924208E-13</v>
      </c>
      <c r="BE190" s="13">
        <f>BD190*VLOOKUP('Données projet'!$B$11,Paramètres!$A$1:$I$89,3,0)*VLOOKUP('Données projet'!$B$11,Paramètres!$A$1:$I$89,5,0)</f>
        <v>-2.839840362867108E-13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486.36809102684492</v>
      </c>
      <c r="BJ190" s="59">
        <f t="shared" si="146"/>
        <v>308.42890859885006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21.396353472104952</v>
      </c>
      <c r="BQ190" s="21">
        <f>EXP(-LN(2)/25)*BQ189+(1-EXP(-LN(2)/25))/(LN(2)/25)*Calculateur!BL190*Calculateur!BN190*VLOOKUP('Données projet'!$B$11,Paramètres!$A$1:$I$89,3,0)*0.475*44/12</f>
        <v>12.397495784580496</v>
      </c>
      <c r="BR190" s="21">
        <f>EXP(-LN(2)/2)*BR189+(1-EXP(-LN(2)/2))/(LN(2)/2)*BL190*BO190*VLOOKUP('Données projet'!$B$11,Paramètres!$A$1:$I$89,3,0)*0.475*44/12</f>
        <v>9.4459037489766455E-8</v>
      </c>
      <c r="BS190" s="22">
        <f t="shared" si="169"/>
        <v>33.793849351144488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6.8212102632969618E-13</v>
      </c>
      <c r="O191" s="13">
        <f>N191*VLOOKUP('Données projet'!$B$9,Paramètres!$A$1:$I$89,3,0)*VLOOKUP('Données projet'!$B$9,Paramètres!$A$1:$I$89,5,0)</f>
        <v>3.8130565371830017E-13</v>
      </c>
      <c r="P191" s="13">
        <f t="shared" si="141"/>
        <v>4.9019074112354236E-12</v>
      </c>
      <c r="Q191" s="20">
        <f t="shared" si="162"/>
        <v>9.2015960881277352E-12</v>
      </c>
      <c r="R191" s="59">
        <f t="shared" si="109"/>
        <v>289.91839713868944</v>
      </c>
      <c r="S191" s="59">
        <f ca="1">AVERAGE(OFFSET($R$3,0,0,'Données projet'!$E$9+1,1))-AVERAGE(OFFSET($H$3,0,0,'Données projet'!$E$9+1,1))</f>
        <v>418.8940806978344</v>
      </c>
      <c r="T191" s="59">
        <f t="shared" si="142"/>
        <v>553.49616487922378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17.365924352280299</v>
      </c>
      <c r="AA191" s="21">
        <f>EXP(-LN(2)/25)*AA190+(1-EXP(-LN(2)/25))/(LN(2)/25)*Calculateur!V191*Calculateur!X191*VLOOKUP('Données projet'!$B$9,Paramètres!$A$1:$I$89,3,0)*0.475*44/12</f>
        <v>2.0695328499682821</v>
      </c>
      <c r="AB191" s="21">
        <f>EXP(-LN(2)/2)*AB190+(1-EXP(-LN(2)/2))/(LN(2)/2)*V191*Y191*VLOOKUP('Données projet'!$B$9,Paramètres!$A$1:$I$89,3,0)*0.475*44/12</f>
        <v>6.2007101750674824E-19</v>
      </c>
      <c r="AC191" s="22">
        <f t="shared" si="163"/>
        <v>19.435457202248582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-2.3942448024172334E-13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391.61151255507264</v>
      </c>
      <c r="AO191" s="59">
        <f t="shared" si="144"/>
        <v>365.61278905364281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35.608490709653736</v>
      </c>
      <c r="AV191" s="21">
        <f>EXP(-LN(2)/25)*AV190+(1-EXP(-LN(2)/25))/(LN(2)/25)*Calculateur!AQ191*Calculateur!AS191*VLOOKUP('Données projet'!$B$10,Paramètres!$A$1:$I$89,3,0)*0.475*44/12</f>
        <v>5.4531037317859736</v>
      </c>
      <c r="AW191" s="21">
        <f>EXP(-LN(2)/2)*AW190+(1-EXP(-LN(2)/2))/(LN(2)/2)*AQ191*AT191*VLOOKUP('Données projet'!$B$10,Paramètres!$A$1:$I$89,3,0)*0.475*44/12</f>
        <v>1.2615326536813913E-11</v>
      </c>
      <c r="AX191" s="21">
        <f t="shared" si="166"/>
        <v>41.061594441452321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-2.9842794901924208E-13</v>
      </c>
      <c r="BE191" s="13">
        <f>BD191*VLOOKUP('Données projet'!$B$11,Paramètres!$A$1:$I$89,3,0)*VLOOKUP('Données projet'!$B$11,Paramètres!$A$1:$I$89,5,0)</f>
        <v>-2.839840362867108E-13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486.36809102684492</v>
      </c>
      <c r="BJ191" s="59">
        <f t="shared" si="146"/>
        <v>308.42890859885006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20.976784031003962</v>
      </c>
      <c r="BQ191" s="21">
        <f>EXP(-LN(2)/25)*BQ190+(1-EXP(-LN(2)/25))/(LN(2)/25)*Calculateur!BL191*Calculateur!BN191*VLOOKUP('Données projet'!$B$11,Paramètres!$A$1:$I$89,3,0)*0.475*44/12</f>
        <v>12.058485610395174</v>
      </c>
      <c r="BR191" s="21">
        <f>EXP(-LN(2)/2)*BR190+(1-EXP(-LN(2)/2))/(LN(2)/2)*BL191*BO191*VLOOKUP('Données projet'!$B$11,Paramètres!$A$1:$I$89,3,0)*0.475*44/12</f>
        <v>6.6792625953368177E-8</v>
      </c>
      <c r="BS191" s="22">
        <f t="shared" si="169"/>
        <v>33.035269708191763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6.8212102632969618E-13</v>
      </c>
      <c r="O192" s="13">
        <f>N192*VLOOKUP('Données projet'!$B$9,Paramètres!$A$1:$I$89,3,0)*VLOOKUP('Données projet'!$B$9,Paramètres!$A$1:$I$89,5,0)</f>
        <v>3.8130565371830017E-13</v>
      </c>
      <c r="P192" s="13">
        <f t="shared" si="141"/>
        <v>4.9019074112354236E-12</v>
      </c>
      <c r="Q192" s="20">
        <f t="shared" si="162"/>
        <v>9.2015960881277352E-12</v>
      </c>
      <c r="R192" s="59">
        <f t="shared" si="109"/>
        <v>289.97763864701307</v>
      </c>
      <c r="S192" s="59">
        <f ca="1">AVERAGE(OFFSET($R$3,0,0,'Données projet'!$E$9+1,1))-AVERAGE(OFFSET($H$3,0,0,'Données projet'!$E$9+1,1))</f>
        <v>418.8940806978344</v>
      </c>
      <c r="T192" s="59">
        <f t="shared" si="142"/>
        <v>553.49616487922378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17.025389167900048</v>
      </c>
      <c r="AA192" s="21">
        <f>EXP(-LN(2)/25)*AA191+(1-EXP(-LN(2)/25))/(LN(2)/25)*Calculateur!V192*Calculateur!X192*VLOOKUP('Données projet'!$B$9,Paramètres!$A$1:$I$89,3,0)*0.475*44/12</f>
        <v>2.012941365353897</v>
      </c>
      <c r="AB192" s="21">
        <f>EXP(-LN(2)/2)*AB191+(1-EXP(-LN(2)/2))/(LN(2)/2)*V192*Y192*VLOOKUP('Données projet'!$B$9,Paramètres!$A$1:$I$89,3,0)*0.475*44/12</f>
        <v>4.384564212962641E-19</v>
      </c>
      <c r="AC192" s="22">
        <f t="shared" si="163"/>
        <v>19.038330533253944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-2.3942448024172334E-13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391.61151255507264</v>
      </c>
      <c r="AO192" s="59">
        <f t="shared" si="144"/>
        <v>365.61278905364281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34.91022992587218</v>
      </c>
      <c r="AV192" s="21">
        <f>EXP(-LN(2)/25)*AV191+(1-EXP(-LN(2)/25))/(LN(2)/25)*Calculateur!AQ192*Calculateur!AS192*VLOOKUP('Données projet'!$B$10,Paramètres!$A$1:$I$89,3,0)*0.475*44/12</f>
        <v>5.3039883234740239</v>
      </c>
      <c r="AW192" s="21">
        <f>EXP(-LN(2)/2)*AW191+(1-EXP(-LN(2)/2))/(LN(2)/2)*AQ192*AT192*VLOOKUP('Données projet'!$B$10,Paramètres!$A$1:$I$89,3,0)*0.475*44/12</f>
        <v>8.920382941063722E-12</v>
      </c>
      <c r="AX192" s="21">
        <f t="shared" si="166"/>
        <v>40.21421824935512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-2.9842794901924208E-13</v>
      </c>
      <c r="BE192" s="13">
        <f>BD192*VLOOKUP('Données projet'!$B$11,Paramètres!$A$1:$I$89,3,0)*VLOOKUP('Données projet'!$B$11,Paramètres!$A$1:$I$89,5,0)</f>
        <v>-2.839840362867108E-13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486.36809102684492</v>
      </c>
      <c r="BJ192" s="59">
        <f t="shared" si="146"/>
        <v>308.42890859885006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20.565442090730873</v>
      </c>
      <c r="BQ192" s="21">
        <f>EXP(-LN(2)/25)*BQ191+(1-EXP(-LN(2)/25))/(LN(2)/25)*Calculateur!BL192*Calculateur!BN192*VLOOKUP('Données projet'!$B$11,Paramètres!$A$1:$I$89,3,0)*0.475*44/12</f>
        <v>11.728745687250719</v>
      </c>
      <c r="BR192" s="21">
        <f>EXP(-LN(2)/2)*BR191+(1-EXP(-LN(2)/2))/(LN(2)/2)*BL192*BO192*VLOOKUP('Données projet'!$B$11,Paramètres!$A$1:$I$89,3,0)*0.475*44/12</f>
        <v>4.7229518744883228E-8</v>
      </c>
      <c r="BS192" s="22">
        <f t="shared" si="169"/>
        <v>32.294187825211111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6.8212102632969618E-13</v>
      </c>
      <c r="O193" s="13">
        <f>N193*VLOOKUP('Données projet'!$B$9,Paramètres!$A$1:$I$89,3,0)*VLOOKUP('Données projet'!$B$9,Paramètres!$A$1:$I$89,5,0)</f>
        <v>3.8130565371830017E-13</v>
      </c>
      <c r="P193" s="13">
        <f t="shared" si="141"/>
        <v>4.9019074112354236E-12</v>
      </c>
      <c r="Q193" s="20">
        <f t="shared" si="162"/>
        <v>9.2015960881277352E-12</v>
      </c>
      <c r="R193" s="59">
        <f t="shared" si="109"/>
        <v>290.03585244761149</v>
      </c>
      <c r="S193" s="59">
        <f ca="1">AVERAGE(OFFSET($R$3,0,0,'Données projet'!$E$9+1,1))-AVERAGE(OFFSET($H$3,0,0,'Données projet'!$E$9+1,1))</f>
        <v>418.8940806978344</v>
      </c>
      <c r="T193" s="59">
        <f t="shared" si="142"/>
        <v>553.49616487922378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16.69153167077954</v>
      </c>
      <c r="AA193" s="21">
        <f>EXP(-LN(2)/25)*AA192+(1-EXP(-LN(2)/25))/(LN(2)/25)*Calculateur!V193*Calculateur!X193*VLOOKUP('Données projet'!$B$9,Paramètres!$A$1:$I$89,3,0)*0.475*44/12</f>
        <v>1.957897377862309</v>
      </c>
      <c r="AB193" s="21">
        <f>EXP(-LN(2)/2)*AB192+(1-EXP(-LN(2)/2))/(LN(2)/2)*V193*Y193*VLOOKUP('Données projet'!$B$9,Paramètres!$A$1:$I$89,3,0)*0.475*44/12</f>
        <v>3.1003550875337412E-19</v>
      </c>
      <c r="AC193" s="22">
        <f t="shared" si="163"/>
        <v>18.649429048641849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-2.3942448024172334E-13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391.61151255507264</v>
      </c>
      <c r="AO193" s="59">
        <f t="shared" si="144"/>
        <v>365.61278905364281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34.225661610163556</v>
      </c>
      <c r="AV193" s="21">
        <f>EXP(-LN(2)/25)*AV192+(1-EXP(-LN(2)/25))/(LN(2)/25)*Calculateur!AQ193*Calculateur!AS193*VLOOKUP('Données projet'!$B$10,Paramètres!$A$1:$I$89,3,0)*0.475*44/12</f>
        <v>5.158950483844003</v>
      </c>
      <c r="AW193" s="21">
        <f>EXP(-LN(2)/2)*AW192+(1-EXP(-LN(2)/2))/(LN(2)/2)*AQ193*AT193*VLOOKUP('Données projet'!$B$10,Paramètres!$A$1:$I$89,3,0)*0.475*44/12</f>
        <v>6.3076632684069566E-12</v>
      </c>
      <c r="AX193" s="21">
        <f t="shared" si="166"/>
        <v>39.384612094013868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-2.9842794901924208E-13</v>
      </c>
      <c r="BE193" s="13">
        <f>BD193*VLOOKUP('Données projet'!$B$11,Paramètres!$A$1:$I$89,3,0)*VLOOKUP('Données projet'!$B$11,Paramètres!$A$1:$I$89,5,0)</f>
        <v>-2.839840362867108E-13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486.36809102684492</v>
      </c>
      <c r="BJ193" s="59">
        <f t="shared" si="146"/>
        <v>308.42890859885006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20.16216631501273</v>
      </c>
      <c r="BQ193" s="21">
        <f>EXP(-LN(2)/25)*BQ192+(1-EXP(-LN(2)/25))/(LN(2)/25)*Calculateur!BL193*Calculateur!BN193*VLOOKUP('Données projet'!$B$11,Paramètres!$A$1:$I$89,3,0)*0.475*44/12</f>
        <v>11.408022519644918</v>
      </c>
      <c r="BR193" s="21">
        <f>EXP(-LN(2)/2)*BR192+(1-EXP(-LN(2)/2))/(LN(2)/2)*BL193*BO193*VLOOKUP('Données projet'!$B$11,Paramètres!$A$1:$I$89,3,0)*0.475*44/12</f>
        <v>3.3396312976684089E-8</v>
      </c>
      <c r="BS193" s="22">
        <f t="shared" si="169"/>
        <v>31.570188868053961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6.8212102632969618E-13</v>
      </c>
      <c r="O194" s="13">
        <f>N194*VLOOKUP('Données projet'!$B$9,Paramètres!$A$1:$I$89,3,0)*VLOOKUP('Données projet'!$B$9,Paramètres!$A$1:$I$89,5,0)</f>
        <v>3.8130565371830017E-13</v>
      </c>
      <c r="P194" s="13">
        <f t="shared" si="141"/>
        <v>4.9019074112354236E-12</v>
      </c>
      <c r="Q194" s="20">
        <f t="shared" si="162"/>
        <v>9.2015960881277352E-12</v>
      </c>
      <c r="R194" s="59">
        <f t="shared" si="109"/>
        <v>290.09305636891605</v>
      </c>
      <c r="S194" s="59">
        <f ca="1">AVERAGE(OFFSET($R$3,0,0,'Données projet'!$E$9+1,1))-AVERAGE(OFFSET($H$3,0,0,'Données projet'!$E$9+1,1))</f>
        <v>418.8940806978344</v>
      </c>
      <c r="T194" s="59">
        <f t="shared" si="142"/>
        <v>553.49616487922378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16.3642209155446</v>
      </c>
      <c r="AA194" s="21">
        <f>EXP(-LN(2)/25)*AA193+(1-EXP(-LN(2)/25))/(LN(2)/25)*Calculateur!V194*Calculateur!X194*VLOOKUP('Données projet'!$B$9,Paramètres!$A$1:$I$89,3,0)*0.475*44/12</f>
        <v>1.904358571103316</v>
      </c>
      <c r="AB194" s="21">
        <f>EXP(-LN(2)/2)*AB193+(1-EXP(-LN(2)/2))/(LN(2)/2)*V194*Y194*VLOOKUP('Données projet'!$B$9,Paramètres!$A$1:$I$89,3,0)*0.475*44/12</f>
        <v>2.1922821064813205E-19</v>
      </c>
      <c r="AC194" s="22">
        <f t="shared" si="163"/>
        <v>18.268579486647916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-2.3942448024172334E-13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391.61151255507264</v>
      </c>
      <c r="AO194" s="59">
        <f t="shared" si="144"/>
        <v>365.61278905364281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33.554517261580536</v>
      </c>
      <c r="AV194" s="21">
        <f>EXP(-LN(2)/25)*AV193+(1-EXP(-LN(2)/25))/(LN(2)/25)*Calculateur!AQ194*Calculateur!AS194*VLOOKUP('Données projet'!$B$10,Paramètres!$A$1:$I$89,3,0)*0.475*44/12</f>
        <v>5.0178787115658734</v>
      </c>
      <c r="AW194" s="21">
        <f>EXP(-LN(2)/2)*AW193+(1-EXP(-LN(2)/2))/(LN(2)/2)*AQ194*AT194*VLOOKUP('Données projet'!$B$10,Paramètres!$A$1:$I$89,3,0)*0.475*44/12</f>
        <v>4.460191470531861E-12</v>
      </c>
      <c r="AX194" s="21">
        <f t="shared" si="166"/>
        <v>38.572395973150869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-2.9842794901924208E-13</v>
      </c>
      <c r="BE194" s="13">
        <f>BD194*VLOOKUP('Données projet'!$B$11,Paramètres!$A$1:$I$89,3,0)*VLOOKUP('Données projet'!$B$11,Paramètres!$A$1:$I$89,5,0)</f>
        <v>-2.839840362867108E-13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486.36809102684492</v>
      </c>
      <c r="BJ194" s="59">
        <f t="shared" si="146"/>
        <v>308.42890859885006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19.766798531282486</v>
      </c>
      <c r="BQ194" s="21">
        <f>EXP(-LN(2)/25)*BQ193+(1-EXP(-LN(2)/25))/(LN(2)/25)*Calculateur!BL194*Calculateur!BN194*VLOOKUP('Données projet'!$B$11,Paramètres!$A$1:$I$89,3,0)*0.475*44/12</f>
        <v>11.096069543923397</v>
      </c>
      <c r="BR194" s="21">
        <f>EXP(-LN(2)/2)*BR193+(1-EXP(-LN(2)/2))/(LN(2)/2)*BL194*BO194*VLOOKUP('Données projet'!$B$11,Paramètres!$A$1:$I$89,3,0)*0.475*44/12</f>
        <v>2.3614759372441614E-8</v>
      </c>
      <c r="BS194" s="22">
        <f t="shared" si="169"/>
        <v>30.862868098820641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6.8212102632969618E-13</v>
      </c>
      <c r="O195" s="13">
        <f>N195*VLOOKUP('Données projet'!$B$9,Paramètres!$A$1:$I$89,3,0)*VLOOKUP('Données projet'!$B$9,Paramètres!$A$1:$I$89,5,0)</f>
        <v>3.8130565371830017E-13</v>
      </c>
      <c r="P195" s="13">
        <f t="shared" si="141"/>
        <v>4.9019074112354236E-12</v>
      </c>
      <c r="Q195" s="20">
        <f t="shared" si="162"/>
        <v>9.2015960881277352E-12</v>
      </c>
      <c r="R195" s="59">
        <f t="shared" ref="R195:R203" si="191">Q195+(I195+J195)*44/12</f>
        <v>290.14926793007487</v>
      </c>
      <c r="S195" s="59">
        <f ca="1">AVERAGE(OFFSET($R$3,0,0,'Données projet'!$E$9+1,1))-AVERAGE(OFFSET($H$3,0,0,'Données projet'!$E$9+1,1))</f>
        <v>418.8940806978344</v>
      </c>
      <c r="T195" s="59">
        <f t="shared" si="142"/>
        <v>553.49616487922378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16.043328524579969</v>
      </c>
      <c r="AA195" s="21">
        <f>EXP(-LN(2)/25)*AA194+(1-EXP(-LN(2)/25))/(LN(2)/25)*Calculateur!V195*Calculateur!X195*VLOOKUP('Données projet'!$B$9,Paramètres!$A$1:$I$89,3,0)*0.475*44/12</f>
        <v>1.8522837858306309</v>
      </c>
      <c r="AB195" s="21">
        <f>EXP(-LN(2)/2)*AB194+(1-EXP(-LN(2)/2))/(LN(2)/2)*V195*Y195*VLOOKUP('Données projet'!$B$9,Paramètres!$A$1:$I$89,3,0)*0.475*44/12</f>
        <v>1.5501775437668706E-19</v>
      </c>
      <c r="AC195" s="22">
        <f t="shared" si="163"/>
        <v>17.895612310410602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-2.3942448024172334E-13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391.61151255507264</v>
      </c>
      <c r="AO195" s="59">
        <f t="shared" si="144"/>
        <v>365.61278905364281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32.896533644315596</v>
      </c>
      <c r="AV195" s="21">
        <f>EXP(-LN(2)/25)*AV194+(1-EXP(-LN(2)/25))/(LN(2)/25)*Calculateur!AQ195*Calculateur!AS195*VLOOKUP('Données projet'!$B$10,Paramètres!$A$1:$I$89,3,0)*0.475*44/12</f>
        <v>4.8806645543193321</v>
      </c>
      <c r="AW195" s="21">
        <f>EXP(-LN(2)/2)*AW194+(1-EXP(-LN(2)/2))/(LN(2)/2)*AQ195*AT195*VLOOKUP('Données projet'!$B$10,Paramètres!$A$1:$I$89,3,0)*0.475*44/12</f>
        <v>3.1538316342034783E-12</v>
      </c>
      <c r="AX195" s="21">
        <f t="shared" si="166"/>
        <v>37.777198198638082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-2.9842794901924208E-13</v>
      </c>
      <c r="BE195" s="13">
        <f>BD195*VLOOKUP('Données projet'!$B$11,Paramètres!$A$1:$I$89,3,0)*VLOOKUP('Données projet'!$B$11,Paramètres!$A$1:$I$89,5,0)</f>
        <v>-2.839840362867108E-13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486.36809102684492</v>
      </c>
      <c r="BJ195" s="59">
        <f t="shared" si="146"/>
        <v>308.42890859885006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19.379183668640653</v>
      </c>
      <c r="BQ195" s="21">
        <f>EXP(-LN(2)/25)*BQ194+(1-EXP(-LN(2)/25))/(LN(2)/25)*Calculateur!BL195*Calculateur!BN195*VLOOKUP('Données projet'!$B$11,Paramètres!$A$1:$I$89,3,0)*0.475*44/12</f>
        <v>10.792646938727875</v>
      </c>
      <c r="BR195" s="21">
        <f>EXP(-LN(2)/2)*BR194+(1-EXP(-LN(2)/2))/(LN(2)/2)*BL195*BO195*VLOOKUP('Données projet'!$B$11,Paramètres!$A$1:$I$89,3,0)*0.475*44/12</f>
        <v>1.6698156488342044E-8</v>
      </c>
      <c r="BS195" s="22">
        <f t="shared" si="169"/>
        <v>30.171830624066683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6.8212102632969618E-13</v>
      </c>
      <c r="O196" s="13">
        <f>N196*VLOOKUP('Données projet'!$B$9,Paramètres!$A$1:$I$89,3,0)*VLOOKUP('Données projet'!$B$9,Paramètres!$A$1:$I$89,5,0)</f>
        <v>3.8130565371830017E-13</v>
      </c>
      <c r="P196" s="13">
        <f t="shared" si="141"/>
        <v>4.9019074112354236E-12</v>
      </c>
      <c r="Q196" s="20">
        <f t="shared" si="162"/>
        <v>9.2015960881277352E-12</v>
      </c>
      <c r="R196" s="59">
        <f t="shared" si="191"/>
        <v>290.20450434631772</v>
      </c>
      <c r="S196" s="59">
        <f ca="1">AVERAGE(OFFSET($R$3,0,0,'Données projet'!$E$9+1,1))-AVERAGE(OFFSET($H$3,0,0,'Données projet'!$E$9+1,1))</f>
        <v>418.8940806978344</v>
      </c>
      <c r="T196" s="59">
        <f t="shared" si="142"/>
        <v>553.49616487922378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15.728728637677122</v>
      </c>
      <c r="AA196" s="21">
        <f>EXP(-LN(2)/25)*AA195+(1-EXP(-LN(2)/25))/(LN(2)/25)*Calculateur!V196*Calculateur!X196*VLOOKUP('Données projet'!$B$9,Paramètres!$A$1:$I$89,3,0)*0.475*44/12</f>
        <v>1.8016329882997215</v>
      </c>
      <c r="AB196" s="21">
        <f>EXP(-LN(2)/2)*AB195+(1-EXP(-LN(2)/2))/(LN(2)/2)*V196*Y196*VLOOKUP('Données projet'!$B$9,Paramètres!$A$1:$I$89,3,0)*0.475*44/12</f>
        <v>1.0961410532406603E-19</v>
      </c>
      <c r="AC196" s="22">
        <f t="shared" si="163"/>
        <v>17.530361625976845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-2.3942448024172334E-13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391.61151255507264</v>
      </c>
      <c r="AO196" s="59">
        <f t="shared" si="144"/>
        <v>365.61278905364281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32.251452684454847</v>
      </c>
      <c r="AV196" s="21">
        <f>EXP(-LN(2)/25)*AV195+(1-EXP(-LN(2)/25))/(LN(2)/25)*Calculateur!AQ196*Calculateur!AS196*VLOOKUP('Données projet'!$B$10,Paramètres!$A$1:$I$89,3,0)*0.475*44/12</f>
        <v>4.7472025254184755</v>
      </c>
      <c r="AW196" s="21">
        <f>EXP(-LN(2)/2)*AW195+(1-EXP(-LN(2)/2))/(LN(2)/2)*AQ196*AT196*VLOOKUP('Données projet'!$B$10,Paramètres!$A$1:$I$89,3,0)*0.475*44/12</f>
        <v>2.2300957352659305E-12</v>
      </c>
      <c r="AX196" s="21">
        <f t="shared" si="166"/>
        <v>36.998655209875551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-2.9842794901924208E-13</v>
      </c>
      <c r="BE196" s="13">
        <f>BD196*VLOOKUP('Données projet'!$B$11,Paramètres!$A$1:$I$89,3,0)*VLOOKUP('Données projet'!$B$11,Paramètres!$A$1:$I$89,5,0)</f>
        <v>-2.839840362867108E-13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486.36809102684492</v>
      </c>
      <c r="BJ196" s="59">
        <f t="shared" si="146"/>
        <v>308.42890859885006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18.999169697033505</v>
      </c>
      <c r="BQ196" s="21">
        <f>EXP(-LN(2)/25)*BQ195+(1-EXP(-LN(2)/25))/(LN(2)/25)*Calculateur!BL196*Calculateur!BN196*VLOOKUP('Données projet'!$B$11,Paramètres!$A$1:$I$89,3,0)*0.475*44/12</f>
        <v>10.497521440627725</v>
      </c>
      <c r="BR196" s="21">
        <f>EXP(-LN(2)/2)*BR195+(1-EXP(-LN(2)/2))/(LN(2)/2)*BL196*BO196*VLOOKUP('Données projet'!$B$11,Paramètres!$A$1:$I$89,3,0)*0.475*44/12</f>
        <v>1.1807379686220807E-8</v>
      </c>
      <c r="BS196" s="22">
        <f t="shared" si="169"/>
        <v>29.49669114946861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6.8212102632969618E-13</v>
      </c>
      <c r="O197" s="13">
        <f>N197*VLOOKUP('Données projet'!$B$9,Paramètres!$A$1:$I$89,3,0)*VLOOKUP('Données projet'!$B$9,Paramètres!$A$1:$I$89,5,0)</f>
        <v>3.8130565371830017E-13</v>
      </c>
      <c r="P197" s="13">
        <f t="shared" ref="P197:P203" si="203">EXP(-1.0587+0.8836*LN(O197)+0.284)</f>
        <v>4.9019074112354236E-12</v>
      </c>
      <c r="Q197" s="20">
        <f t="shared" si="162"/>
        <v>9.2015960881277352E-12</v>
      </c>
      <c r="R197" s="59">
        <f t="shared" si="191"/>
        <v>290.25878253422894</v>
      </c>
      <c r="S197" s="59">
        <f ca="1">AVERAGE(OFFSET($R$3,0,0,'Données projet'!$E$9+1,1))-AVERAGE(OFFSET($H$3,0,0,'Données projet'!$E$9+1,1))</f>
        <v>418.8940806978344</v>
      </c>
      <c r="T197" s="59">
        <f t="shared" ref="T197:T203" si="204">$T$3</f>
        <v>553.49616487922378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15.420297862669456</v>
      </c>
      <c r="AA197" s="21">
        <f>EXP(-LN(2)/25)*AA196+(1-EXP(-LN(2)/25))/(LN(2)/25)*Calculateur!V197*Calculateur!X197*VLOOKUP('Données projet'!$B$9,Paramètres!$A$1:$I$89,3,0)*0.475*44/12</f>
        <v>1.7523672394909044</v>
      </c>
      <c r="AB197" s="21">
        <f>EXP(-LN(2)/2)*AB196+(1-EXP(-LN(2)/2))/(LN(2)/2)*V197*Y197*VLOOKUP('Données projet'!$B$9,Paramètres!$A$1:$I$89,3,0)*0.475*44/12</f>
        <v>7.750887718834353E-20</v>
      </c>
      <c r="AC197" s="22">
        <f t="shared" si="163"/>
        <v>17.172665102160359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-2.3942448024172334E-13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391.61151255507264</v>
      </c>
      <c r="AO197" s="59">
        <f t="shared" ref="AO197:AO203" si="205">$AO$3</f>
        <v>365.61278905364281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31.619021368756432</v>
      </c>
      <c r="AV197" s="21">
        <f>EXP(-LN(2)/25)*AV196+(1-EXP(-LN(2)/25))/(LN(2)/25)*Calculateur!AQ197*Calculateur!AS197*VLOOKUP('Données projet'!$B$10,Paramètres!$A$1:$I$89,3,0)*0.475*44/12</f>
        <v>4.6173900227163767</v>
      </c>
      <c r="AW197" s="21">
        <f>EXP(-LN(2)/2)*AW196+(1-EXP(-LN(2)/2))/(LN(2)/2)*AQ197*AT197*VLOOKUP('Données projet'!$B$10,Paramètres!$A$1:$I$89,3,0)*0.475*44/12</f>
        <v>1.5769158171017392E-12</v>
      </c>
      <c r="AX197" s="21">
        <f t="shared" si="166"/>
        <v>36.236411391474384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-2.9842794901924208E-13</v>
      </c>
      <c r="BE197" s="13">
        <f>BD197*VLOOKUP('Données projet'!$B$11,Paramètres!$A$1:$I$89,3,0)*VLOOKUP('Données projet'!$B$11,Paramètres!$A$1:$I$89,5,0)</f>
        <v>-2.839840362867108E-13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486.36809102684492</v>
      </c>
      <c r="BJ197" s="59">
        <f t="shared" ref="BJ197:BJ203" si="206">$BJ$3</f>
        <v>308.42890859885006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18.626607567623939</v>
      </c>
      <c r="BQ197" s="21">
        <f>EXP(-LN(2)/25)*BQ196+(1-EXP(-LN(2)/25))/(LN(2)/25)*Calculateur!BL197*Calculateur!BN197*VLOOKUP('Données projet'!$B$11,Paramètres!$A$1:$I$89,3,0)*0.475*44/12</f>
        <v>10.2104661647931</v>
      </c>
      <c r="BR197" s="21">
        <f>EXP(-LN(2)/2)*BR196+(1-EXP(-LN(2)/2))/(LN(2)/2)*BL197*BO197*VLOOKUP('Données projet'!$B$11,Paramètres!$A$1:$I$89,3,0)*0.475*44/12</f>
        <v>8.3490782441710222E-9</v>
      </c>
      <c r="BS197" s="22">
        <f t="shared" si="169"/>
        <v>28.837073740766119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6.8212102632969618E-13</v>
      </c>
      <c r="O198" s="13">
        <f>N198*VLOOKUP('Données projet'!$B$9,Paramètres!$A$1:$I$89,3,0)*VLOOKUP('Données projet'!$B$9,Paramètres!$A$1:$I$89,5,0)</f>
        <v>3.8130565371830017E-13</v>
      </c>
      <c r="P198" s="13">
        <f t="shared" si="203"/>
        <v>4.9019074112354236E-12</v>
      </c>
      <c r="Q198" s="20">
        <f t="shared" si="162"/>
        <v>9.2015960881277352E-12</v>
      </c>
      <c r="R198" s="59">
        <f t="shared" si="191"/>
        <v>290.3121191169277</v>
      </c>
      <c r="S198" s="59">
        <f ca="1">AVERAGE(OFFSET($R$3,0,0,'Données projet'!$E$9+1,1))-AVERAGE(OFFSET($H$3,0,0,'Données projet'!$E$9+1,1))</f>
        <v>418.8940806978344</v>
      </c>
      <c r="T198" s="59">
        <f t="shared" si="204"/>
        <v>553.49616487922378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15.117915227035493</v>
      </c>
      <c r="AA198" s="21">
        <f>EXP(-LN(2)/25)*AA197+(1-EXP(-LN(2)/25))/(LN(2)/25)*Calculateur!V198*Calculateur!X198*VLOOKUP('Données projet'!$B$9,Paramètres!$A$1:$I$89,3,0)*0.475*44/12</f>
        <v>1.7044486651740376</v>
      </c>
      <c r="AB198" s="21">
        <f>EXP(-LN(2)/2)*AB197+(1-EXP(-LN(2)/2))/(LN(2)/2)*V198*Y198*VLOOKUP('Données projet'!$B$9,Paramètres!$A$1:$I$89,3,0)*0.475*44/12</f>
        <v>5.4807052662033013E-20</v>
      </c>
      <c r="AC198" s="22">
        <f t="shared" si="163"/>
        <v>16.82236389220953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-2.3942448024172334E-13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391.61151255507264</v>
      </c>
      <c r="AO198" s="59">
        <f t="shared" si="205"/>
        <v>365.61278905364281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30.998991645413849</v>
      </c>
      <c r="AV198" s="21">
        <f>EXP(-LN(2)/25)*AV197+(1-EXP(-LN(2)/25))/(LN(2)/25)*Calculateur!AQ198*Calculateur!AS198*VLOOKUP('Données projet'!$B$10,Paramètres!$A$1:$I$89,3,0)*0.475*44/12</f>
        <v>4.4911272497272092</v>
      </c>
      <c r="AW198" s="21">
        <f>EXP(-LN(2)/2)*AW197+(1-EXP(-LN(2)/2))/(LN(2)/2)*AQ198*AT198*VLOOKUP('Données projet'!$B$10,Paramètres!$A$1:$I$89,3,0)*0.475*44/12</f>
        <v>1.1150478676329652E-12</v>
      </c>
      <c r="AX198" s="21">
        <f t="shared" si="166"/>
        <v>35.490118895142174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-2.9842794901924208E-13</v>
      </c>
      <c r="BE198" s="13">
        <f>BD198*VLOOKUP('Données projet'!$B$11,Paramètres!$A$1:$I$89,3,0)*VLOOKUP('Données projet'!$B$11,Paramètres!$A$1:$I$89,5,0)</f>
        <v>-2.839840362867108E-13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486.36809102684492</v>
      </c>
      <c r="BJ198" s="59">
        <f t="shared" si="206"/>
        <v>308.42890859885006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18.261351154331635</v>
      </c>
      <c r="BQ198" s="21">
        <f>EXP(-LN(2)/25)*BQ197+(1-EXP(-LN(2)/25))/(LN(2)/25)*Calculateur!BL198*Calculateur!BN198*VLOOKUP('Données projet'!$B$11,Paramètres!$A$1:$I$89,3,0)*0.475*44/12</f>
        <v>9.9312604305717542</v>
      </c>
      <c r="BR198" s="21">
        <f>EXP(-LN(2)/2)*BR197+(1-EXP(-LN(2)/2))/(LN(2)/2)*BL198*BO198*VLOOKUP('Données projet'!$B$11,Paramètres!$A$1:$I$89,3,0)*0.475*44/12</f>
        <v>5.9036898431104034E-9</v>
      </c>
      <c r="BS198" s="22">
        <f t="shared" si="169"/>
        <v>28.192611590807079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6.8212102632969618E-13</v>
      </c>
      <c r="O199" s="13">
        <f>N199*VLOOKUP('Données projet'!$B$9,Paramètres!$A$1:$I$89,3,0)*VLOOKUP('Données projet'!$B$9,Paramètres!$A$1:$I$89,5,0)</f>
        <v>3.8130565371830017E-13</v>
      </c>
      <c r="P199" s="13">
        <f t="shared" si="203"/>
        <v>4.9019074112354236E-12</v>
      </c>
      <c r="Q199" s="20">
        <f t="shared" si="162"/>
        <v>9.2015960881277352E-12</v>
      </c>
      <c r="R199" s="59">
        <f t="shared" si="191"/>
        <v>290.3645304291594</v>
      </c>
      <c r="S199" s="59">
        <f ca="1">AVERAGE(OFFSET($R$3,0,0,'Données projet'!$E$9+1,1))-AVERAGE(OFFSET($H$3,0,0,'Données projet'!$E$9+1,1))</f>
        <v>418.8940806978344</v>
      </c>
      <c r="T199" s="59">
        <f t="shared" si="204"/>
        <v>553.49616487922378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14.821462130451115</v>
      </c>
      <c r="AA199" s="21">
        <f>EXP(-LN(2)/25)*AA198+(1-EXP(-LN(2)/25))/(LN(2)/25)*Calculateur!V199*Calculateur!X199*VLOOKUP('Données projet'!$B$9,Paramètres!$A$1:$I$89,3,0)*0.475*44/12</f>
        <v>1.6578404267917939</v>
      </c>
      <c r="AB199" s="21">
        <f>EXP(-LN(2)/2)*AB198+(1-EXP(-LN(2)/2))/(LN(2)/2)*V199*Y199*VLOOKUP('Données projet'!$B$9,Paramètres!$A$1:$I$89,3,0)*0.475*44/12</f>
        <v>3.8754438594171765E-20</v>
      </c>
      <c r="AC199" s="22">
        <f t="shared" si="163"/>
        <v>16.47930255724291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-2.3942448024172334E-13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391.61151255507264</v>
      </c>
      <c r="AO199" s="59">
        <f t="shared" si="205"/>
        <v>365.61278905364281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30.391120326765225</v>
      </c>
      <c r="AV199" s="21">
        <f>EXP(-LN(2)/25)*AV198+(1-EXP(-LN(2)/25))/(LN(2)/25)*Calculateur!AQ199*Calculateur!AS199*VLOOKUP('Données projet'!$B$10,Paramètres!$A$1:$I$89,3,0)*0.475*44/12</f>
        <v>4.3683171389053008</v>
      </c>
      <c r="AW199" s="21">
        <f>EXP(-LN(2)/2)*AW198+(1-EXP(-LN(2)/2))/(LN(2)/2)*AQ199*AT199*VLOOKUP('Données projet'!$B$10,Paramètres!$A$1:$I$89,3,0)*0.475*44/12</f>
        <v>7.8845790855086958E-13</v>
      </c>
      <c r="AX199" s="21">
        <f t="shared" si="166"/>
        <v>34.759437465671319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-2.9842794901924208E-13</v>
      </c>
      <c r="BE199" s="13">
        <f>BD199*VLOOKUP('Données projet'!$B$11,Paramètres!$A$1:$I$89,3,0)*VLOOKUP('Données projet'!$B$11,Paramètres!$A$1:$I$89,5,0)</f>
        <v>-2.839840362867108E-13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486.36809102684492</v>
      </c>
      <c r="BJ199" s="59">
        <f t="shared" si="206"/>
        <v>308.42890859885006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17.903257196519579</v>
      </c>
      <c r="BQ199" s="21">
        <f>EXP(-LN(2)/25)*BQ198+(1-EXP(-LN(2)/25))/(LN(2)/25)*Calculateur!BL199*Calculateur!BN199*VLOOKUP('Données projet'!$B$11,Paramètres!$A$1:$I$89,3,0)*0.475*44/12</f>
        <v>9.6596895918354821</v>
      </c>
      <c r="BR199" s="21">
        <f>EXP(-LN(2)/2)*BR198+(1-EXP(-LN(2)/2))/(LN(2)/2)*BL199*BO199*VLOOKUP('Données projet'!$B$11,Paramètres!$A$1:$I$89,3,0)*0.475*44/12</f>
        <v>4.1745391220855111E-9</v>
      </c>
      <c r="BS199" s="22">
        <f t="shared" si="169"/>
        <v>27.562946792529601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6.8212102632969618E-13</v>
      </c>
      <c r="O200" s="13">
        <f>N200*VLOOKUP('Données projet'!$B$9,Paramètres!$A$1:$I$89,3,0)*VLOOKUP('Données projet'!$B$9,Paramètres!$A$1:$I$89,5,0)</f>
        <v>3.8130565371830017E-13</v>
      </c>
      <c r="P200" s="13">
        <f t="shared" si="203"/>
        <v>4.9019074112354236E-12</v>
      </c>
      <c r="Q200" s="20">
        <f t="shared" si="162"/>
        <v>9.2015960881277352E-12</v>
      </c>
      <c r="R200" s="59">
        <f t="shared" si="191"/>
        <v>290.416032522298</v>
      </c>
      <c r="S200" s="59">
        <f ca="1">AVERAGE(OFFSET($R$3,0,0,'Données projet'!$E$9+1,1))-AVERAGE(OFFSET($H$3,0,0,'Données projet'!$E$9+1,1))</f>
        <v>418.8940806978344</v>
      </c>
      <c r="T200" s="59">
        <f t="shared" si="204"/>
        <v>553.49616487922378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14.530822298272223</v>
      </c>
      <c r="AA200" s="21">
        <f>EXP(-LN(2)/25)*AA199+(1-EXP(-LN(2)/25))/(LN(2)/25)*Calculateur!V200*Calculateur!X200*VLOOKUP('Données projet'!$B$9,Paramètres!$A$1:$I$89,3,0)*0.475*44/12</f>
        <v>1.6125066931391332</v>
      </c>
      <c r="AB200" s="21">
        <f>EXP(-LN(2)/2)*AB199+(1-EXP(-LN(2)/2))/(LN(2)/2)*V200*Y200*VLOOKUP('Données projet'!$B$9,Paramètres!$A$1:$I$89,3,0)*0.475*44/12</f>
        <v>2.7403526331016506E-20</v>
      </c>
      <c r="AC200" s="22">
        <f t="shared" si="163"/>
        <v>16.143328991411355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-2.3942448024172334E-13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391.61151255507264</v>
      </c>
      <c r="AO200" s="59">
        <f t="shared" si="205"/>
        <v>365.61278905364281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29.795168993910405</v>
      </c>
      <c r="AV200" s="21">
        <f>EXP(-LN(2)/25)*AV199+(1-EXP(-LN(2)/25))/(LN(2)/25)*Calculateur!AQ200*Calculateur!AS200*VLOOKUP('Données projet'!$B$10,Paramètres!$A$1:$I$89,3,0)*0.475*44/12</f>
        <v>4.2488652770221211</v>
      </c>
      <c r="AW200" s="21">
        <f>EXP(-LN(2)/2)*AW199+(1-EXP(-LN(2)/2))/(LN(2)/2)*AQ200*AT200*VLOOKUP('Données projet'!$B$10,Paramètres!$A$1:$I$89,3,0)*0.475*44/12</f>
        <v>5.5752393381648262E-13</v>
      </c>
      <c r="AX200" s="21">
        <f t="shared" si="166"/>
        <v>34.044034270933082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-2.9842794901924208E-13</v>
      </c>
      <c r="BE200" s="13">
        <f>BD200*VLOOKUP('Données projet'!$B$11,Paramètres!$A$1:$I$89,3,0)*VLOOKUP('Données projet'!$B$11,Paramètres!$A$1:$I$89,5,0)</f>
        <v>-2.839840362867108E-13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486.36809102684492</v>
      </c>
      <c r="BJ200" s="59">
        <f t="shared" si="206"/>
        <v>308.42890859885006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17.55218524280447</v>
      </c>
      <c r="BQ200" s="21">
        <f>EXP(-LN(2)/25)*BQ199+(1-EXP(-LN(2)/25))/(LN(2)/25)*Calculateur!BL200*Calculateur!BN200*VLOOKUP('Données projet'!$B$11,Paramètres!$A$1:$I$89,3,0)*0.475*44/12</f>
        <v>9.3955448719657433</v>
      </c>
      <c r="BR200" s="21">
        <f>EXP(-LN(2)/2)*BR199+(1-EXP(-LN(2)/2))/(LN(2)/2)*BL200*BO200*VLOOKUP('Données projet'!$B$11,Paramètres!$A$1:$I$89,3,0)*0.475*44/12</f>
        <v>2.9518449215552017E-9</v>
      </c>
      <c r="BS200" s="22">
        <f t="shared" si="169"/>
        <v>26.947730117722056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6.8212102632969618E-13</v>
      </c>
      <c r="O201" s="13">
        <f>N201*VLOOKUP('Données projet'!$B$9,Paramètres!$A$1:$I$89,3,0)*VLOOKUP('Données projet'!$B$9,Paramètres!$A$1:$I$89,5,0)</f>
        <v>3.8130565371830017E-13</v>
      </c>
      <c r="P201" s="13">
        <f t="shared" si="203"/>
        <v>4.9019074112354236E-12</v>
      </c>
      <c r="Q201" s="20">
        <f t="shared" si="162"/>
        <v>9.2015960881277352E-12</v>
      </c>
      <c r="R201" s="59">
        <f t="shared" si="191"/>
        <v>290.46664116926212</v>
      </c>
      <c r="S201" s="59">
        <f ca="1">AVERAGE(OFFSET($R$3,0,0,'Données projet'!$E$9+1,1))-AVERAGE(OFFSET($H$3,0,0,'Données projet'!$E$9+1,1))</f>
        <v>418.8940806978344</v>
      </c>
      <c r="T201" s="59">
        <f t="shared" si="204"/>
        <v>553.49616487922378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14.245881735929565</v>
      </c>
      <c r="AA201" s="21">
        <f>EXP(-LN(2)/25)*AA200+(1-EXP(-LN(2)/25))/(LN(2)/25)*Calculateur!V201*Calculateur!X201*VLOOKUP('Données projet'!$B$9,Paramètres!$A$1:$I$89,3,0)*0.475*44/12</f>
        <v>1.568412612817202</v>
      </c>
      <c r="AB201" s="21">
        <f>EXP(-LN(2)/2)*AB200+(1-EXP(-LN(2)/2))/(LN(2)/2)*V201*Y201*VLOOKUP('Données projet'!$B$9,Paramètres!$A$1:$I$89,3,0)*0.475*44/12</f>
        <v>1.9377219297085883E-20</v>
      </c>
      <c r="AC201" s="22">
        <f t="shared" si="163"/>
        <v>15.814294348746767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-2.3942448024172334E-13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391.61151255507264</v>
      </c>
      <c r="AO201" s="59">
        <f t="shared" si="205"/>
        <v>365.61278905364281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29.210903903198449</v>
      </c>
      <c r="AV201" s="21">
        <f>EXP(-LN(2)/25)*AV200+(1-EXP(-LN(2)/25))/(LN(2)/25)*Calculateur!AQ201*Calculateur!AS201*VLOOKUP('Données projet'!$B$10,Paramètres!$A$1:$I$89,3,0)*0.475*44/12</f>
        <v>4.132679832583837</v>
      </c>
      <c r="AW201" s="21">
        <f>EXP(-LN(2)/2)*AW200+(1-EXP(-LN(2)/2))/(LN(2)/2)*AQ201*AT201*VLOOKUP('Données projet'!$B$10,Paramètres!$A$1:$I$89,3,0)*0.475*44/12</f>
        <v>3.9422895427543479E-13</v>
      </c>
      <c r="AX201" s="21">
        <f t="shared" si="166"/>
        <v>33.34358373578268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-2.9842794901924208E-13</v>
      </c>
      <c r="BE201" s="13">
        <f>BD201*VLOOKUP('Données projet'!$B$11,Paramètres!$A$1:$I$89,3,0)*VLOOKUP('Données projet'!$B$11,Paramètres!$A$1:$I$89,5,0)</f>
        <v>-2.839840362867108E-13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486.36809102684492</v>
      </c>
      <c r="BJ201" s="59">
        <f t="shared" si="206"/>
        <v>308.42890859885006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17.207997595968965</v>
      </c>
      <c r="BQ201" s="21">
        <f>EXP(-LN(2)/25)*BQ200+(1-EXP(-LN(2)/25))/(LN(2)/25)*Calculateur!BL201*Calculateur!BN201*VLOOKUP('Données projet'!$B$11,Paramètres!$A$1:$I$89,3,0)*0.475*44/12</f>
        <v>9.1386232033516084</v>
      </c>
      <c r="BR201" s="21">
        <f>EXP(-LN(2)/2)*BR200+(1-EXP(-LN(2)/2))/(LN(2)/2)*BL201*BO201*VLOOKUP('Données projet'!$B$11,Paramètres!$A$1:$I$89,3,0)*0.475*44/12</f>
        <v>2.0872695610427555E-9</v>
      </c>
      <c r="BS201" s="22">
        <f t="shared" si="169"/>
        <v>26.346620801407845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6.8212102632969618E-13</v>
      </c>
      <c r="O202" s="13">
        <f>N202*VLOOKUP('Données projet'!$B$9,Paramètres!$A$1:$I$89,3,0)*VLOOKUP('Données projet'!$B$9,Paramètres!$A$1:$I$89,5,0)</f>
        <v>3.8130565371830017E-13</v>
      </c>
      <c r="P202" s="13">
        <f t="shared" si="203"/>
        <v>4.9019074112354236E-12</v>
      </c>
      <c r="Q202" s="20">
        <f t="shared" si="162"/>
        <v>9.2015960881277352E-12</v>
      </c>
      <c r="R202" s="59">
        <f t="shared" si="191"/>
        <v>290.51637186934533</v>
      </c>
      <c r="S202" s="59">
        <f ca="1">AVERAGE(OFFSET($R$3,0,0,'Données projet'!$E$9+1,1))-AVERAGE(OFFSET($H$3,0,0,'Données projet'!$E$9+1,1))</f>
        <v>418.8940806978344</v>
      </c>
      <c r="T202" s="59">
        <f t="shared" si="204"/>
        <v>553.49616487922378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13.966528684217865</v>
      </c>
      <c r="AA202" s="21">
        <f>EXP(-LN(2)/25)*AA201+(1-EXP(-LN(2)/25))/(LN(2)/25)*Calculateur!V202*Calculateur!X202*VLOOKUP('Données projet'!$B$9,Paramètres!$A$1:$I$89,3,0)*0.475*44/12</f>
        <v>1.5255242874404811</v>
      </c>
      <c r="AB202" s="21">
        <f>EXP(-LN(2)/2)*AB201+(1-EXP(-LN(2)/2))/(LN(2)/2)*V202*Y202*VLOOKUP('Données projet'!$B$9,Paramètres!$A$1:$I$89,3,0)*0.475*44/12</f>
        <v>1.3701763165508253E-20</v>
      </c>
      <c r="AC202" s="22">
        <f t="shared" si="163"/>
        <v>15.492052971658346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-2.3942448024172334E-13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391.61151255507264</v>
      </c>
      <c r="AO202" s="59">
        <f t="shared" si="205"/>
        <v>365.61278905364281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28.638095894548837</v>
      </c>
      <c r="AV202" s="21">
        <f>EXP(-LN(2)/25)*AV201+(1-EXP(-LN(2)/25))/(LN(2)/25)*Calculateur!AQ202*Calculateur!AS202*VLOOKUP('Données projet'!$B$10,Paramètres!$A$1:$I$89,3,0)*0.475*44/12</f>
        <v>4.019671485233645</v>
      </c>
      <c r="AW202" s="21">
        <f>EXP(-LN(2)/2)*AW201+(1-EXP(-LN(2)/2))/(LN(2)/2)*AQ202*AT202*VLOOKUP('Données projet'!$B$10,Paramètres!$A$1:$I$89,3,0)*0.475*44/12</f>
        <v>2.7876196690824131E-13</v>
      </c>
      <c r="AX202" s="21">
        <f t="shared" si="166"/>
        <v>32.657767379782761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-2.9842794901924208E-13</v>
      </c>
      <c r="BE202" s="13">
        <f>BD202*VLOOKUP('Données projet'!$B$11,Paramètres!$A$1:$I$89,3,0)*VLOOKUP('Données projet'!$B$11,Paramètres!$A$1:$I$89,5,0)</f>
        <v>-2.839840362867108E-13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486.36809102684492</v>
      </c>
      <c r="BJ202" s="59">
        <f t="shared" si="206"/>
        <v>308.42890859885006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16.87055925895417</v>
      </c>
      <c r="BQ202" s="21">
        <f>EXP(-LN(2)/25)*BQ201+(1-EXP(-LN(2)/25))/(LN(2)/25)*Calculateur!BL202*Calculateur!BN202*VLOOKUP('Données projet'!$B$11,Paramètres!$A$1:$I$89,3,0)*0.475*44/12</f>
        <v>8.8887270712766515</v>
      </c>
      <c r="BR202" s="21">
        <f>EXP(-LN(2)/2)*BR201+(1-EXP(-LN(2)/2))/(LN(2)/2)*BL202*BO202*VLOOKUP('Données projet'!$B$11,Paramètres!$A$1:$I$89,3,0)*0.475*44/12</f>
        <v>1.4759224607776009E-9</v>
      </c>
      <c r="BS202" s="22">
        <f t="shared" si="169"/>
        <v>25.759286331706743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6.8212102632969618E-13</v>
      </c>
      <c r="O203" s="13">
        <f>N203*VLOOKUP('Données projet'!$B$9,Paramètres!$A$1:$I$89,3,0)*VLOOKUP('Données projet'!$B$9,Paramètres!$A$1:$I$89,5,0)</f>
        <v>3.8130565371830017E-13</v>
      </c>
      <c r="P203" s="13">
        <f t="shared" si="203"/>
        <v>4.9019074112354236E-12</v>
      </c>
      <c r="Q203" s="20">
        <f t="shared" si="162"/>
        <v>9.2015960881277352E-12</v>
      </c>
      <c r="R203" s="59">
        <f t="shared" si="191"/>
        <v>290.56523985296332</v>
      </c>
      <c r="S203" s="59">
        <f ca="1">AVERAGE(OFFSET($R$3,0,0,'Données projet'!$E$9+1,1))-AVERAGE(OFFSET($H$3,0,0,'Données projet'!$E$9+1,1))</f>
        <v>418.8940806978344</v>
      </c>
      <c r="T203" s="59">
        <f t="shared" si="204"/>
        <v>553.49616487922378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13.692653575461694</v>
      </c>
      <c r="AA203" s="21">
        <f>EXP(-LN(2)/25)*AA202+(1-EXP(-LN(2)/25))/(LN(2)/25)*Calculateur!V203*Calculateur!X203*VLOOKUP('Données projet'!$B$9,Paramètres!$A$1:$I$89,3,0)*0.475*44/12</f>
        <v>1.4838087455765854</v>
      </c>
      <c r="AB203" s="21">
        <f>EXP(-LN(2)/2)*AB202+(1-EXP(-LN(2)/2))/(LN(2)/2)*V203*Y203*VLOOKUP('Données projet'!$B$9,Paramètres!$A$1:$I$89,3,0)*0.475*44/12</f>
        <v>9.6886096485429413E-21</v>
      </c>
      <c r="AC203" s="22">
        <f t="shared" si="163"/>
        <v>15.176462321038279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-2.3942448024172334E-13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391.61151255507264</v>
      </c>
      <c r="AO203" s="59">
        <f t="shared" si="205"/>
        <v>365.61278905364281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28.076520301570454</v>
      </c>
      <c r="AV203" s="21">
        <f>EXP(-LN(2)/25)*AV202+(1-EXP(-LN(2)/25))/(LN(2)/25)*Calculateur!AQ203*Calculateur!AS203*VLOOKUP('Données projet'!$B$10,Paramètres!$A$1:$I$89,3,0)*0.475*44/12</f>
        <v>3.9097533570845946</v>
      </c>
      <c r="AW203" s="21">
        <f>EXP(-LN(2)/2)*AW202+(1-EXP(-LN(2)/2))/(LN(2)/2)*AQ203*AT203*VLOOKUP('Données projet'!$B$10,Paramètres!$A$1:$I$89,3,0)*0.475*44/12</f>
        <v>1.9711447713771739E-13</v>
      </c>
      <c r="AX203" s="21">
        <f t="shared" si="166"/>
        <v>31.986273658655243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-2.9842794901924208E-13</v>
      </c>
      <c r="BE203" s="13">
        <f>BD203*VLOOKUP('Données projet'!$B$11,Paramètres!$A$1:$I$89,3,0)*VLOOKUP('Données projet'!$B$11,Paramètres!$A$1:$I$89,5,0)</f>
        <v>-2.839840362867108E-13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486.36809102684492</v>
      </c>
      <c r="BJ203" s="59">
        <f t="shared" si="206"/>
        <v>308.42890859885006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16.539737881911172</v>
      </c>
      <c r="BQ203" s="21">
        <f>EXP(-LN(2)/25)*BQ202+(1-EXP(-LN(2)/25))/(LN(2)/25)*Calculateur!BL203*Calculateur!BN203*VLOOKUP('Données projet'!$B$11,Paramètres!$A$1:$I$89,3,0)*0.475*44/12</f>
        <v>8.6456643620747506</v>
      </c>
      <c r="BR203" s="21">
        <f>EXP(-LN(2)/2)*BR202+(1-EXP(-LN(2)/2))/(LN(2)/2)*BL203*BO203*VLOOKUP('Données projet'!$B$11,Paramètres!$A$1:$I$89,3,0)*0.475*44/12</f>
        <v>1.0436347805213778E-9</v>
      </c>
      <c r="BS203" s="22">
        <f t="shared" si="169"/>
        <v>25.185402245029557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1.3431447102017802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1.1548473372585901</v>
      </c>
      <c r="BA205" s="82">
        <f>EXP(LN('Données projet'!B88)/'Données projet'!A88)</f>
        <v>1.14146332279192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85" zoomScaleNormal="85" workbookViewId="0">
      <selection activeCell="M13" sqref="M13:M25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3.3099999999999996</v>
      </c>
      <c r="C6" s="147">
        <f ca="1">IF(OR('Données projet'!B9="",'Données projet'!C9="",'Données projet'!C9=0%),0,Calculateur!S3)</f>
        <v>418.8940806978344</v>
      </c>
      <c r="D6" s="147">
        <f>IF(OR('Données projet'!B9="",'Données projet'!C9="",'Données projet'!C9=0%),0,Calculateur!T3)</f>
        <v>553.49616487922378</v>
      </c>
      <c r="E6" s="147">
        <f ca="1">MIN(C6,D6)</f>
        <v>418.8940806978344</v>
      </c>
      <c r="F6" s="147">
        <f ca="1">E6*B6</f>
        <v>1386.5394071098317</v>
      </c>
      <c r="G6" s="147">
        <f ca="1">F6*(100%-'Données projet'!$C$24)*(100%-'Données projet'!$C$25)*(100%-'Données projet'!$C$26)*(100%-'Données projet'!$C$27)</f>
        <v>1123.0969197589638</v>
      </c>
      <c r="H6" s="148">
        <f>IF(OR('Données projet'!B9="",'Données projet'!C9="",'Données projet'!C9=0%),0,AVERAGE(Calculateur!$AC$3:$AC$33)*B6)</f>
        <v>46.236120145621371</v>
      </c>
      <c r="I6" s="149">
        <f>H6*(100%-'Données projet'!$C$24)*(100%-'Données projet'!$C$25)*(100%-'Données projet'!$C$26)*(100%-'Données projet'!$C$27)</f>
        <v>37.451257317953313</v>
      </c>
      <c r="J6" s="150">
        <f>IF(OR('Données projet'!B9="",'Données projet'!C9="",'Données projet'!C9=0%),0,SUM(Calculateur!$V$3:$V$33)*VLOOKUP('Données projet'!$B$9,Paramètres!$A$1:$I$89,9,0)*B6)</f>
        <v>294.90775999999994</v>
      </c>
      <c r="K6" s="151">
        <f>J6*(100%-'Données projet'!$C$24)*(100%-'Données projet'!$C$25)*(100%-'Données projet'!$C$26)*(100%-'Données projet'!$C$27)</f>
        <v>238.87528559999996</v>
      </c>
      <c r="L6" s="152">
        <f ca="1">G6+I6+K6</f>
        <v>1399.4234626769171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3.7839999999999998</v>
      </c>
      <c r="C7" s="147">
        <f ca="1">IF(OR('Données projet'!B10="",'Données projet'!C10="",'Données projet'!C10=0%),0,Calculateur!AN3)</f>
        <v>391.61151255507264</v>
      </c>
      <c r="D7" s="147">
        <f>IF(OR('Données projet'!B10="",'Données projet'!C10="",'Données projet'!C10=0%),0,Calculateur!AO3)</f>
        <v>365.61278905364281</v>
      </c>
      <c r="E7" s="147">
        <f t="shared" ref="E7:E15" ca="1" si="0">MIN(C7,D7)</f>
        <v>365.61278905364281</v>
      </c>
      <c r="F7" s="147">
        <f t="shared" ref="F7:F15" ca="1" si="1">E7*B7</f>
        <v>1383.4787937789843</v>
      </c>
      <c r="G7" s="147">
        <f ca="1">F7*(100%-'Données projet'!$C$24)*(100%-'Données projet'!$C$25)*(100%-'Données projet'!$C$26)*(100%-'Données projet'!$C$27)</f>
        <v>1120.6178229609773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1120.6178229609773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Charme</v>
      </c>
      <c r="B8" s="154">
        <f>'Données projet'!D11</f>
        <v>0.94599999999999995</v>
      </c>
      <c r="C8" s="147">
        <f ca="1">IF(OR('Données projet'!B11="",'Données projet'!C11="",'Données projet'!C11=0%),0,Calculateur!BI3)</f>
        <v>486.36809102684492</v>
      </c>
      <c r="D8" s="147">
        <f>IF(OR('Données projet'!B11="",'Données projet'!C11="",'Données projet'!C11=0%),0,Calculateur!BJ3)</f>
        <v>308.42890859885006</v>
      </c>
      <c r="E8" s="147">
        <f t="shared" ca="1" si="0"/>
        <v>308.42890859885006</v>
      </c>
      <c r="F8" s="147">
        <f t="shared" ca="1" si="1"/>
        <v>291.77374753451215</v>
      </c>
      <c r="G8" s="147">
        <f ca="1">F8*(100%-'Données projet'!$C$24)*(100%-'Données projet'!$C$25)*(100%-'Données projet'!$C$26)*(100%-'Données projet'!$C$27)</f>
        <v>236.33673550295487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236.33673550295487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3061.791948423328</v>
      </c>
      <c r="G16" s="166">
        <f t="shared" ca="1" si="3"/>
        <v>2480.0514782228961</v>
      </c>
      <c r="H16" s="167">
        <f t="shared" si="3"/>
        <v>46.236120145621371</v>
      </c>
      <c r="I16" s="167">
        <f t="shared" si="3"/>
        <v>37.451257317953313</v>
      </c>
      <c r="J16" s="168">
        <f t="shared" si="3"/>
        <v>294.90775999999994</v>
      </c>
      <c r="K16" s="168">
        <f t="shared" si="3"/>
        <v>238.87528559999996</v>
      </c>
      <c r="L16" s="169">
        <f t="shared" ca="1" si="3"/>
        <v>2756.3780211408493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" zoomScale="80" zoomScaleNormal="80" workbookViewId="0">
      <selection activeCell="T25" sqref="T25:V25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7422.3269680999001</v>
      </c>
      <c r="U10" s="178">
        <f>'Données projet'!D9</f>
        <v>3.3099999999999996</v>
      </c>
      <c r="V10" s="177">
        <f>U10*T10</f>
        <v>24567.902264410666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1776.3706745637553</v>
      </c>
      <c r="U11" s="178">
        <f>'Données projet'!D10</f>
        <v>3.7839999999999998</v>
      </c>
      <c r="V11" s="177">
        <f t="shared" ref="V11" si="0">U11*T11</f>
        <v>6721.7866325492496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690.84246696563628</v>
      </c>
      <c r="U12" s="178">
        <f>'Données projet'!D11</f>
        <v>0.94599999999999995</v>
      </c>
      <c r="V12" s="177">
        <f t="shared" ref="V12:V19" si="1">U12*T12</f>
        <v>653.53697374949184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4500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18</v>
      </c>
      <c r="B23" s="181">
        <f>'Données projet'!D36</f>
        <v>74.8</v>
      </c>
      <c r="C23" s="193">
        <v>16.875</v>
      </c>
      <c r="D23" s="182">
        <f>B23*C23</f>
        <v>1262.25</v>
      </c>
      <c r="E23" s="193">
        <v>60</v>
      </c>
      <c r="F23" s="230"/>
      <c r="H23" s="190">
        <v>5</v>
      </c>
      <c r="I23" s="191">
        <v>600</v>
      </c>
      <c r="J23" s="257" cm="1">
        <f t="array" ref="J23">SUM(I20:I23*'Données projet'!C5)</f>
        <v>53063.999999999993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-17371.579880967736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24</v>
      </c>
      <c r="B24" s="181">
        <f>'Données projet'!D37</f>
        <v>51.4</v>
      </c>
      <c r="C24" s="193">
        <v>16.875</v>
      </c>
      <c r="D24" s="182">
        <f t="shared" ref="D24:D42" si="2">B24*C24</f>
        <v>867.375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13609.585536169971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30</v>
      </c>
      <c r="B25" s="181">
        <f>'Données projet'!D38</f>
        <v>81</v>
      </c>
      <c r="C25" s="193">
        <v>41</v>
      </c>
      <c r="D25" s="182">
        <f t="shared" si="2"/>
        <v>3321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4">
        <f ca="1">T23-T24</f>
        <v>-30981.165417137709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36</v>
      </c>
      <c r="B26" s="181">
        <f>'Données projet'!D39</f>
        <v>85.9</v>
      </c>
      <c r="C26" s="193">
        <v>41</v>
      </c>
      <c r="D26" s="182">
        <f t="shared" si="2"/>
        <v>3521.9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42</v>
      </c>
      <c r="B27" s="181">
        <f>'Données projet'!D40</f>
        <v>91.3</v>
      </c>
      <c r="C27" s="193">
        <v>41</v>
      </c>
      <c r="D27" s="182">
        <f t="shared" si="2"/>
        <v>3743.2999999999997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48</v>
      </c>
      <c r="B28" s="181">
        <f>'Données projet'!D41</f>
        <v>101.4</v>
      </c>
      <c r="C28" s="193">
        <v>41</v>
      </c>
      <c r="D28" s="182">
        <f t="shared" si="2"/>
        <v>4157.4000000000005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54</v>
      </c>
      <c r="B29" s="181">
        <f>'Données projet'!D42</f>
        <v>708.6</v>
      </c>
      <c r="C29" s="193">
        <v>60</v>
      </c>
      <c r="D29" s="182">
        <f t="shared" si="2"/>
        <v>42516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1692.7345194241259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42</v>
      </c>
      <c r="B54" s="181">
        <f>'Données projet'!D62</f>
        <v>185.2</v>
      </c>
      <c r="C54" s="191">
        <v>30</v>
      </c>
      <c r="D54" s="179">
        <f>B54*C54</f>
        <v>5556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49</v>
      </c>
      <c r="B55" s="181">
        <f>'Données projet'!D63</f>
        <v>101.2</v>
      </c>
      <c r="C55" s="191">
        <v>30.375</v>
      </c>
      <c r="D55" s="179">
        <f t="shared" ref="D55:D73" si="4">B55*C55</f>
        <v>3073.9500000000003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56</v>
      </c>
      <c r="B56" s="181">
        <f>'Données projet'!D64</f>
        <v>80.2</v>
      </c>
      <c r="C56" s="191">
        <v>30.375</v>
      </c>
      <c r="D56" s="179">
        <f t="shared" si="4"/>
        <v>2436.0750000000003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63</v>
      </c>
      <c r="B57" s="181">
        <f>'Données projet'!D65</f>
        <v>79.900000000000006</v>
      </c>
      <c r="C57" s="191">
        <v>30.375</v>
      </c>
      <c r="D57" s="179">
        <f t="shared" si="4"/>
        <v>2426.9625000000001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71</v>
      </c>
      <c r="B58" s="181">
        <f>'Données projet'!D66</f>
        <v>91.7</v>
      </c>
      <c r="C58" s="191">
        <v>30.375</v>
      </c>
      <c r="D58" s="179">
        <f t="shared" si="4"/>
        <v>2785.3875000000003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79</v>
      </c>
      <c r="B59" s="181">
        <f>'Données projet'!D67</f>
        <v>89</v>
      </c>
      <c r="C59" s="191">
        <v>30.375</v>
      </c>
      <c r="D59" s="179">
        <f t="shared" si="4"/>
        <v>2703.375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87</v>
      </c>
      <c r="B60" s="181">
        <f>'Données projet'!D68</f>
        <v>89.7</v>
      </c>
      <c r="C60" s="191">
        <v>37.53</v>
      </c>
      <c r="D60" s="179">
        <f t="shared" si="4"/>
        <v>3366.4410000000003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95</v>
      </c>
      <c r="B61" s="181">
        <f>'Données projet'!D69</f>
        <v>272.3</v>
      </c>
      <c r="C61" s="191">
        <v>37.53</v>
      </c>
      <c r="D61" s="179">
        <f t="shared" si="4"/>
        <v>10219.419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105</v>
      </c>
      <c r="B62" s="181">
        <f>'Données projet'!D70</f>
        <v>361.5</v>
      </c>
      <c r="C62" s="191">
        <v>37.53</v>
      </c>
      <c r="D62" s="179">
        <f t="shared" si="4"/>
        <v>13567.095000000001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38</v>
      </c>
      <c r="B85" s="181">
        <f>'Données projet'!D88</f>
        <v>71.599999999999994</v>
      </c>
      <c r="C85" s="191">
        <v>13.25</v>
      </c>
      <c r="D85" s="179">
        <f>B85*C85</f>
        <v>948.69999999999993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45</v>
      </c>
      <c r="B86" s="181">
        <f>'Données projet'!D89</f>
        <v>41.7</v>
      </c>
      <c r="C86" s="191">
        <v>13.25</v>
      </c>
      <c r="D86" s="179">
        <f t="shared" ref="D86:D104" si="6">B86*C86</f>
        <v>552.52500000000009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52</v>
      </c>
      <c r="B87" s="181">
        <f>'Données projet'!D90</f>
        <v>44.4</v>
      </c>
      <c r="C87" s="191">
        <v>25.625</v>
      </c>
      <c r="D87" s="179">
        <f t="shared" si="6"/>
        <v>1137.75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59</v>
      </c>
      <c r="B88" s="181">
        <f>'Données projet'!D91</f>
        <v>41.8</v>
      </c>
      <c r="C88" s="191">
        <v>25.625</v>
      </c>
      <c r="D88" s="179">
        <f t="shared" si="6"/>
        <v>1071.125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67</v>
      </c>
      <c r="B89" s="181">
        <f>'Données projet'!D92</f>
        <v>42.6</v>
      </c>
      <c r="C89" s="191">
        <v>25.625</v>
      </c>
      <c r="D89" s="179">
        <f t="shared" si="6"/>
        <v>1091.625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75</v>
      </c>
      <c r="B90" s="181">
        <f>'Données projet'!D93</f>
        <v>43.5</v>
      </c>
      <c r="C90" s="191">
        <v>25.625</v>
      </c>
      <c r="D90" s="179">
        <f t="shared" si="6"/>
        <v>1114.6875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83</v>
      </c>
      <c r="B91" s="181">
        <f>'Données projet'!D94</f>
        <v>50</v>
      </c>
      <c r="C91" s="191">
        <v>25.625</v>
      </c>
      <c r="D91" s="179">
        <f t="shared" si="6"/>
        <v>1281.25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93</v>
      </c>
      <c r="B92" s="181">
        <f>'Données projet'!D95</f>
        <v>67.5</v>
      </c>
      <c r="C92" s="191">
        <v>33.125</v>
      </c>
      <c r="D92" s="179">
        <f t="shared" si="6"/>
        <v>2235.9375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103</v>
      </c>
      <c r="B93" s="181">
        <f>'Données projet'!D96</f>
        <v>67.8</v>
      </c>
      <c r="C93" s="191">
        <v>33.125</v>
      </c>
      <c r="D93" s="179">
        <f t="shared" si="6"/>
        <v>2245.875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113</v>
      </c>
      <c r="B94" s="181">
        <f>'Données projet'!D97</f>
        <v>68.7</v>
      </c>
      <c r="C94" s="191">
        <v>33.125</v>
      </c>
      <c r="D94" s="179">
        <f t="shared" si="6"/>
        <v>2275.6875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123</v>
      </c>
      <c r="B95" s="181">
        <f>'Données projet'!D98</f>
        <v>203.8</v>
      </c>
      <c r="C95" s="191">
        <v>41.875</v>
      </c>
      <c r="D95" s="179">
        <f t="shared" si="6"/>
        <v>8534.125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125</v>
      </c>
      <c r="B96" s="181">
        <f>'Données projet'!D99</f>
        <v>70.599999999999994</v>
      </c>
      <c r="C96" s="191">
        <v>41.875</v>
      </c>
      <c r="D96" s="179">
        <f t="shared" si="6"/>
        <v>2956.3749999999995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127</v>
      </c>
      <c r="B97" s="181">
        <f>'Données projet'!D100</f>
        <v>46</v>
      </c>
      <c r="C97" s="191">
        <v>41.875</v>
      </c>
      <c r="D97" s="179">
        <f t="shared" si="6"/>
        <v>1926.25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130</v>
      </c>
      <c r="B98" s="181">
        <f>'Données projet'!D101</f>
        <v>112.8</v>
      </c>
      <c r="C98" s="191">
        <v>42</v>
      </c>
      <c r="D98" s="179">
        <f t="shared" si="6"/>
        <v>4737.5999999999995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>
        <v>15</v>
      </c>
      <c r="D116" s="179">
        <f>B116*C116</f>
        <v>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>
        <v>15</v>
      </c>
      <c r="D117" s="179">
        <f t="shared" ref="D117:D135" si="8">B117*C117</f>
        <v>0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>
        <v>15</v>
      </c>
      <c r="D118" s="179">
        <f t="shared" si="8"/>
        <v>0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>
        <v>34</v>
      </c>
      <c r="D119" s="179">
        <f t="shared" si="8"/>
        <v>0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>
        <v>34</v>
      </c>
      <c r="D120" s="179">
        <f t="shared" si="8"/>
        <v>0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>
        <v>34</v>
      </c>
      <c r="D121" s="179">
        <f t="shared" si="8"/>
        <v>0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>
        <v>34</v>
      </c>
      <c r="D122" s="179">
        <f t="shared" si="8"/>
        <v>0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>
        <v>34</v>
      </c>
      <c r="D123" s="179">
        <f t="shared" si="8"/>
        <v>0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>
        <v>34</v>
      </c>
      <c r="D124" s="179">
        <f t="shared" si="8"/>
        <v>0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>
        <v>34</v>
      </c>
      <c r="D125" s="179">
        <f t="shared" si="8"/>
        <v>0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>
        <v>56</v>
      </c>
      <c r="D126" s="179">
        <f t="shared" si="8"/>
        <v>0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>
        <v>56</v>
      </c>
      <c r="D127" s="179">
        <f t="shared" si="8"/>
        <v>0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>
        <v>56</v>
      </c>
      <c r="D128" s="179">
        <f t="shared" si="8"/>
        <v>0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>
        <v>56</v>
      </c>
      <c r="D129" s="179">
        <f t="shared" si="8"/>
        <v>0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C6E9D1D1-EC07-484E-85D0-42AAD5BB3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2025-03-06T15:52:00Z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