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atheDENOYER\Downloads\"/>
    </mc:Choice>
  </mc:AlternateContent>
  <xr:revisionPtr revIDLastSave="0" documentId="13_ncr:1_{7270CE7A-6058-4FEB-AE4B-67F7FA154605}" xr6:coauthVersionLast="47" xr6:coauthVersionMax="47" xr10:uidLastSave="{00000000-0000-0000-0000-000000000000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BQ4" i="2"/>
  <c r="EC4" i="2"/>
  <c r="BR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B7" i="2"/>
  <c r="HI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A18" i="2"/>
  <c r="HG18" i="2"/>
  <c r="FS18" i="2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H21" i="2"/>
  <c r="EB21" i="2"/>
  <c r="EV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G22" i="2"/>
  <c r="EB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G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HH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X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FQ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FS113" i="2"/>
  <c r="EX113" i="2"/>
  <c r="EB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FR120" i="2"/>
  <c r="EX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B130" i="2"/>
  <c r="HH130" i="2"/>
  <c r="EX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W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G140" i="2"/>
  <c r="HH140" i="2"/>
  <c r="EC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H146" i="2"/>
  <c r="HI146" i="2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HI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HH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G155" i="2"/>
  <c r="AC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B156" i="2"/>
  <c r="EX156" i="2"/>
  <c r="FS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A157" i="2"/>
  <c r="HH157" i="2"/>
  <c r="EB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W158" i="2"/>
  <c r="HH158" i="2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DG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AB161" i="2"/>
  <c r="EA161" i="2"/>
  <c r="EX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HG163" i="2"/>
  <c r="HI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FS164" i="2"/>
  <c r="FR164" i="2"/>
  <c r="HH164" i="2"/>
  <c r="HG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HH168" i="2"/>
  <c r="EW168" i="2"/>
  <c r="EV168" i="2"/>
  <c r="HI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HG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FS175" i="2" l="1"/>
  <c r="EA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B178" i="2"/>
  <c r="HG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G179" i="2" l="1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HI185" i="2"/>
  <c r="HH185" i="2"/>
  <c r="HG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D185" i="2"/>
  <c r="EA186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B189" i="2" l="1"/>
  <c r="AA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EA194" i="2"/>
  <c r="FQ194" i="2"/>
  <c r="HG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X195" i="2" l="1"/>
  <c r="DH195" i="2"/>
  <c r="EB195" i="2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EC197" i="2"/>
  <c r="AA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EB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A201" i="2" l="1"/>
  <c r="FS201" i="2"/>
  <c r="HG201" i="2"/>
  <c r="HH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FZ6" i="2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1" i="2" a="1"/>
  <c r="FY71" i="2" s="1"/>
  <c r="FD21" i="2" a="1"/>
  <c r="FD21" i="2" s="1"/>
  <c r="FD144" i="2" a="1"/>
  <c r="FD144" i="2" s="1"/>
  <c r="FD59" i="2" a="1"/>
  <c r="FD59" i="2" s="1"/>
  <c r="BC82" i="2" a="1"/>
  <c r="BC82" i="2" s="1"/>
  <c r="BC126" i="2" a="1"/>
  <c r="BC12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CS77" i="2" a="1"/>
  <c r="CS77" i="2" s="1"/>
  <c r="AH90" i="2" a="1"/>
  <c r="AH90" i="2" s="1"/>
  <c r="AH19" i="2" a="1"/>
  <c r="AH19" i="2" s="1"/>
  <c r="CS38" i="2" a="1"/>
  <c r="CS38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164" i="2" a="1"/>
  <c r="BC16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14" i="2" a="1"/>
  <c r="CS114" i="2" s="1"/>
  <c r="DN31" i="2" a="1"/>
  <c r="DN31" i="2" s="1"/>
  <c r="DN6" i="2" a="1"/>
  <c r="DN6" i="2" s="1"/>
  <c r="DO6" i="2" s="1"/>
  <c r="CS24" i="2" a="1"/>
  <c r="CS24" i="2" s="1"/>
  <c r="CS134" i="2" a="1"/>
  <c r="CS134" i="2" s="1"/>
  <c r="FD82" i="2" a="1"/>
  <c r="FD82" i="2" s="1"/>
  <c r="HJ202" i="2"/>
  <c r="EY202" i="2"/>
  <c r="AX200" i="2"/>
  <c r="BC47" i="2" l="1" a="1"/>
  <c r="BC47" i="2" s="1"/>
  <c r="BC34" i="2" a="1"/>
  <c r="BC34" i="2" s="1"/>
  <c r="FY18" i="2" a="1"/>
  <c r="FY18" i="2" s="1"/>
  <c r="FY54" i="2" a="1"/>
  <c r="FY54" i="2" s="1"/>
  <c r="FY82" i="2" a="1"/>
  <c r="FY82" i="2" s="1"/>
  <c r="FY50" i="2" a="1"/>
  <c r="FY50" i="2" s="1"/>
  <c r="FY182" i="2" a="1"/>
  <c r="FY182" i="2" s="1"/>
  <c r="FY172" i="2" a="1"/>
  <c r="FY172" i="2" s="1"/>
  <c r="FY104" i="2" a="1"/>
  <c r="FY104" i="2" s="1"/>
  <c r="FY178" i="2" a="1"/>
  <c r="FY178" i="2" s="1"/>
  <c r="FY55" i="2" a="1"/>
  <c r="FY55" i="2" s="1"/>
  <c r="FY152" i="2" a="1"/>
  <c r="FY152" i="2" s="1"/>
  <c r="FY186" i="2" a="1"/>
  <c r="FY186" i="2" s="1"/>
  <c r="BC181" i="2" a="1"/>
  <c r="BC181" i="2" s="1"/>
  <c r="BC65" i="2" a="1"/>
  <c r="BC65" i="2" s="1"/>
  <c r="BC38" i="2" a="1"/>
  <c r="BC38" i="2" s="1"/>
  <c r="BC114" i="2" a="1"/>
  <c r="BC114" i="2" s="1"/>
  <c r="AH151" i="2" a="1"/>
  <c r="AH151" i="2" s="1"/>
  <c r="BP203" i="2"/>
  <c r="DN132" i="2" a="1"/>
  <c r="DN132" i="2" s="1"/>
  <c r="DN41" i="2" a="1"/>
  <c r="DN41" i="2" s="1"/>
  <c r="FY126" i="2" a="1"/>
  <c r="FY126" i="2" s="1"/>
  <c r="DN46" i="2" a="1"/>
  <c r="DN46" i="2" s="1"/>
  <c r="DN43" i="2" a="1"/>
  <c r="DN43" i="2" s="1"/>
  <c r="FY188" i="2" a="1"/>
  <c r="FY188" i="2" s="1"/>
  <c r="FY143" i="2" a="1"/>
  <c r="FY143" i="2" s="1"/>
  <c r="DN164" i="2" a="1"/>
  <c r="DN164" i="2" s="1"/>
  <c r="FY35" i="2" a="1"/>
  <c r="FY35" i="2" s="1"/>
  <c r="DN187" i="2" a="1"/>
  <c r="DN187" i="2" s="1"/>
  <c r="DN190" i="2" a="1"/>
  <c r="DN190" i="2" s="1"/>
  <c r="DN135" i="2" a="1"/>
  <c r="DN135" i="2" s="1"/>
  <c r="BC84" i="2" a="1"/>
  <c r="BC84" i="2" s="1"/>
  <c r="FY167" i="2" a="1"/>
  <c r="FY167" i="2" s="1"/>
  <c r="CS105" i="2" a="1"/>
  <c r="CS105" i="2" s="1"/>
  <c r="CS137" i="2" a="1"/>
  <c r="CS137" i="2" s="1"/>
  <c r="DN170" i="2" a="1"/>
  <c r="DN170" i="2" s="1"/>
  <c r="CS129" i="2" a="1"/>
  <c r="CS129" i="2" s="1"/>
  <c r="BC68" i="2" a="1"/>
  <c r="BC68" i="2" s="1"/>
  <c r="FY124" i="2" a="1"/>
  <c r="FY124" i="2" s="1"/>
  <c r="FY174" i="2" a="1"/>
  <c r="FY174" i="2" s="1"/>
  <c r="FY110" i="2" a="1"/>
  <c r="FY110" i="2" s="1"/>
  <c r="FY165" i="2" a="1"/>
  <c r="FY165" i="2" s="1"/>
  <c r="HG203" i="2"/>
  <c r="DN167" i="2" a="1"/>
  <c r="DN167" i="2" s="1"/>
  <c r="DN16" i="2" a="1"/>
  <c r="DN16" i="2" s="1"/>
  <c r="FY133" i="2" a="1"/>
  <c r="FY133" i="2" s="1"/>
  <c r="FY140" i="2" a="1"/>
  <c r="FY140" i="2" s="1"/>
  <c r="DN115" i="2" a="1"/>
  <c r="DN115" i="2" s="1"/>
  <c r="FY29" i="2" a="1"/>
  <c r="FY29" i="2" s="1"/>
  <c r="FY24" i="2" a="1"/>
  <c r="FY24" i="2" s="1"/>
  <c r="DN133" i="2" a="1"/>
  <c r="DN133" i="2" s="1"/>
  <c r="DN38" i="2" a="1"/>
  <c r="DN38" i="2" s="1"/>
  <c r="BC32" i="2" a="1"/>
  <c r="BC32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BC58" i="2" a="1"/>
  <c r="BC58" i="2" s="1"/>
  <c r="FY169" i="2" a="1"/>
  <c r="FY169" i="2" s="1"/>
  <c r="FY99" i="2" a="1"/>
  <c r="FY99" i="2" s="1"/>
  <c r="FY153" i="2" a="1"/>
  <c r="FY153" i="2" s="1"/>
  <c r="FY146" i="2" a="1"/>
  <c r="FY146" i="2" s="1"/>
  <c r="DN29" i="2" a="1"/>
  <c r="DN29" i="2" s="1"/>
  <c r="DN86" i="2" a="1"/>
  <c r="DN86" i="2" s="1"/>
  <c r="FY173" i="2" a="1"/>
  <c r="FY173" i="2" s="1"/>
  <c r="DN162" i="2" a="1"/>
  <c r="DN162" i="2" s="1"/>
  <c r="DN114" i="2" a="1"/>
  <c r="DN114" i="2" s="1"/>
  <c r="FY164" i="2" a="1"/>
  <c r="FY164" i="2" s="1"/>
  <c r="FY79" i="2" a="1"/>
  <c r="FY79" i="2" s="1"/>
  <c r="DN49" i="2" a="1"/>
  <c r="DN49" i="2" s="1"/>
  <c r="DN103" i="2" a="1"/>
  <c r="DN103" i="2" s="1"/>
  <c r="FY47" i="2" a="1"/>
  <c r="FY47" i="2" s="1"/>
  <c r="FY121" i="2" a="1"/>
  <c r="FY121" i="2" s="1"/>
  <c r="DN137" i="2" a="1"/>
  <c r="DN137" i="2" s="1"/>
  <c r="FY78" i="2" a="1"/>
  <c r="FY78" i="2" s="1"/>
  <c r="BX107" i="2" a="1"/>
  <c r="BX107" i="2" s="1"/>
  <c r="FY80" i="2" a="1"/>
  <c r="FY80" i="2" s="1"/>
  <c r="DN124" i="2" a="1"/>
  <c r="DN124" i="2" s="1"/>
  <c r="FY62" i="2" a="1"/>
  <c r="FY62" i="2" s="1"/>
  <c r="FY116" i="2" a="1"/>
  <c r="FY116" i="2" s="1"/>
  <c r="FY32" i="2" a="1"/>
  <c r="FY32" i="2" s="1"/>
  <c r="FS203" i="2"/>
  <c r="CS72" i="2" a="1"/>
  <c r="CS72" i="2" s="1"/>
  <c r="DN70" i="2" a="1"/>
  <c r="DN70" i="2" s="1"/>
  <c r="CS56" i="2" a="1"/>
  <c r="CS56" i="2" s="1"/>
  <c r="DN63" i="2" a="1"/>
  <c r="DN63" i="2" s="1"/>
  <c r="BC192" i="2" a="1"/>
  <c r="BC192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188" i="2" a="1"/>
  <c r="DN188" i="2" s="1"/>
  <c r="DN30" i="2" a="1"/>
  <c r="DN30" i="2" s="1"/>
  <c r="FY109" i="2" a="1"/>
  <c r="FY109" i="2" s="1"/>
  <c r="FY86" i="2" a="1"/>
  <c r="FY86" i="2" s="1"/>
  <c r="FY159" i="2" a="1"/>
  <c r="FY159" i="2" s="1"/>
  <c r="DN186" i="2" a="1"/>
  <c r="DN186" i="2" s="1"/>
  <c r="FY149" i="2" a="1"/>
  <c r="FY149" i="2" s="1"/>
  <c r="DN176" i="2" a="1"/>
  <c r="DN176" i="2" s="1"/>
  <c r="DN153" i="2" a="1"/>
  <c r="DN153" i="2" s="1"/>
  <c r="FY191" i="2" a="1"/>
  <c r="FY191" i="2" s="1"/>
  <c r="DN65" i="2" a="1"/>
  <c r="DN65" i="2" s="1"/>
  <c r="CS120" i="2" a="1"/>
  <c r="CS120" i="2" s="1"/>
  <c r="AH163" i="2" a="1"/>
  <c r="AH163" i="2" s="1"/>
  <c r="DN50" i="2" a="1"/>
  <c r="DN50" i="2" s="1"/>
  <c r="FY102" i="2" a="1"/>
  <c r="FY102" i="2" s="1"/>
  <c r="DN45" i="2" a="1"/>
  <c r="DN45" i="2" s="1"/>
  <c r="DN55" i="2" a="1"/>
  <c r="DN55" i="2" s="1"/>
  <c r="DN80" i="2" a="1"/>
  <c r="DN80" i="2" s="1"/>
  <c r="BC18" i="2" a="1"/>
  <c r="BC18" i="2" s="1"/>
  <c r="BC55" i="2" a="1"/>
  <c r="BC55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FY115" i="2" a="1"/>
  <c r="FY115" i="2" s="1"/>
  <c r="FY34" i="2" a="1"/>
  <c r="FY34" i="2" s="1"/>
  <c r="DN177" i="2" a="1"/>
  <c r="DN177" i="2" s="1"/>
  <c r="FY58" i="2" a="1"/>
  <c r="FY58" i="2" s="1"/>
  <c r="FY28" i="2" a="1"/>
  <c r="FY28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CD60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CD111" i="2" l="1"/>
  <c r="CD127" i="2"/>
  <c r="CD48" i="2"/>
  <c r="CD202" i="2"/>
  <c r="CD142" i="2"/>
  <c r="CD161" i="2"/>
  <c r="CD74" i="2"/>
  <c r="CD6" i="2"/>
  <c r="CD15" i="2"/>
  <c r="CD30" i="2"/>
  <c r="CD56" i="2"/>
  <c r="CD180" i="2"/>
  <c r="CD104" i="2"/>
  <c r="CD4" i="2"/>
  <c r="CD125" i="2"/>
  <c r="CD83" i="2"/>
  <c r="CD44" i="2"/>
  <c r="CD169" i="2"/>
  <c r="CD22" i="2"/>
  <c r="CD37" i="2"/>
  <c r="CD50" i="2"/>
  <c r="CD49" i="2"/>
  <c r="CD172" i="2"/>
  <c r="CD90" i="2"/>
  <c r="CD174" i="2"/>
  <c r="CD16" i="2"/>
  <c r="CD196" i="2"/>
  <c r="CD35" i="2"/>
  <c r="CD166" i="2"/>
  <c r="CD132" i="2"/>
  <c r="CD52" i="2"/>
  <c r="CD70" i="2"/>
  <c r="CD124" i="2"/>
  <c r="CD164" i="2"/>
  <c r="CD147" i="2"/>
  <c r="CD195" i="2"/>
  <c r="CD133" i="2"/>
  <c r="CD64" i="2"/>
  <c r="CD79" i="2"/>
  <c r="CD73" i="2"/>
  <c r="CD94" i="2"/>
  <c r="CD55" i="2"/>
  <c r="CD128" i="2"/>
  <c r="CD130" i="2"/>
  <c r="CD137" i="2"/>
  <c r="CD163" i="2"/>
  <c r="CD186" i="2"/>
  <c r="CD100" i="2"/>
  <c r="CD5" i="2"/>
  <c r="CD96" i="2"/>
  <c r="CD123" i="2"/>
  <c r="CD29" i="2"/>
  <c r="CD108" i="2"/>
  <c r="CD62" i="2"/>
  <c r="CD71" i="2"/>
  <c r="CD114" i="2"/>
  <c r="CD138" i="2"/>
  <c r="CD110" i="2"/>
  <c r="CD188" i="2"/>
  <c r="CD26" i="2"/>
  <c r="CD3" i="2"/>
  <c r="C9" i="4" s="1"/>
  <c r="E9" i="4" s="1"/>
  <c r="F9" i="4" s="1"/>
  <c r="G9" i="4" s="1"/>
  <c r="L9" i="4" s="1"/>
  <c r="CD121" i="2"/>
  <c r="CD107" i="2"/>
  <c r="CD116" i="2"/>
  <c r="CD103" i="2"/>
  <c r="CD89" i="2"/>
  <c r="CD185" i="2"/>
  <c r="CD65" i="2"/>
  <c r="CD91" i="2"/>
  <c r="CD175" i="2"/>
  <c r="CD66" i="2"/>
  <c r="CD140" i="2"/>
  <c r="CD95" i="2"/>
  <c r="CD190" i="2"/>
  <c r="CD99" i="2"/>
  <c r="CD165" i="2"/>
  <c r="CD183" i="2"/>
  <c r="CD143" i="2"/>
  <c r="CD17" i="2"/>
  <c r="CD146" i="2"/>
  <c r="CD53" i="2"/>
  <c r="CD159" i="2"/>
  <c r="CD179" i="2"/>
  <c r="CD36" i="2"/>
  <c r="CD97" i="2"/>
  <c r="CD77" i="2"/>
  <c r="CD109" i="2"/>
  <c r="CD14" i="2"/>
  <c r="CD112" i="2"/>
  <c r="CD9" i="2"/>
  <c r="CD21" i="2"/>
  <c r="CD106" i="2"/>
  <c r="CD118" i="2"/>
  <c r="CD59" i="2"/>
  <c r="CD33" i="2"/>
  <c r="CD92" i="2"/>
  <c r="CD201" i="2"/>
  <c r="CD105" i="2"/>
  <c r="CD63" i="2"/>
  <c r="CD27" i="2"/>
  <c r="CD151" i="2"/>
  <c r="CD160" i="2"/>
  <c r="CD58" i="2"/>
  <c r="CD168" i="2"/>
  <c r="CD54" i="2"/>
  <c r="CD193" i="2"/>
  <c r="CD178" i="2"/>
  <c r="CD8" i="2"/>
  <c r="CD67" i="2"/>
  <c r="CD98" i="2"/>
  <c r="CD157" i="2"/>
  <c r="CD170" i="2"/>
  <c r="CD28" i="2"/>
  <c r="CD194" i="2"/>
  <c r="CD181" i="2"/>
  <c r="CD191" i="2"/>
  <c r="CD18" i="2"/>
  <c r="CD145" i="2"/>
  <c r="CD87" i="2"/>
  <c r="CD39" i="2"/>
  <c r="CD46" i="2"/>
  <c r="CD200" i="2"/>
  <c r="CD61" i="2"/>
  <c r="CD119" i="2"/>
  <c r="CD57" i="2"/>
  <c r="CD75" i="2"/>
  <c r="CD32" i="2"/>
  <c r="CD113" i="2"/>
  <c r="CD11" i="2"/>
  <c r="CD144" i="2"/>
  <c r="CD12" i="2"/>
  <c r="CD93" i="2"/>
  <c r="CD85" i="2"/>
  <c r="CD80" i="2"/>
  <c r="CD76" i="2"/>
  <c r="CD182" i="2"/>
  <c r="CD148" i="2"/>
  <c r="CD81" i="2"/>
  <c r="CD38" i="2"/>
  <c r="CD43" i="2"/>
  <c r="CD10" i="2"/>
  <c r="CD117" i="2"/>
  <c r="CD86" i="2"/>
  <c r="CD42" i="2"/>
  <c r="CD68" i="2"/>
  <c r="CD177" i="2"/>
  <c r="CD134" i="2"/>
  <c r="CD88" i="2"/>
  <c r="CD192" i="2"/>
  <c r="CD135" i="2"/>
  <c r="CD13" i="2"/>
  <c r="CD24" i="2"/>
  <c r="CD69" i="2"/>
  <c r="CD131" i="2"/>
  <c r="CD189" i="2"/>
  <c r="CD78" i="2"/>
  <c r="CD173" i="2"/>
  <c r="CD149" i="2"/>
  <c r="CD156" i="2"/>
  <c r="CD153" i="2"/>
  <c r="CD122" i="2"/>
  <c r="CD203" i="2"/>
  <c r="CD198" i="2"/>
  <c r="CD51" i="2"/>
  <c r="CD167" i="2"/>
  <c r="CD101" i="2"/>
  <c r="CD20" i="2"/>
  <c r="CD162" i="2"/>
  <c r="CD40" i="2"/>
  <c r="CD34" i="2"/>
  <c r="CD45" i="2"/>
  <c r="CD152" i="2"/>
  <c r="CD199" i="2"/>
  <c r="CD31" i="2"/>
  <c r="CD171" i="2"/>
  <c r="CD187" i="2"/>
  <c r="CD139" i="2"/>
  <c r="CD126" i="2"/>
  <c r="CD47" i="2"/>
  <c r="CD23" i="2"/>
  <c r="CD82" i="2"/>
  <c r="CD72" i="2"/>
  <c r="CD176" i="2"/>
  <c r="CD158" i="2"/>
  <c r="CD84" i="2"/>
  <c r="CD102" i="2"/>
  <c r="CD120" i="2"/>
  <c r="CD115" i="2"/>
  <c r="CD154" i="2"/>
  <c r="CD25" i="2"/>
  <c r="CD141" i="2"/>
  <c r="CD41" i="2"/>
  <c r="CD129" i="2"/>
  <c r="CD184" i="2"/>
  <c r="CD19" i="2"/>
  <c r="CD136" i="2"/>
  <c r="CD7" i="2"/>
  <c r="CD155" i="2"/>
  <c r="CD197" i="2"/>
  <c r="CD150" i="2"/>
  <c r="FE96" i="2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<sst xmlns="http://schemas.openxmlformats.org/spreadsheetml/2006/main" count="1174" uniqueCount="325">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</sst>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0" fontId="4" fillId="0" borderId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5">
    <cellStyle name="Lien hypertexte" xfId="2" builtinId="8"/>
    <cellStyle name="Normal" xfId="0" builtinId="0"/>
    <cellStyle name="Normal 3 2 2" xfId="3" xr:uid="{48449ACA-3E08-48B7-BB36-98CDFE1A3FAE}"/>
    <cellStyle name="Normal 3 3" xfId="4" xr:uid="{A22039D5-2FBF-4316-AACB-46504EA16896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258.94814067849398</c:v>
                </c:pt>
                <c:pt idx="32">
                  <c:v>274.60158300734776</c:v>
                </c:pt>
                <c:pt idx="33">
                  <c:v>290.23498252743815</c:v>
                </c:pt>
                <c:pt idx="34">
                  <c:v>305.8495708284089</c:v>
                </c:pt>
                <c:pt idx="35">
                  <c:v>321.44644345960916</c:v>
                </c:pt>
                <c:pt idx="36">
                  <c:v>221.82117142251082</c:v>
                </c:pt>
                <c:pt idx="37">
                  <c:v>239.97776963491205</c:v>
                </c:pt>
                <c:pt idx="38">
                  <c:v>258.10309568549474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292.01468408800253</c:v>
                </c:pt>
                <c:pt idx="45">
                  <c:v>310.12316145287969</c:v>
                </c:pt>
                <c:pt idx="46">
                  <c:v>328.20817307415149</c:v>
                </c:pt>
                <c:pt idx="47">
                  <c:v>346.2711935372065</c:v>
                </c:pt>
                <c:pt idx="48">
                  <c:v>364.31353104988256</c:v>
                </c:pt>
                <c:pt idx="49">
                  <c:v>288.58007809052594</c:v>
                </c:pt>
                <c:pt idx="50">
                  <c:v>305.77968125048289</c:v>
                </c:pt>
                <c:pt idx="51">
                  <c:v>322.95778432037201</c:v>
                </c:pt>
                <c:pt idx="52">
                  <c:v>340.11569160143591</c:v>
                </c:pt>
                <c:pt idx="53">
                  <c:v>357.25456506572573</c:v>
                </c:pt>
                <c:pt idx="54">
                  <c:v>374.37544611289854</c:v>
                </c:pt>
                <c:pt idx="55">
                  <c:v>391.47927313799437</c:v>
                </c:pt>
                <c:pt idx="56">
                  <c:v>320.48361258921813</c:v>
                </c:pt>
                <c:pt idx="57">
                  <c:v>336.67903038787375</c:v>
                </c:pt>
                <c:pt idx="58">
                  <c:v>352.85729940854367</c:v>
                </c:pt>
                <c:pt idx="59">
                  <c:v>369.01931645885981</c:v>
                </c:pt>
                <c:pt idx="60">
                  <c:v>385.16589338963877</c:v>
                </c:pt>
                <c:pt idx="61">
                  <c:v>401.29776844134739</c:v>
                </c:pt>
                <c:pt idx="62">
                  <c:v>417.41561567067316</c:v>
                </c:pt>
                <c:pt idx="63">
                  <c:v>433.52005284512506</c:v>
                </c:pt>
                <c:pt idx="64">
                  <c:v>368.77354749804016</c:v>
                </c:pt>
                <c:pt idx="65">
                  <c:v>384.3921999612694</c:v>
                </c:pt>
                <c:pt idx="66">
                  <c:v>399.99706566096552</c:v>
                </c:pt>
                <c:pt idx="67">
                  <c:v>415.58875807076902</c:v>
                </c:pt>
                <c:pt idx="68">
                  <c:v>431.16784088676076</c:v>
                </c:pt>
                <c:pt idx="69">
                  <c:v>446.73483375648311</c:v>
                </c:pt>
                <c:pt idx="70">
                  <c:v>462.29021716786883</c:v>
                </c:pt>
                <c:pt idx="71">
                  <c:v>477.83443664595069</c:v>
                </c:pt>
                <c:pt idx="72">
                  <c:v>416.18008617132006</c:v>
                </c:pt>
                <c:pt idx="73">
                  <c:v>431.26352307198721</c:v>
                </c:pt>
                <c:pt idx="74">
                  <c:v>446.33562973688805</c:v>
                </c:pt>
                <c:pt idx="75">
                  <c:v>461.39684255815035</c:v>
                </c:pt>
                <c:pt idx="76">
                  <c:v>476.44756712169959</c:v>
                </c:pt>
                <c:pt idx="77">
                  <c:v>491.4881813066504</c:v>
                </c:pt>
                <c:pt idx="78">
                  <c:v>506.51903798562756</c:v>
                </c:pt>
                <c:pt idx="79">
                  <c:v>521.54046738795989</c:v>
                </c:pt>
                <c:pt idx="80">
                  <c:v>536.55277917652313</c:v>
                </c:pt>
                <c:pt idx="81">
                  <c:v>463.50656260260456</c:v>
                </c:pt>
                <c:pt idx="82">
                  <c:v>477.88908984737282</c:v>
                </c:pt>
                <c:pt idx="83">
                  <c:v>492.26241502045315</c:v>
                </c:pt>
                <c:pt idx="84">
                  <c:v>506.62684458100858</c:v>
                </c:pt>
                <c:pt idx="85">
                  <c:v>520.98266619811488</c:v>
                </c:pt>
                <c:pt idx="86">
                  <c:v>535.33015039964971</c:v>
                </c:pt>
                <c:pt idx="87">
                  <c:v>549.66955203526948</c:v>
                </c:pt>
                <c:pt idx="88">
                  <c:v>564.00111157883305</c:v>
                </c:pt>
                <c:pt idx="89">
                  <c:v>578.32505629161233</c:v>
                </c:pt>
                <c:pt idx="90">
                  <c:v>497.54781834683286</c:v>
                </c:pt>
                <c:pt idx="91">
                  <c:v>511.30218344601343</c:v>
                </c:pt>
                <c:pt idx="92">
                  <c:v>525.04873548621742</c:v>
                </c:pt>
                <c:pt idx="93">
                  <c:v>538.78770778433511</c:v>
                </c:pt>
                <c:pt idx="94">
                  <c:v>552.51932079162145</c:v>
                </c:pt>
                <c:pt idx="95">
                  <c:v>566.24378311192481</c:v>
                </c:pt>
                <c:pt idx="96">
                  <c:v>579.96129241609697</c:v>
                </c:pt>
                <c:pt idx="97">
                  <c:v>593.67203626542459</c:v>
                </c:pt>
                <c:pt idx="98">
                  <c:v>607.37619285506855</c:v>
                </c:pt>
                <c:pt idx="99">
                  <c:v>621.07393168694841</c:v>
                </c:pt>
                <c:pt idx="100">
                  <c:v>542.69775145946721</c:v>
                </c:pt>
                <c:pt idx="101">
                  <c:v>556.07428889692233</c:v>
                </c:pt>
                <c:pt idx="102">
                  <c:v>569.44408833111697</c:v>
                </c:pt>
                <c:pt idx="103">
                  <c:v>582.80733019679417</c:v>
                </c:pt>
                <c:pt idx="104">
                  <c:v>596.16418598267205</c:v>
                </c:pt>
                <c:pt idx="105">
                  <c:v>609.51481886966792</c:v>
                </c:pt>
                <c:pt idx="106">
                  <c:v>622.85938431032366</c:v>
                </c:pt>
                <c:pt idx="107">
                  <c:v>636.19803055601596</c:v>
                </c:pt>
                <c:pt idx="108">
                  <c:v>649.53089913767474</c:v>
                </c:pt>
                <c:pt idx="109">
                  <c:v>662.85812530500039</c:v>
                </c:pt>
                <c:pt idx="110">
                  <c:v>578.06785471008277</c:v>
                </c:pt>
                <c:pt idx="111">
                  <c:v>591.14539111471311</c:v>
                </c:pt>
                <c:pt idx="112">
                  <c:v>604.2169063902378</c:v>
                </c:pt>
                <c:pt idx="113">
                  <c:v>617.28254910051839</c:v>
                </c:pt>
                <c:pt idx="114">
                  <c:v>630.34246101011377</c:v>
                </c:pt>
                <c:pt idx="115">
                  <c:v>643.39677753283047</c:v>
                </c:pt>
                <c:pt idx="116">
                  <c:v>656.4456281419931</c:v>
                </c:pt>
                <c:pt idx="117">
                  <c:v>669.48913674641415</c:v>
                </c:pt>
                <c:pt idx="118">
                  <c:v>682.52742203555931</c:v>
                </c:pt>
                <c:pt idx="119">
                  <c:v>695.56059779698069</c:v>
                </c:pt>
                <c:pt idx="120">
                  <c:v>415.93410136559527</c:v>
                </c:pt>
                <c:pt idx="121">
                  <c:v>423.30201611855699</c:v>
                </c:pt>
                <c:pt idx="122">
                  <c:v>430.66717084686161</c:v>
                </c:pt>
                <c:pt idx="123">
                  <c:v>438.02961943852802</c:v>
                </c:pt>
                <c:pt idx="124">
                  <c:v>293.61402449000764</c:v>
                </c:pt>
                <c:pt idx="125">
                  <c:v>298.14022151190994</c:v>
                </c:pt>
                <c:pt idx="126">
                  <c:v>302.66488711697406</c:v>
                </c:pt>
                <c:pt idx="127">
                  <c:v>307.1880474666238</c:v>
                </c:pt>
                <c:pt idx="128">
                  <c:v>213.06200089969045</c:v>
                </c:pt>
                <c:pt idx="129">
                  <c:v>216.00348689034277</c:v>
                </c:pt>
                <c:pt idx="130">
                  <c:v>218.94405119022034</c:v>
                </c:pt>
                <c:pt idx="131">
                  <c:v>221.88370795711012</c:v>
                </c:pt>
                <c:pt idx="132">
                  <c:v>1.2017247746441865E-11</c:v>
                </c:pt>
                <c:pt idx="133">
                  <c:v>1.2017247746441865E-11</c:v>
                </c:pt>
                <c:pt idx="134">
                  <c:v>1.2017247746441865E-11</c:v>
                </c:pt>
                <c:pt idx="135">
                  <c:v>1.2017247746441865E-11</c:v>
                </c:pt>
                <c:pt idx="136">
                  <c:v>1.2017247746441865E-11</c:v>
                </c:pt>
                <c:pt idx="137">
                  <c:v>1.2017247746441865E-11</c:v>
                </c:pt>
                <c:pt idx="138">
                  <c:v>1.2017247746441865E-11</c:v>
                </c:pt>
                <c:pt idx="139">
                  <c:v>1.2017247746441865E-11</c:v>
                </c:pt>
                <c:pt idx="140">
                  <c:v>1.2017247746441865E-11</c:v>
                </c:pt>
                <c:pt idx="141">
                  <c:v>1.2017247746441865E-11</c:v>
                </c:pt>
                <c:pt idx="142">
                  <c:v>1.2017247746441865E-11</c:v>
                </c:pt>
                <c:pt idx="143">
                  <c:v>1.2017247746441865E-11</c:v>
                </c:pt>
                <c:pt idx="144">
                  <c:v>1.2017247746441865E-11</c:v>
                </c:pt>
                <c:pt idx="145">
                  <c:v>1.2017247746441865E-11</c:v>
                </c:pt>
                <c:pt idx="146">
                  <c:v>1.2017247746441865E-11</c:v>
                </c:pt>
                <c:pt idx="147">
                  <c:v>1.2017247746441865E-11</c:v>
                </c:pt>
                <c:pt idx="148">
                  <c:v>1.2017247746441865E-11</c:v>
                </c:pt>
                <c:pt idx="149">
                  <c:v>1.2017247746441865E-11</c:v>
                </c:pt>
                <c:pt idx="150">
                  <c:v>1.2017247746441865E-11</c:v>
                </c:pt>
                <c:pt idx="151">
                  <c:v>1.2017247746441865E-11</c:v>
                </c:pt>
                <c:pt idx="152">
                  <c:v>1.2017247746441865E-11</c:v>
                </c:pt>
                <c:pt idx="153">
                  <c:v>1.2017247746441865E-11</c:v>
                </c:pt>
                <c:pt idx="154">
                  <c:v>1.2017247746441865E-11</c:v>
                </c:pt>
                <c:pt idx="155">
                  <c:v>1.2017247746441865E-11</c:v>
                </c:pt>
                <c:pt idx="156">
                  <c:v>1.2017247746441865E-11</c:v>
                </c:pt>
                <c:pt idx="157">
                  <c:v>1.2017247746441865E-11</c:v>
                </c:pt>
                <c:pt idx="158">
                  <c:v>1.2017247746441865E-11</c:v>
                </c:pt>
                <c:pt idx="159">
                  <c:v>1.2017247746441865E-11</c:v>
                </c:pt>
                <c:pt idx="160">
                  <c:v>1.2017247746441865E-11</c:v>
                </c:pt>
                <c:pt idx="161">
                  <c:v>1.2017247746441865E-11</c:v>
                </c:pt>
                <c:pt idx="162">
                  <c:v>1.2017247746441865E-11</c:v>
                </c:pt>
                <c:pt idx="163">
                  <c:v>1.2017247746441865E-11</c:v>
                </c:pt>
                <c:pt idx="164">
                  <c:v>1.2017247746441865E-11</c:v>
                </c:pt>
                <c:pt idx="165">
                  <c:v>1.2017247746441865E-11</c:v>
                </c:pt>
                <c:pt idx="166">
                  <c:v>1.2017247746441865E-11</c:v>
                </c:pt>
                <c:pt idx="167">
                  <c:v>1.2017247746441865E-11</c:v>
                </c:pt>
                <c:pt idx="168">
                  <c:v>1.2017247746441865E-11</c:v>
                </c:pt>
                <c:pt idx="169">
                  <c:v>1.2017247746441865E-11</c:v>
                </c:pt>
                <c:pt idx="170">
                  <c:v>1.2017247746441865E-11</c:v>
                </c:pt>
                <c:pt idx="171">
                  <c:v>1.2017247746441865E-11</c:v>
                </c:pt>
                <c:pt idx="172">
                  <c:v>1.2017247746441865E-11</c:v>
                </c:pt>
                <c:pt idx="173">
                  <c:v>1.2017247746441865E-11</c:v>
                </c:pt>
                <c:pt idx="174">
                  <c:v>1.2017247746441865E-11</c:v>
                </c:pt>
                <c:pt idx="175">
                  <c:v>1.2017247746441865E-11</c:v>
                </c:pt>
                <c:pt idx="176">
                  <c:v>1.2017247746441865E-11</c:v>
                </c:pt>
                <c:pt idx="177">
                  <c:v>1.2017247746441865E-11</c:v>
                </c:pt>
                <c:pt idx="178">
                  <c:v>1.2017247746441865E-11</c:v>
                </c:pt>
                <c:pt idx="179">
                  <c:v>1.2017247746441865E-11</c:v>
                </c:pt>
                <c:pt idx="180">
                  <c:v>1.2017247746441865E-11</c:v>
                </c:pt>
                <c:pt idx="181">
                  <c:v>1.2017247746441865E-11</c:v>
                </c:pt>
                <c:pt idx="182">
                  <c:v>1.2017247746441865E-11</c:v>
                </c:pt>
                <c:pt idx="183">
                  <c:v>1.2017247746441865E-11</c:v>
                </c:pt>
                <c:pt idx="184">
                  <c:v>1.2017247746441865E-11</c:v>
                </c:pt>
                <c:pt idx="185">
                  <c:v>1.2017247746441865E-11</c:v>
                </c:pt>
                <c:pt idx="186">
                  <c:v>1.2017247746441865E-11</c:v>
                </c:pt>
                <c:pt idx="187">
                  <c:v>1.2017247746441865E-11</c:v>
                </c:pt>
                <c:pt idx="188">
                  <c:v>1.2017247746441865E-11</c:v>
                </c:pt>
                <c:pt idx="189">
                  <c:v>1.2017247746441865E-11</c:v>
                </c:pt>
                <c:pt idx="190">
                  <c:v>1.2017247746441865E-11</c:v>
                </c:pt>
                <c:pt idx="191">
                  <c:v>1.2017247746441865E-11</c:v>
                </c:pt>
                <c:pt idx="192">
                  <c:v>1.2017247746441865E-11</c:v>
                </c:pt>
                <c:pt idx="193">
                  <c:v>1.2017247746441865E-11</c:v>
                </c:pt>
                <c:pt idx="194">
                  <c:v>1.2017247746441865E-11</c:v>
                </c:pt>
                <c:pt idx="195">
                  <c:v>1.2017247746441865E-11</c:v>
                </c:pt>
                <c:pt idx="196">
                  <c:v>1.2017247746441865E-11</c:v>
                </c:pt>
                <c:pt idx="197">
                  <c:v>1.2017247746441865E-11</c:v>
                </c:pt>
                <c:pt idx="198">
                  <c:v>1.2017247746441865E-11</c:v>
                </c:pt>
                <c:pt idx="199">
                  <c:v>1.2017247746441865E-11</c:v>
                </c:pt>
                <c:pt idx="200">
                  <c:v>1.2017247746441865E-11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1.4712122312284983</c:v>
                </c:pt>
                <c:pt idx="2">
                  <c:v>1.8663419704639954</c:v>
                </c:pt>
                <c:pt idx="3">
                  <c:v>2.3680228344404912</c:v>
                </c:pt>
                <c:pt idx="4">
                  <c:v>3.0050970820881022</c:v>
                </c:pt>
                <c:pt idx="5">
                  <c:v>3.8142421061146679</c:v>
                </c:pt>
                <c:pt idx="6">
                  <c:v>4.8421059308986374</c:v>
                </c:pt>
                <c:pt idx="7">
                  <c:v>6.1480265267007121</c:v>
                </c:pt>
                <c:pt idx="8">
                  <c:v>7.807494994594653</c:v>
                </c:pt>
                <c:pt idx="9">
                  <c:v>9.9165666677570972</c:v>
                </c:pt>
                <c:pt idx="10">
                  <c:v>12.597480285062067</c:v>
                </c:pt>
                <c:pt idx="11">
                  <c:v>16.005816967936891</c:v>
                </c:pt>
                <c:pt idx="12">
                  <c:v>20.33962204213756</c:v>
                </c:pt>
                <c:pt idx="13">
                  <c:v>25.851029245191327</c:v>
                </c:pt>
                <c:pt idx="14">
                  <c:v>32.861075509641132</c:v>
                </c:pt>
                <c:pt idx="15">
                  <c:v>41.778584201423932</c:v>
                </c:pt>
                <c:pt idx="16">
                  <c:v>53.124236773393768</c:v>
                </c:pt>
                <c:pt idx="17">
                  <c:v>67.561261762981147</c:v>
                </c:pt>
                <c:pt idx="18">
                  <c:v>85.93456443495181</c:v>
                </c:pt>
                <c:pt idx="19">
                  <c:v>109.32062379294662</c:v>
                </c:pt>
                <c:pt idx="20">
                  <c:v>139.09112636290797</c:v>
                </c:pt>
                <c:pt idx="21">
                  <c:v>176.9941266730948</c:v>
                </c:pt>
                <c:pt idx="22">
                  <c:v>134.24092796087848</c:v>
                </c:pt>
                <c:pt idx="23">
                  <c:v>150.31378700553583</c:v>
                </c:pt>
                <c:pt idx="24">
                  <c:v>166.34566421731355</c:v>
                </c:pt>
                <c:pt idx="25">
                  <c:v>182.34106811494846</c:v>
                </c:pt>
                <c:pt idx="26">
                  <c:v>198.3036502064256</c:v>
                </c:pt>
                <c:pt idx="27">
                  <c:v>214.23642533382289</c:v>
                </c:pt>
                <c:pt idx="28">
                  <c:v>230.14192282721137</c:v>
                </c:pt>
                <c:pt idx="29">
                  <c:v>193.10392671645786</c:v>
                </c:pt>
                <c:pt idx="30">
                  <c:v>210.3937841285574</c:v>
                </c:pt>
                <c:pt idx="31">
                  <c:v>227.65087213143102</c:v>
                </c:pt>
                <c:pt idx="32">
                  <c:v>244.87802463525054</c:v>
                </c:pt>
                <c:pt idx="33">
                  <c:v>262.07764399998308</c:v>
                </c:pt>
                <c:pt idx="34">
                  <c:v>279.25179137186194</c:v>
                </c:pt>
                <c:pt idx="35">
                  <c:v>296.40225359943668</c:v>
                </c:pt>
                <c:pt idx="36">
                  <c:v>246.80805934521163</c:v>
                </c:pt>
                <c:pt idx="37">
                  <c:v>264.1278307134175</c:v>
                </c:pt>
                <c:pt idx="38">
                  <c:v>281.42199320812324</c:v>
                </c:pt>
                <c:pt idx="39">
                  <c:v>298.69234185428553</c:v>
                </c:pt>
                <c:pt idx="40">
                  <c:v>315.94044712289559</c:v>
                </c:pt>
                <c:pt idx="41">
                  <c:v>333.16769400588868</c:v>
                </c:pt>
                <c:pt idx="42">
                  <c:v>350.37531258098761</c:v>
                </c:pt>
                <c:pt idx="43">
                  <c:v>290.67998277410271</c:v>
                </c:pt>
                <c:pt idx="44">
                  <c:v>307.26657803176238</c:v>
                </c:pt>
                <c:pt idx="45">
                  <c:v>323.83328476591305</c:v>
                </c:pt>
                <c:pt idx="46">
                  <c:v>340.38126349469303</c:v>
                </c:pt>
                <c:pt idx="47">
                  <c:v>356.91155269084101</c:v>
                </c:pt>
                <c:pt idx="48">
                  <c:v>373.42508679269554</c:v>
                </c:pt>
                <c:pt idx="49">
                  <c:v>389.92271086196098</c:v>
                </c:pt>
                <c:pt idx="50">
                  <c:v>319.91337494526368</c:v>
                </c:pt>
                <c:pt idx="51">
                  <c:v>335.24536890445728</c:v>
                </c:pt>
                <c:pt idx="52">
                  <c:v>350.56192144536408</c:v>
                </c:pt>
                <c:pt idx="53">
                  <c:v>365.86380215740513</c:v>
                </c:pt>
                <c:pt idx="54">
                  <c:v>381.15171100494064</c:v>
                </c:pt>
                <c:pt idx="55">
                  <c:v>396.4262872246677</c:v>
                </c:pt>
                <c:pt idx="56">
                  <c:v>411.68811677998042</c:v>
                </c:pt>
                <c:pt idx="57">
                  <c:v>354.22212634657035</c:v>
                </c:pt>
                <c:pt idx="58">
                  <c:v>368.2126978199405</c:v>
                </c:pt>
                <c:pt idx="59">
                  <c:v>382.19167112074615</c:v>
                </c:pt>
                <c:pt idx="60">
                  <c:v>396.1595302032369</c:v>
                </c:pt>
                <c:pt idx="61">
                  <c:v>410.11672211122362</c:v>
                </c:pt>
                <c:pt idx="62">
                  <c:v>424.06366097989184</c:v>
                </c:pt>
                <c:pt idx="63">
                  <c:v>438.00073148368637</c:v>
                </c:pt>
                <c:pt idx="64">
                  <c:v>375.53485470761944</c:v>
                </c:pt>
                <c:pt idx="65">
                  <c:v>388.05569244056363</c:v>
                </c:pt>
                <c:pt idx="66">
                  <c:v>400.56776141102063</c:v>
                </c:pt>
                <c:pt idx="67">
                  <c:v>413.07137413616397</c:v>
                </c:pt>
                <c:pt idx="68">
                  <c:v>425.56682266848742</c:v>
                </c:pt>
                <c:pt idx="69">
                  <c:v>438.05438051014295</c:v>
                </c:pt>
                <c:pt idx="70">
                  <c:v>450.53430429760925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1.8422497194984346</c:v>
                </c:pt>
                <c:pt idx="2">
                  <c:v>2.2839610546051845</c:v>
                </c:pt>
                <c:pt idx="3">
                  <c:v>2.8319953358680601</c:v>
                </c:pt>
                <c:pt idx="4">
                  <c:v>3.5120396501735258</c:v>
                </c:pt>
                <c:pt idx="5">
                  <c:v>4.3560083560771545</c:v>
                </c:pt>
                <c:pt idx="6">
                  <c:v>5.4035575821421871</c:v>
                </c:pt>
                <c:pt idx="7">
                  <c:v>6.7039691451086192</c:v>
                </c:pt>
                <c:pt idx="8">
                  <c:v>8.3184942415643128</c:v>
                </c:pt>
                <c:pt idx="9">
                  <c:v>10.323269420291274</c:v>
                </c:pt>
                <c:pt idx="10">
                  <c:v>12.812944939872658</c:v>
                </c:pt>
                <c:pt idx="11">
                  <c:v>15.905199997941262</c:v>
                </c:pt>
                <c:pt idx="12">
                  <c:v>19.746362155771042</c:v>
                </c:pt>
                <c:pt idx="13">
                  <c:v>24.518401658275682</c:v>
                </c:pt>
                <c:pt idx="14">
                  <c:v>30.447637862693412</c:v>
                </c:pt>
                <c:pt idx="15">
                  <c:v>37.815577878556894</c:v>
                </c:pt>
                <c:pt idx="16">
                  <c:v>46.972410826290286</c:v>
                </c:pt>
                <c:pt idx="17">
                  <c:v>58.353809879233033</c:v>
                </c:pt>
                <c:pt idx="18">
                  <c:v>72.501854746249776</c:v>
                </c:pt>
                <c:pt idx="19">
                  <c:v>90.091087314536153</c:v>
                </c:pt>
                <c:pt idx="20">
                  <c:v>111.96096257740781</c:v>
                </c:pt>
                <c:pt idx="21">
                  <c:v>139.1562679095986</c:v>
                </c:pt>
                <c:pt idx="22">
                  <c:v>172.97747142859643</c:v>
                </c:pt>
                <c:pt idx="23">
                  <c:v>114.14913994685274</c:v>
                </c:pt>
                <c:pt idx="24">
                  <c:v>126.91370417661551</c:v>
                </c:pt>
                <c:pt idx="25">
                  <c:v>139.64714860024384</c:v>
                </c:pt>
                <c:pt idx="26">
                  <c:v>152.35271363130246</c:v>
                </c:pt>
                <c:pt idx="27">
                  <c:v>165.03305393552412</c:v>
                </c:pt>
                <c:pt idx="28">
                  <c:v>177.69038221250307</c:v>
                </c:pt>
                <c:pt idx="29">
                  <c:v>190.32656972646737</c:v>
                </c:pt>
                <c:pt idx="30">
                  <c:v>163.25852831622817</c:v>
                </c:pt>
                <c:pt idx="31">
                  <c:v>175.63549361339332</c:v>
                </c:pt>
                <c:pt idx="32">
                  <c:v>187.99198451580693</c:v>
                </c:pt>
                <c:pt idx="33">
                  <c:v>200.32953727575395</c:v>
                </c:pt>
                <c:pt idx="34">
                  <c:v>212.64948325935845</c:v>
                </c:pt>
                <c:pt idx="35">
                  <c:v>224.95298681852762</c:v>
                </c:pt>
                <c:pt idx="36">
                  <c:v>237.24107442964893</c:v>
                </c:pt>
                <c:pt idx="37">
                  <c:v>199.04889868806433</c:v>
                </c:pt>
                <c:pt idx="38">
                  <c:v>210.47971454591834</c:v>
                </c:pt>
                <c:pt idx="39">
                  <c:v>221.89621521547303</c:v>
                </c:pt>
                <c:pt idx="40">
                  <c:v>233.29924148414133</c:v>
                </c:pt>
                <c:pt idx="41">
                  <c:v>244.68954516678556</c:v>
                </c:pt>
                <c:pt idx="42">
                  <c:v>256.06780231400205</c:v>
                </c:pt>
                <c:pt idx="43">
                  <c:v>267.43462394736406</c:v>
                </c:pt>
                <c:pt idx="44">
                  <c:v>278.79056487227234</c:v>
                </c:pt>
                <c:pt idx="45">
                  <c:v>240.50427344085895</c:v>
                </c:pt>
                <c:pt idx="46">
                  <c:v>250.77990843042707</c:v>
                </c:pt>
                <c:pt idx="47">
                  <c:v>261.04600033495728</c:v>
                </c:pt>
                <c:pt idx="48">
                  <c:v>271.30297762614424</c:v>
                </c:pt>
                <c:pt idx="49">
                  <c:v>281.55123370766449</c:v>
                </c:pt>
                <c:pt idx="50">
                  <c:v>291.79113098496697</c:v>
                </c:pt>
                <c:pt idx="51">
                  <c:v>302.02300433346483</c:v>
                </c:pt>
                <c:pt idx="52">
                  <c:v>312.24716407185201</c:v>
                </c:pt>
                <c:pt idx="53">
                  <c:v>269.76806627409758</c:v>
                </c:pt>
                <c:pt idx="54">
                  <c:v>278.79056487227223</c:v>
                </c:pt>
                <c:pt idx="55">
                  <c:v>287.80651383991272</c:v>
                </c:pt>
                <c:pt idx="56">
                  <c:v>296.81614745645339</c:v>
                </c:pt>
                <c:pt idx="57">
                  <c:v>305.8196846056623</c:v>
                </c:pt>
                <c:pt idx="58">
                  <c:v>314.81733022074962</c:v>
                </c:pt>
                <c:pt idx="59">
                  <c:v>323.80927655551932</c:v>
                </c:pt>
                <c:pt idx="60">
                  <c:v>332.79570430685789</c:v>
                </c:pt>
                <c:pt idx="61">
                  <c:v>295.29658814421026</c:v>
                </c:pt>
                <c:pt idx="62">
                  <c:v>303.21111138641299</c:v>
                </c:pt>
                <c:pt idx="63">
                  <c:v>311.12103886638369</c:v>
                </c:pt>
                <c:pt idx="64">
                  <c:v>319.02650401596333</c:v>
                </c:pt>
                <c:pt idx="65">
                  <c:v>326.92763310831168</c:v>
                </c:pt>
                <c:pt idx="66">
                  <c:v>334.82454580951702</c:v>
                </c:pt>
                <c:pt idx="67">
                  <c:v>342.71735567541197</c:v>
                </c:pt>
                <c:pt idx="68">
                  <c:v>350.60617060020223</c:v>
                </c:pt>
                <c:pt idx="69">
                  <c:v>358.49109322258545</c:v>
                </c:pt>
                <c:pt idx="70">
                  <c:v>366.3722212942514</c:v>
                </c:pt>
                <c:pt idx="71">
                  <c:v>319.24671747205548</c:v>
                </c:pt>
                <c:pt idx="72">
                  <c:v>325.99830960953977</c:v>
                </c:pt>
                <c:pt idx="73">
                  <c:v>332.74681320178178</c:v>
                </c:pt>
                <c:pt idx="74">
                  <c:v>339.49229979083771</c:v>
                </c:pt>
                <c:pt idx="75">
                  <c:v>346.23483784085187</c:v>
                </c:pt>
                <c:pt idx="76">
                  <c:v>352.97449292917099</c:v>
                </c:pt>
                <c:pt idx="77">
                  <c:v>359.71132792208959</c:v>
                </c:pt>
                <c:pt idx="78">
                  <c:v>366.44540313673292</c:v>
                </c:pt>
                <c:pt idx="79">
                  <c:v>373.17677649041048</c:v>
                </c:pt>
                <c:pt idx="80">
                  <c:v>379.90550363862508</c:v>
                </c:pt>
                <c:pt idx="81">
                  <c:v>343.14486966097633</c:v>
                </c:pt>
                <c:pt idx="82">
                  <c:v>348.97011430780162</c:v>
                </c:pt>
                <c:pt idx="83">
                  <c:v>354.79322551365152</c:v>
                </c:pt>
                <c:pt idx="84">
                  <c:v>360.61424327370167</c:v>
                </c:pt>
                <c:pt idx="85">
                  <c:v>366.43320618515412</c:v>
                </c:pt>
                <c:pt idx="86">
                  <c:v>372.2501515180241</c:v>
                </c:pt>
                <c:pt idx="87">
                  <c:v>378.06511528126742</c:v>
                </c:pt>
                <c:pt idx="88">
                  <c:v>383.87813228462363</c:v>
                </c:pt>
                <c:pt idx="89">
                  <c:v>389.68923619651622</c:v>
                </c:pt>
                <c:pt idx="90">
                  <c:v>395.49845959831595</c:v>
                </c:pt>
                <c:pt idx="91">
                  <c:v>357.61246796259042</c:v>
                </c:pt>
                <c:pt idx="92">
                  <c:v>362.63952235712782</c:v>
                </c:pt>
                <c:pt idx="93">
                  <c:v>367.66505357465468</c:v>
                </c:pt>
                <c:pt idx="94">
                  <c:v>372.68908539799622</c:v>
                </c:pt>
                <c:pt idx="95">
                  <c:v>377.71164091569563</c:v>
                </c:pt>
                <c:pt idx="96">
                  <c:v>382.73274255145498</c:v>
                </c:pt>
                <c:pt idx="97">
                  <c:v>387.75241209194616</c:v>
                </c:pt>
                <c:pt idx="98">
                  <c:v>392.77067071310762</c:v>
                </c:pt>
                <c:pt idx="99">
                  <c:v>397.78753900502466</c:v>
                </c:pt>
                <c:pt idx="100">
                  <c:v>402.80303699548932</c:v>
                </c:pt>
                <c:pt idx="101">
                  <c:v>171.11628496027177</c:v>
                </c:pt>
                <c:pt idx="102">
                  <c:v>173.72181380960933</c:v>
                </c:pt>
                <c:pt idx="103">
                  <c:v>176.32642399290793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5" zoomScale="80" zoomScaleNormal="80" workbookViewId="0">
      <selection activeCell="B68" sqref="B68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1.9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14</v>
      </c>
      <c r="C9" s="32">
        <v>0.78769999999999996</v>
      </c>
      <c r="D9" s="33">
        <f t="shared" ref="D9:D18" si="0">C9*$C$5</f>
        <v>1.4966299999999999</v>
      </c>
      <c r="E9" s="34">
        <v>131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18</v>
      </c>
      <c r="C10" s="32">
        <v>7.2099999999999997E-2</v>
      </c>
      <c r="D10" s="33">
        <f t="shared" si="0"/>
        <v>0.13699</v>
      </c>
      <c r="E10" s="34">
        <v>54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156</v>
      </c>
      <c r="C11" s="32">
        <v>8.5099999999999995E-2</v>
      </c>
      <c r="D11" s="33">
        <f t="shared" si="0"/>
        <v>0.16168999999999997</v>
      </c>
      <c r="E11" s="34">
        <v>70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41</v>
      </c>
      <c r="C12" s="32">
        <v>5.5100000000000003E-2</v>
      </c>
      <c r="D12" s="33">
        <f t="shared" si="0"/>
        <v>0.10469000000000001</v>
      </c>
      <c r="E12" s="34">
        <v>103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0.99999999999999989</v>
      </c>
      <c r="D19" s="38">
        <f>SUM(D9:D18)</f>
        <v>1.8999999999999997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121.88461538461537</v>
      </c>
      <c r="C36" s="60" t="s">
        <v>324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4.0628205128205126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35</v>
      </c>
      <c r="B37" s="60">
        <v>162.16666666666669</v>
      </c>
      <c r="C37" s="60">
        <v>1</v>
      </c>
      <c r="D37" s="60">
        <v>60.602564102564102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8.0564102564102633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41</v>
      </c>
      <c r="B38" s="60">
        <v>157.44871794871796</v>
      </c>
      <c r="C38" s="60">
        <v>2</v>
      </c>
      <c r="D38" s="60">
        <v>38.512820512820511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9.3141025641025621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48</v>
      </c>
      <c r="B39" s="60">
        <v>184.35256410256409</v>
      </c>
      <c r="C39" s="60">
        <v>3</v>
      </c>
      <c r="D39" s="60">
        <v>48.025641025641022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9.3452380952380913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55</v>
      </c>
      <c r="B40" s="60">
        <v>198.44230769230768</v>
      </c>
      <c r="C40" s="60">
        <v>4</v>
      </c>
      <c r="D40" s="60">
        <v>45.147435897435898</v>
      </c>
      <c r="E40" s="51">
        <v>0</v>
      </c>
      <c r="F40" s="51">
        <v>0</v>
      </c>
      <c r="G40" s="51">
        <v>0</v>
      </c>
      <c r="H40" s="51">
        <v>1</v>
      </c>
      <c r="I40" s="49">
        <f t="shared" si="1"/>
        <v>8.8736263736263741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63</v>
      </c>
      <c r="B41" s="60">
        <v>220.28846153846152</v>
      </c>
      <c r="C41" s="60">
        <v>5</v>
      </c>
      <c r="D41" s="60">
        <v>41.724358974358978</v>
      </c>
      <c r="E41" s="51">
        <v>0.7</v>
      </c>
      <c r="F41" s="51">
        <v>0</v>
      </c>
      <c r="G41" s="51">
        <v>0</v>
      </c>
      <c r="H41" s="51">
        <v>0.3</v>
      </c>
      <c r="I41" s="53">
        <f t="shared" si="1"/>
        <v>8.374198717948719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71</v>
      </c>
      <c r="B42" s="60">
        <v>243.36538461538464</v>
      </c>
      <c r="C42" s="60">
        <v>6</v>
      </c>
      <c r="D42" s="60">
        <v>39.935897435897431</v>
      </c>
      <c r="E42" s="51">
        <v>0.7</v>
      </c>
      <c r="F42" s="51">
        <v>0</v>
      </c>
      <c r="G42" s="51">
        <v>0</v>
      </c>
      <c r="H42" s="51">
        <v>0.3</v>
      </c>
      <c r="I42" s="53">
        <f t="shared" si="1"/>
        <v>8.1001602564102626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80</v>
      </c>
      <c r="B43" s="60">
        <v>274.01282051282055</v>
      </c>
      <c r="C43" s="60">
        <v>7</v>
      </c>
      <c r="D43" s="60">
        <v>45.608974358974358</v>
      </c>
      <c r="E43" s="51">
        <v>0.7</v>
      </c>
      <c r="F43" s="51">
        <v>0</v>
      </c>
      <c r="G43" s="51">
        <v>0</v>
      </c>
      <c r="H43" s="51">
        <v>0.3</v>
      </c>
      <c r="I43" s="49">
        <f t="shared" si="1"/>
        <v>7.8425925925925934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89</v>
      </c>
      <c r="B44" s="60">
        <v>295.85897435897436</v>
      </c>
      <c r="C44" s="60">
        <v>8</v>
      </c>
      <c r="D44" s="60">
        <v>49.391025641025635</v>
      </c>
      <c r="E44" s="51">
        <v>0.7</v>
      </c>
      <c r="F44" s="51">
        <v>0</v>
      </c>
      <c r="G44" s="51">
        <v>0</v>
      </c>
      <c r="H44" s="51">
        <v>0.3</v>
      </c>
      <c r="I44" s="49">
        <f t="shared" si="1"/>
        <v>7.4950142450142421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99</v>
      </c>
      <c r="B45" s="60">
        <v>318.25</v>
      </c>
      <c r="C45" s="60">
        <v>9</v>
      </c>
      <c r="D45" s="60">
        <v>48.019230769230766</v>
      </c>
      <c r="E45" s="51">
        <v>0.7</v>
      </c>
      <c r="F45" s="51">
        <v>0</v>
      </c>
      <c r="G45" s="51">
        <v>0</v>
      </c>
      <c r="H45" s="51">
        <v>0.3</v>
      </c>
      <c r="I45" s="49">
        <f t="shared" si="1"/>
        <v>7.1782051282051267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109</v>
      </c>
      <c r="B46" s="60">
        <v>340.16666666666663</v>
      </c>
      <c r="C46" s="60">
        <v>10</v>
      </c>
      <c r="D46" s="60">
        <v>51.28846153846154</v>
      </c>
      <c r="E46" s="51">
        <v>0.9</v>
      </c>
      <c r="F46" s="51">
        <v>0</v>
      </c>
      <c r="G46" s="51">
        <v>0</v>
      </c>
      <c r="H46" s="51">
        <v>0.1</v>
      </c>
      <c r="I46" s="49">
        <f t="shared" si="1"/>
        <v>6.9935897435897401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119</v>
      </c>
      <c r="B47" s="60">
        <v>357.33974358974359</v>
      </c>
      <c r="C47" s="60">
        <v>11</v>
      </c>
      <c r="D47" s="60">
        <v>150.02564102564102</v>
      </c>
      <c r="E47" s="51">
        <v>0.9</v>
      </c>
      <c r="F47" s="51">
        <v>0</v>
      </c>
      <c r="G47" s="51">
        <v>0</v>
      </c>
      <c r="H47" s="51">
        <v>0.1</v>
      </c>
      <c r="I47" s="49">
        <f t="shared" si="1"/>
        <v>6.8461538461538511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123</v>
      </c>
      <c r="B48" s="60">
        <v>222.63461538461539</v>
      </c>
      <c r="C48" s="60">
        <v>12</v>
      </c>
      <c r="D48" s="60">
        <v>77.17307692307692</v>
      </c>
      <c r="E48" s="51">
        <v>0.9</v>
      </c>
      <c r="F48" s="51">
        <v>0</v>
      </c>
      <c r="G48" s="51">
        <v>0</v>
      </c>
      <c r="H48" s="51">
        <v>0.1</v>
      </c>
      <c r="I48" s="49">
        <f t="shared" si="1"/>
        <v>3.8301282051282044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127</v>
      </c>
      <c r="B49" s="60">
        <v>154.80128205128204</v>
      </c>
      <c r="C49" s="60">
        <v>13</v>
      </c>
      <c r="D49" s="60">
        <v>49.916666666666671</v>
      </c>
      <c r="E49" s="51">
        <v>0.9</v>
      </c>
      <c r="F49" s="51">
        <v>0</v>
      </c>
      <c r="G49" s="51">
        <v>0</v>
      </c>
      <c r="H49" s="51">
        <v>0.1</v>
      </c>
      <c r="I49" s="49">
        <f t="shared" si="1"/>
        <v>2.3349358974358978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131</v>
      </c>
      <c r="B50" s="50">
        <v>110.91025641025641</v>
      </c>
      <c r="C50" s="50">
        <v>14</v>
      </c>
      <c r="D50" s="50">
        <v>110.91025641025641</v>
      </c>
      <c r="E50" s="51">
        <v>0.9</v>
      </c>
      <c r="F50" s="51">
        <v>0</v>
      </c>
      <c r="G50" s="51">
        <v>0</v>
      </c>
      <c r="H50" s="51">
        <v>0.1</v>
      </c>
      <c r="I50" s="49">
        <f t="shared" si="1"/>
        <v>1.5064102564102591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18</v>
      </c>
      <c r="B62" s="60">
        <v>182.89230769230767</v>
      </c>
      <c r="C62" s="60">
        <v>1</v>
      </c>
      <c r="D62" s="60">
        <v>69.284615384615378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10.16068376068376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24</v>
      </c>
      <c r="B63" s="60">
        <v>237.56153846153845</v>
      </c>
      <c r="C63" s="60">
        <v>2</v>
      </c>
      <c r="D63" s="60">
        <v>42.661538461538463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20.658974358974358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30</v>
      </c>
      <c r="B64" s="60">
        <v>331.86923076923074</v>
      </c>
      <c r="C64" s="60">
        <v>3</v>
      </c>
      <c r="D64" s="60">
        <v>65.669230769230765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22.828205128205127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36</v>
      </c>
      <c r="B65" s="60">
        <v>403.50769230769237</v>
      </c>
      <c r="C65" s="60">
        <v>4</v>
      </c>
      <c r="D65" s="60">
        <v>69.3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22.884615384615397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42</v>
      </c>
      <c r="B66" s="60">
        <v>468.72307692307686</v>
      </c>
      <c r="C66" s="60">
        <v>5</v>
      </c>
      <c r="D66" s="60">
        <v>73.392307692307682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22.419230769230751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48</v>
      </c>
      <c r="B67" s="60">
        <v>525.0846153846154</v>
      </c>
      <c r="C67" s="60">
        <v>6</v>
      </c>
      <c r="D67" s="60">
        <v>81.330769230769235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21.625641025641034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54</v>
      </c>
      <c r="B68" s="60">
        <v>566.79999999999995</v>
      </c>
      <c r="C68" s="60">
        <v>7</v>
      </c>
      <c r="D68" s="60">
        <v>566.79999999999995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20.507692307692299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Séquoia toujours vert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21</v>
      </c>
      <c r="B88" s="60">
        <v>180.06153846153845</v>
      </c>
      <c r="C88" s="60">
        <v>1</v>
      </c>
      <c r="D88" s="60">
        <v>61.169230769230765</v>
      </c>
      <c r="E88" s="51">
        <v>0</v>
      </c>
      <c r="F88" s="51">
        <v>0.56000000000000005</v>
      </c>
      <c r="G88" s="51">
        <v>0.44</v>
      </c>
      <c r="H88" s="87">
        <v>0</v>
      </c>
      <c r="I88" s="53">
        <f>IFERROR(B88/A88,"")</f>
        <v>8.5743589743589741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28</v>
      </c>
      <c r="B89" s="60">
        <v>235.7076923076923</v>
      </c>
      <c r="C89" s="60">
        <v>2</v>
      </c>
      <c r="D89" s="60">
        <v>56.91538461538461</v>
      </c>
      <c r="E89" s="51">
        <v>0</v>
      </c>
      <c r="F89" s="51">
        <v>0.56000000000000005</v>
      </c>
      <c r="G89" s="51">
        <v>0.44</v>
      </c>
      <c r="H89" s="87">
        <v>0</v>
      </c>
      <c r="I89" s="53">
        <f t="shared" ref="I89:I107" si="3">IF(A89&lt;&gt;0,(B89-(B88-D88))/(A89-A88),"")</f>
        <v>16.687912087912089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35</v>
      </c>
      <c r="B90" s="60">
        <v>305.49230769230769</v>
      </c>
      <c r="C90" s="60">
        <v>3</v>
      </c>
      <c r="D90" s="60">
        <v>70.5</v>
      </c>
      <c r="E90" s="87">
        <v>0.7</v>
      </c>
      <c r="F90" s="87">
        <v>0.16800000000000001</v>
      </c>
      <c r="G90" s="87">
        <v>0.13200000000000001</v>
      </c>
      <c r="H90" s="87">
        <v>0</v>
      </c>
      <c r="I90" s="53">
        <f t="shared" si="3"/>
        <v>18.099999999999998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42</v>
      </c>
      <c r="B91" s="60">
        <v>362.59999999999997</v>
      </c>
      <c r="C91" s="60">
        <v>4</v>
      </c>
      <c r="D91" s="60">
        <v>80.669230769230765</v>
      </c>
      <c r="E91" s="87">
        <v>0.7</v>
      </c>
      <c r="F91" s="87">
        <v>0.16800000000000001</v>
      </c>
      <c r="G91" s="87">
        <v>0.13200000000000001</v>
      </c>
      <c r="H91" s="87">
        <v>0</v>
      </c>
      <c r="I91" s="53">
        <f t="shared" si="3"/>
        <v>18.229670329670324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49</v>
      </c>
      <c r="B92" s="60">
        <v>404.56923076923078</v>
      </c>
      <c r="C92" s="60">
        <v>5</v>
      </c>
      <c r="D92" s="60">
        <v>90.453846153846158</v>
      </c>
      <c r="E92" s="87">
        <v>0.7</v>
      </c>
      <c r="F92" s="87">
        <v>0.16800000000000001</v>
      </c>
      <c r="G92" s="87">
        <v>0.13200000000000001</v>
      </c>
      <c r="H92" s="87">
        <v>0</v>
      </c>
      <c r="I92" s="53">
        <f t="shared" si="3"/>
        <v>17.519780219780223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56</v>
      </c>
      <c r="B93" s="60">
        <v>427.7076923076923</v>
      </c>
      <c r="C93" s="60">
        <v>6</v>
      </c>
      <c r="D93" s="60">
        <v>75.869230769230768</v>
      </c>
      <c r="E93" s="87">
        <v>0.7</v>
      </c>
      <c r="F93" s="87">
        <v>0.16800000000000001</v>
      </c>
      <c r="G93" s="87">
        <v>0.13200000000000001</v>
      </c>
      <c r="H93" s="87">
        <v>0</v>
      </c>
      <c r="I93" s="53">
        <f t="shared" si="3"/>
        <v>16.227472527472521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63</v>
      </c>
      <c r="B94" s="60">
        <v>455.71538461538466</v>
      </c>
      <c r="C94" s="60">
        <v>7</v>
      </c>
      <c r="D94" s="60">
        <v>79.723076923076917</v>
      </c>
      <c r="E94" s="87">
        <v>0.7</v>
      </c>
      <c r="F94" s="87">
        <v>0.16800000000000001</v>
      </c>
      <c r="G94" s="87">
        <v>0.13200000000000001</v>
      </c>
      <c r="H94" s="87">
        <v>0</v>
      </c>
      <c r="I94" s="53">
        <f t="shared" si="3"/>
        <v>14.839560439560453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70</v>
      </c>
      <c r="B95" s="60">
        <v>469.06923076923073</v>
      </c>
      <c r="C95" s="60">
        <v>8</v>
      </c>
      <c r="D95" s="60">
        <v>469.06923076923073</v>
      </c>
      <c r="E95" s="87">
        <v>0.7</v>
      </c>
      <c r="F95" s="87">
        <v>0.16800000000000001</v>
      </c>
      <c r="G95" s="87">
        <v>0.13200000000000001</v>
      </c>
      <c r="H95" s="87">
        <v>0</v>
      </c>
      <c r="I95" s="53">
        <f t="shared" si="3"/>
        <v>13.296703296703283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Pin sylvestre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22</v>
      </c>
      <c r="B114" s="60">
        <v>135.9</v>
      </c>
      <c r="C114" s="50">
        <v>1</v>
      </c>
      <c r="D114" s="60">
        <v>57.4</v>
      </c>
      <c r="E114" s="51">
        <v>0</v>
      </c>
      <c r="F114" s="51">
        <v>0.56000000000000005</v>
      </c>
      <c r="G114" s="51">
        <v>0.44</v>
      </c>
      <c r="H114" s="51">
        <v>0</v>
      </c>
      <c r="I114" s="53">
        <f>IFERROR(B114/A114,"")</f>
        <v>6.1772727272727277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29</v>
      </c>
      <c r="B115" s="60">
        <v>149.9</v>
      </c>
      <c r="C115" s="50">
        <v>2</v>
      </c>
      <c r="D115" s="60">
        <v>31.8</v>
      </c>
      <c r="E115" s="51">
        <v>0</v>
      </c>
      <c r="F115" s="51">
        <v>0.56000000000000005</v>
      </c>
      <c r="G115" s="51">
        <v>0.44</v>
      </c>
      <c r="H115" s="51">
        <v>0</v>
      </c>
      <c r="I115" s="53">
        <f t="shared" ref="I115:I126" si="4">IF(A115&lt;&gt;0,(B115-(B114-D114))/(A115-A114),"")</f>
        <v>10.200000000000001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36</v>
      </c>
      <c r="B116" s="60">
        <v>187.9</v>
      </c>
      <c r="C116" s="50">
        <v>3</v>
      </c>
      <c r="D116" s="60">
        <v>40.200000000000003</v>
      </c>
      <c r="E116" s="51">
        <v>0.7</v>
      </c>
      <c r="F116" s="51">
        <v>0.17</v>
      </c>
      <c r="G116" s="51">
        <v>0.13</v>
      </c>
      <c r="H116" s="51">
        <v>0</v>
      </c>
      <c r="I116" s="53">
        <f t="shared" si="4"/>
        <v>9.9714285714285715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44</v>
      </c>
      <c r="B117" s="60">
        <v>221.7</v>
      </c>
      <c r="C117" s="50">
        <v>4</v>
      </c>
      <c r="D117" s="60">
        <v>39.5</v>
      </c>
      <c r="E117" s="51">
        <v>0.7</v>
      </c>
      <c r="F117" s="51">
        <v>0.17</v>
      </c>
      <c r="G117" s="51">
        <v>0.13</v>
      </c>
      <c r="H117" s="51">
        <v>0</v>
      </c>
      <c r="I117" s="53">
        <f t="shared" si="4"/>
        <v>9.25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52</v>
      </c>
      <c r="B118" s="60">
        <v>249</v>
      </c>
      <c r="C118" s="50">
        <v>5</v>
      </c>
      <c r="D118" s="60">
        <v>42</v>
      </c>
      <c r="E118" s="51">
        <v>0.7</v>
      </c>
      <c r="F118" s="51">
        <v>0.17</v>
      </c>
      <c r="G118" s="51">
        <v>0.13</v>
      </c>
      <c r="H118" s="51">
        <v>0</v>
      </c>
      <c r="I118" s="53">
        <f t="shared" si="4"/>
        <v>8.3500000000000014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60</v>
      </c>
      <c r="B119" s="60">
        <v>265.8</v>
      </c>
      <c r="C119" s="50">
        <v>6</v>
      </c>
      <c r="D119" s="60">
        <v>37.1</v>
      </c>
      <c r="E119" s="51">
        <v>0.7</v>
      </c>
      <c r="F119" s="51">
        <v>0.17</v>
      </c>
      <c r="G119" s="51">
        <v>0.13</v>
      </c>
      <c r="H119" s="51">
        <v>0</v>
      </c>
      <c r="I119" s="53">
        <f t="shared" si="4"/>
        <v>7.3500000000000014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70</v>
      </c>
      <c r="B120" s="60">
        <v>293.3</v>
      </c>
      <c r="C120" s="60">
        <v>7</v>
      </c>
      <c r="D120" s="60">
        <v>44.1</v>
      </c>
      <c r="E120" s="87">
        <v>0.7</v>
      </c>
      <c r="F120" s="87">
        <v>0.17</v>
      </c>
      <c r="G120" s="87">
        <v>0.13</v>
      </c>
      <c r="H120" s="87">
        <v>0</v>
      </c>
      <c r="I120" s="53">
        <f t="shared" si="4"/>
        <v>6.4599999999999991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80</v>
      </c>
      <c r="B121" s="60">
        <v>304.39999999999998</v>
      </c>
      <c r="C121" s="60">
        <v>8</v>
      </c>
      <c r="D121" s="60">
        <v>34.9</v>
      </c>
      <c r="E121" s="87">
        <v>0.7</v>
      </c>
      <c r="F121" s="87">
        <v>0.17</v>
      </c>
      <c r="G121" s="87">
        <v>0.13</v>
      </c>
      <c r="H121" s="87">
        <v>0</v>
      </c>
      <c r="I121" s="53">
        <f t="shared" si="4"/>
        <v>5.519999999999996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90</v>
      </c>
      <c r="B122" s="60">
        <v>317.2</v>
      </c>
      <c r="C122" s="60">
        <v>9</v>
      </c>
      <c r="D122" s="60">
        <v>35.200000000000003</v>
      </c>
      <c r="E122" s="87">
        <v>0.7</v>
      </c>
      <c r="F122" s="87">
        <v>0.17</v>
      </c>
      <c r="G122" s="87">
        <v>0.13</v>
      </c>
      <c r="H122" s="87">
        <v>0</v>
      </c>
      <c r="I122" s="53">
        <f t="shared" si="4"/>
        <v>4.7699999999999987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100</v>
      </c>
      <c r="B123" s="60">
        <v>323.2</v>
      </c>
      <c r="C123" s="60">
        <v>10</v>
      </c>
      <c r="D123" s="60">
        <v>190.9</v>
      </c>
      <c r="E123" s="87">
        <v>0.7</v>
      </c>
      <c r="F123" s="87">
        <v>0.17</v>
      </c>
      <c r="G123" s="87">
        <v>0.13</v>
      </c>
      <c r="H123" s="87">
        <v>0</v>
      </c>
      <c r="I123" s="53">
        <f t="shared" si="4"/>
        <v>4.1199999999999992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103</v>
      </c>
      <c r="B124" s="60">
        <v>138.6</v>
      </c>
      <c r="C124" s="60">
        <v>11</v>
      </c>
      <c r="D124" s="60">
        <v>138.6</v>
      </c>
      <c r="E124" s="87">
        <v>0.7</v>
      </c>
      <c r="F124" s="87">
        <v>0.17</v>
      </c>
      <c r="G124" s="87">
        <v>0.13</v>
      </c>
      <c r="H124" s="87">
        <v>0</v>
      </c>
      <c r="I124" s="53">
        <f t="shared" si="4"/>
        <v>2.1000000000000036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ref="I127:I133" si="5">IF(A127&lt;&gt;0,(B127-(B126-D126))/(A127-A126),"")</f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Séquoia toujours vert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sylvestre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384.05928630855732</v>
      </c>
      <c r="T3" s="59">
        <f>IF('Données projet'!E9&gt;30,$R$33-$H$33,LOOKUP('Données projet'!$E$9,$A$3:$A$203,R3:R203)-LOOKUP('Données projet'!$E$9,$A$3:$A$203,$H$3:$H$203))</f>
        <v>279.93992813630513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335.04906256888819</v>
      </c>
      <c r="AO3" s="59">
        <f>IF('Données projet'!E10&gt;30,$AM$33-$H$33,LOOKUP('Données projet'!$E$10,$A$3:$A$203,AM3:AM203)-LOOKUP('Données projet'!$E$10,$A$3:$A$203,$H$3:$H$203))</f>
        <v>440.84111898279554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261.20475283925128</v>
      </c>
      <c r="BJ3" s="59">
        <f>IF('Données projet'!E11&gt;30,$BH$33-$H$33,LOOKUP('Données projet'!$E$11,$A$3:$A$203,BH3:BH203)-LOOKUP('Données projet'!$E$11,$A$3:$A$203,$H$3:$H$203))</f>
        <v>247.06045079522403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268.71706840132384</v>
      </c>
      <c r="CE3" s="59">
        <f>IF('Données projet'!E12&gt;30,$CC$33-$H$33,LOOKUP('Données projet'!$E$12,$A$3:$A$203,CC3:CC203)-LOOKUP('Données projet'!$E$12,$A$3:$A$203,$H$3:$H$203))</f>
        <v>199.92519498289477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4.0628205128205126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1.0619014690841913</v>
      </c>
      <c r="P4" s="13">
        <f>EXP(-1.0587+0.8836*LN(O4)+0.284)</f>
        <v>0.48595950732890802</v>
      </c>
      <c r="Q4" s="20">
        <f t="shared" ref="Q4:Q34" si="2">(O4+P4)*0.475*44/12</f>
        <v>2.6958578672528142</v>
      </c>
      <c r="R4" s="59">
        <f t="shared" si="0"/>
        <v>260.58474675614167</v>
      </c>
      <c r="S4" s="59">
        <f ca="1">AVERAGE(OFFSET($R$3,0,0,'Données projet'!$E$9+1,1))-AVERAGE(OFFSET($H$3,0,0,'Données projet'!$E$9+1,1))</f>
        <v>384.05928630855732</v>
      </c>
      <c r="T4" s="59">
        <f>$T$3</f>
        <v>279.93992813630513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10.16068376068376</v>
      </c>
      <c r="AI4" s="13">
        <f>IF('Données projet'!$A$62&gt;35,AI3+AH4-AQ3,IF(A4&lt;'Données projet'!$A$62,$AF$205^A4,IF(A4='Données projet'!$A$62,'Données projet'!$B$62,AI3+AH4-AQ3)))</f>
        <v>1.3356034260773062</v>
      </c>
      <c r="AJ4" s="13">
        <f>AI4*VLOOKUP('Données projet'!$B$10,Paramètres!$A$1:$I$89,3,0)*VLOOKUP('Données projet'!$B$10,Paramètres!$A$1:$I$89,5,0)</f>
        <v>0.7466023151772142</v>
      </c>
      <c r="AK4" s="13">
        <f>EXP(-1.0587+0.8836*LN(AJ4)+0.284)</f>
        <v>0.35597032812689977</v>
      </c>
      <c r="AL4" s="20">
        <f t="shared" ref="AL4:AL67" si="4">(AJ4+AK4)*0.475*44/12</f>
        <v>1.9203140204213316</v>
      </c>
      <c r="AM4" s="59">
        <f t="shared" ref="AM4:AM67" si="5">AL4+(AD4+AE4)*44/12</f>
        <v>259.80920290931022</v>
      </c>
      <c r="AN4" s="59">
        <f ca="1">AVERAGE(OFFSET($AM$3,0,0,'Données projet'!$E$10+1,1))-AVERAGE(OFFSET($H$3,0,0,'Données projet'!$E$10+1,1))</f>
        <v>335.04906256888819</v>
      </c>
      <c r="AO4" s="59">
        <f>$AO$3</f>
        <v>440.84111898279554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8.5743589743589741</v>
      </c>
      <c r="BD4" s="12">
        <f>IF('Données projet'!$A$88&gt;35,BD3+BC4-BL3,IF(A4&lt;'Données projet'!$A$88,$BA$205^A4,IF(A4='Données projet'!$A$88,'Données projet'!$B$88,BD3+BC4-BL3)))</f>
        <v>1.2805631431945952</v>
      </c>
      <c r="BE4" s="13">
        <f>BD4*VLOOKUP('Données projet'!$B$11,Paramètres!$A$1:$I$89,3,0)*VLOOKUP('Données projet'!$B$11,Paramètres!$A$1:$I$89,5,0)</f>
        <v>0.5660089092920112</v>
      </c>
      <c r="BF4" s="13">
        <f>EXP(-1.0587+0.8836*LN(BE4)+0.284)</f>
        <v>0.27870624739420802</v>
      </c>
      <c r="BG4" s="20">
        <f t="shared" ref="BG4:BG67" si="7">(BE4+BF4)*0.475*44/12</f>
        <v>1.4712122312284983</v>
      </c>
      <c r="BH4" s="59">
        <f t="shared" ref="BH4:BH67" si="8">BG4+(AY4+AZ4)*44/12</f>
        <v>259.36010112011735</v>
      </c>
      <c r="BI4" s="59">
        <f ca="1">AVERAGE(OFFSET($BH$3,0,0,'Données projet'!$E$11+1,1))-AVERAGE(OFFSET($H$3,0,0,'Données projet'!$E$11+1,1))</f>
        <v>261.20475283925128</v>
      </c>
      <c r="BJ4" s="59">
        <f>$BJ$3</f>
        <v>247.06045079522403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6.1772727272727277</v>
      </c>
      <c r="BY4" s="12">
        <f>IF('Données projet'!$A$114&gt;35,BY3+BX4-CG3,IF(A4&lt;'Données projet'!$A$114,$BV$205^A4,IF(A4='Données projet'!$A$114,'Données projet'!$B$114,BY3+BX4-CG3)))</f>
        <v>1.2501568957686711</v>
      </c>
      <c r="BZ4" s="13">
        <f>BY4*VLOOKUP('Données projet'!$B$12,Paramètres!$A$1:$I$89,3,0)*VLOOKUP('Données projet'!$B$12,Paramètres!$A$1:$I$89,5,0)</f>
        <v>0.71508974437967987</v>
      </c>
      <c r="CA4" s="13">
        <f>EXP(-1.0587+0.8836*LN(BZ4)+0.284)</f>
        <v>0.34266129073903856</v>
      </c>
      <c r="CB4" s="20">
        <f t="shared" ref="CB4:CB67" si="10">(BZ4+CA4)*0.475*44/12</f>
        <v>1.8422497194984346</v>
      </c>
      <c r="CC4" s="59">
        <f t="shared" ref="CC4:CC67" si="11">CB4+(BT4+BU4)*44/12</f>
        <v>259.73113860838731</v>
      </c>
      <c r="CD4" s="59">
        <f ca="1">AVERAGE(OFFSET($CC$3,0,0,'Données projet'!$E$12+1,1))-AVERAGE(OFFSET($H$3,0,0,'Données projet'!$E$12+1,1))</f>
        <v>268.71706840132384</v>
      </c>
      <c r="CE4" s="59">
        <f>$CE$3</f>
        <v>199.92519498289477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4.0628205128205126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1.2462806477046457</v>
      </c>
      <c r="P5" s="13">
        <f t="shared" ref="P5:P68" si="33">EXP(-1.0587+0.8836*LN(O5)+0.284)</f>
        <v>0.55980687933617612</v>
      </c>
      <c r="Q5" s="20">
        <f t="shared" si="2"/>
        <v>3.1456024429294316</v>
      </c>
      <c r="R5" s="59">
        <f t="shared" si="0"/>
        <v>262.25671355404057</v>
      </c>
      <c r="S5" s="59">
        <f ca="1">AVERAGE(OFFSET($R$3,0,0,'Données projet'!$E$9+1,1))-AVERAGE(OFFSET($H$3,0,0,'Données projet'!$E$9+1,1))</f>
        <v>384.05928630855732</v>
      </c>
      <c r="T5" s="59">
        <f t="shared" ref="T5:T68" si="34">$T$3</f>
        <v>279.93992813630513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10.16068376068376</v>
      </c>
      <c r="AI5" s="13">
        <f>IF('Données projet'!$A$62&gt;35,AI4+AH5-AQ4,IF(A5&lt;'Données projet'!$A$62,$AF$205^A5,IF(A5='Données projet'!$A$62,'Données projet'!$B$62,AI4+AH5-AQ4)))</f>
        <v>1.7838365117494384</v>
      </c>
      <c r="AJ5" s="13">
        <f>AI5*VLOOKUP('Données projet'!$B$10,Paramètres!$A$1:$I$89,3,0)*VLOOKUP('Données projet'!$B$10,Paramètres!$A$1:$I$89,5,0)</f>
        <v>0.99716461006793611</v>
      </c>
      <c r="AK5" s="13">
        <f t="shared" ref="AK5:AK68" si="35">EXP(-1.0587+0.8836*LN(AJ5)+0.284)</f>
        <v>0.4596872513511342</v>
      </c>
      <c r="AL5" s="20">
        <f t="shared" si="4"/>
        <v>2.5373503253048804</v>
      </c>
      <c r="AM5" s="59">
        <f t="shared" si="5"/>
        <v>261.64846143641603</v>
      </c>
      <c r="AN5" s="59">
        <f ca="1">AVERAGE(OFFSET($AM$3,0,0,'Données projet'!$E$10+1,1))-AVERAGE(OFFSET($H$3,0,0,'Données projet'!$E$10+1,1))</f>
        <v>335.04906256888819</v>
      </c>
      <c r="AO5" s="59">
        <f t="shared" ref="AO5:AO68" si="36">$AO$3</f>
        <v>440.84111898279554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8.5743589743589741</v>
      </c>
      <c r="BD5" s="12">
        <f>IF('Données projet'!$A$88&gt;35,BD4+BC5-BL4,IF(A5&lt;'Données projet'!$A$88,$BA$205^A5,IF(A5='Données projet'!$A$88,'Données projet'!$B$88,BD4+BC5-BL4)))</f>
        <v>1.6398419637084214</v>
      </c>
      <c r="BE5" s="13">
        <f>BD5*VLOOKUP('Données projet'!$B$11,Paramètres!$A$1:$I$89,3,0)*VLOOKUP('Données projet'!$B$11,Paramètres!$A$1:$I$89,5,0)</f>
        <v>0.72481014795912235</v>
      </c>
      <c r="BF5" s="13">
        <f t="shared" ref="BF5:BF68" si="37">EXP(-1.0587+0.8836*LN(BE5)+0.284)</f>
        <v>0.34677375852738224</v>
      </c>
      <c r="BG5" s="20">
        <f t="shared" si="7"/>
        <v>1.8663419704639954</v>
      </c>
      <c r="BH5" s="59">
        <f t="shared" si="8"/>
        <v>260.97745308157516</v>
      </c>
      <c r="BI5" s="59">
        <f ca="1">AVERAGE(OFFSET($BH$3,0,0,'Données projet'!$E$11+1,1))-AVERAGE(OFFSET($H$3,0,0,'Données projet'!$E$11+1,1))</f>
        <v>261.20475283925128</v>
      </c>
      <c r="BJ5" s="59">
        <f t="shared" ref="BJ5:BJ68" si="38">$BJ$3</f>
        <v>247.06045079522403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6.1772727272727277</v>
      </c>
      <c r="BY5" s="12">
        <f>IF('Données projet'!$A$114&gt;35,BY4+BX5-CG4,IF(A5&lt;'Données projet'!$A$114,$BV$205^A5,IF(A5='Données projet'!$A$114,'Données projet'!$B$114,BY4+BX5-CG4)))</f>
        <v>1.5628922640379599</v>
      </c>
      <c r="BZ5" s="13">
        <f>BY5*VLOOKUP('Données projet'!$B$12,Paramètres!$A$1:$I$89,3,0)*VLOOKUP('Données projet'!$B$12,Paramètres!$A$1:$I$89,5,0)</f>
        <v>0.89397437502971311</v>
      </c>
      <c r="CA5" s="13">
        <f t="shared" ref="CA5:CA68" si="39">EXP(-1.0587+0.8836*LN(BZ5)+0.284)</f>
        <v>0.41739082378666087</v>
      </c>
      <c r="CB5" s="20">
        <f t="shared" si="10"/>
        <v>2.2839610546051845</v>
      </c>
      <c r="CC5" s="59">
        <f t="shared" si="11"/>
        <v>261.39507216571633</v>
      </c>
      <c r="CD5" s="59">
        <f ca="1">AVERAGE(OFFSET($CC$3,0,0,'Données projet'!$E$12+1,1))-AVERAGE(OFFSET($H$3,0,0,'Données projet'!$E$12+1,1))</f>
        <v>268.71706840132384</v>
      </c>
      <c r="CE5" s="59">
        <f t="shared" ref="CE5:CE68" si="40">$CE$3</f>
        <v>199.92519498289477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4.0628205128205126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1.4626737960751115</v>
      </c>
      <c r="P6" s="13">
        <f t="shared" si="33"/>
        <v>0.64487624467855742</v>
      </c>
      <c r="Q6" s="20">
        <f t="shared" si="2"/>
        <v>3.6706496543126392</v>
      </c>
      <c r="R6" s="59">
        <f t="shared" si="0"/>
        <v>264.00398298764594</v>
      </c>
      <c r="S6" s="59">
        <f ca="1">AVERAGE(OFFSET($R$3,0,0,'Données projet'!$E$9+1,1))-AVERAGE(OFFSET($H$3,0,0,'Données projet'!$E$9+1,1))</f>
        <v>384.05928630855732</v>
      </c>
      <c r="T6" s="59">
        <f t="shared" si="34"/>
        <v>279.93992813630513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10.16068376068376</v>
      </c>
      <c r="AI6" s="13">
        <f>IF('Données projet'!$A$62&gt;35,AI5+AH6-AQ5,IF(A6&lt;'Données projet'!$A$62,$AF$205^A6,IF(A6='Données projet'!$A$62,'Données projet'!$B$62,AI5+AH6-AQ5)))</f>
        <v>2.3824981566543406</v>
      </c>
      <c r="AJ6" s="13">
        <f>AI6*VLOOKUP('Données projet'!$B$10,Paramètres!$A$1:$I$89,3,0)*VLOOKUP('Données projet'!$B$10,Paramètres!$A$1:$I$89,5,0)</f>
        <v>1.3318164695697763</v>
      </c>
      <c r="AK6" s="13">
        <f t="shared" si="35"/>
        <v>0.59362354768914927</v>
      </c>
      <c r="AL6" s="20">
        <f t="shared" si="4"/>
        <v>3.3534746967259621</v>
      </c>
      <c r="AM6" s="59">
        <f t="shared" si="5"/>
        <v>263.6868080300593</v>
      </c>
      <c r="AN6" s="59">
        <f ca="1">AVERAGE(OFFSET($AM$3,0,0,'Données projet'!$E$10+1,1))-AVERAGE(OFFSET($H$3,0,0,'Données projet'!$E$10+1,1))</f>
        <v>335.04906256888819</v>
      </c>
      <c r="AO6" s="59">
        <f t="shared" si="36"/>
        <v>440.84111898279554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8.5743589743589741</v>
      </c>
      <c r="BD6" s="12">
        <f>IF('Données projet'!$A$88&gt;35,BD5+BC6-BL5,IF(A6&lt;'Données projet'!$A$88,$BA$205^A6,IF(A6='Données projet'!$A$88,'Données projet'!$B$88,BD5+BC6-BL5)))</f>
        <v>2.0999211793888533</v>
      </c>
      <c r="BE6" s="13">
        <f>BD6*VLOOKUP('Données projet'!$B$11,Paramètres!$A$1:$I$89,3,0)*VLOOKUP('Données projet'!$B$11,Paramètres!$A$1:$I$89,5,0)</f>
        <v>0.92816516128987325</v>
      </c>
      <c r="BF6" s="13">
        <f t="shared" si="37"/>
        <v>0.4314651742740454</v>
      </c>
      <c r="BG6" s="20">
        <f t="shared" si="7"/>
        <v>2.3680228344404912</v>
      </c>
      <c r="BH6" s="59">
        <f t="shared" si="8"/>
        <v>262.70135616777378</v>
      </c>
      <c r="BI6" s="59">
        <f ca="1">AVERAGE(OFFSET($BH$3,0,0,'Données projet'!$E$11+1,1))-AVERAGE(OFFSET($H$3,0,0,'Données projet'!$E$11+1,1))</f>
        <v>261.20475283925128</v>
      </c>
      <c r="BJ6" s="59">
        <f t="shared" si="38"/>
        <v>247.06045079522403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6.1772727272727277</v>
      </c>
      <c r="BY6" s="12">
        <f>IF('Données projet'!$A$114&gt;35,BY5+BX6-CG5,IF(A6&lt;'Données projet'!$A$114,$BV$205^A6,IF(A6='Données projet'!$A$114,'Données projet'!$B$114,BY5+BX6-CG5)))</f>
        <v>1.9538605412305661</v>
      </c>
      <c r="BZ6" s="13">
        <f>BY6*VLOOKUP('Données projet'!$B$12,Paramètres!$A$1:$I$89,3,0)*VLOOKUP('Données projet'!$B$12,Paramètres!$A$1:$I$89,5,0)</f>
        <v>1.1176082295838838</v>
      </c>
      <c r="CA6" s="13">
        <f t="shared" si="39"/>
        <v>0.50841780057959574</v>
      </c>
      <c r="CB6" s="20">
        <f t="shared" si="10"/>
        <v>2.8319953358680601</v>
      </c>
      <c r="CC6" s="59">
        <f t="shared" si="11"/>
        <v>263.16532866920136</v>
      </c>
      <c r="CD6" s="59">
        <f ca="1">AVERAGE(OFFSET($CC$3,0,0,'Données projet'!$E$12+1,1))-AVERAGE(OFFSET($H$3,0,0,'Données projet'!$E$12+1,1))</f>
        <v>268.71706840132384</v>
      </c>
      <c r="CE6" s="59">
        <f t="shared" si="40"/>
        <v>199.92519498289477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4.0628205128205126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1.7166395367408394</v>
      </c>
      <c r="P7" s="13">
        <f t="shared" si="33"/>
        <v>0.74287291975378222</v>
      </c>
      <c r="Q7" s="20">
        <f t="shared" si="2"/>
        <v>4.283650861728133</v>
      </c>
      <c r="R7" s="59">
        <f t="shared" si="0"/>
        <v>265.83920641728366</v>
      </c>
      <c r="S7" s="59">
        <f ca="1">AVERAGE(OFFSET($R$3,0,0,'Données projet'!$E$9+1,1))-AVERAGE(OFFSET($H$3,0,0,'Données projet'!$E$9+1,1))</f>
        <v>384.05928630855732</v>
      </c>
      <c r="T7" s="59">
        <f t="shared" si="34"/>
        <v>279.93992813630513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10.16068376068376</v>
      </c>
      <c r="AI7" s="13">
        <f>IF('Données projet'!$A$62&gt;35,AI6+AH7-AQ6,IF(A7&lt;'Données projet'!$A$62,$AF$205^A7,IF(A7='Données projet'!$A$62,'Données projet'!$B$62,AI6+AH7-AQ6)))</f>
        <v>3.1820727006504042</v>
      </c>
      <c r="AJ7" s="13">
        <f>AI7*VLOOKUP('Données projet'!$B$10,Paramètres!$A$1:$I$89,3,0)*VLOOKUP('Données projet'!$B$10,Paramètres!$A$1:$I$89,5,0)</f>
        <v>1.7787786396635761</v>
      </c>
      <c r="AK7" s="13">
        <f t="shared" si="35"/>
        <v>0.76658405325641277</v>
      </c>
      <c r="AL7" s="20">
        <f t="shared" si="4"/>
        <v>4.4331733568356464</v>
      </c>
      <c r="AM7" s="59">
        <f t="shared" si="5"/>
        <v>265.9887289123912</v>
      </c>
      <c r="AN7" s="59">
        <f ca="1">AVERAGE(OFFSET($AM$3,0,0,'Données projet'!$E$10+1,1))-AVERAGE(OFFSET($H$3,0,0,'Données projet'!$E$10+1,1))</f>
        <v>335.04906256888819</v>
      </c>
      <c r="AO7" s="59">
        <f t="shared" si="36"/>
        <v>440.84111898279554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8.5743589743589741</v>
      </c>
      <c r="BD7" s="12">
        <f>IF('Données projet'!$A$88&gt;35,BD6+BC7-BL6,IF(A7&lt;'Données projet'!$A$88,$BA$205^A7,IF(A7='Données projet'!$A$88,'Données projet'!$B$88,BD6+BC7-BL6)))</f>
        <v>2.6890816659390917</v>
      </c>
      <c r="BE7" s="13">
        <f>BD7*VLOOKUP('Données projet'!$B$11,Paramètres!$A$1:$I$89,3,0)*VLOOKUP('Données projet'!$B$11,Paramètres!$A$1:$I$89,5,0)</f>
        <v>1.1885740963450786</v>
      </c>
      <c r="BF7" s="13">
        <f t="shared" si="37"/>
        <v>0.53684049624139163</v>
      </c>
      <c r="BG7" s="20">
        <f t="shared" si="7"/>
        <v>3.0050970820881022</v>
      </c>
      <c r="BH7" s="59">
        <f t="shared" si="8"/>
        <v>264.56065263764367</v>
      </c>
      <c r="BI7" s="59">
        <f ca="1">AVERAGE(OFFSET($BH$3,0,0,'Données projet'!$E$11+1,1))-AVERAGE(OFFSET($H$3,0,0,'Données projet'!$E$11+1,1))</f>
        <v>261.20475283925128</v>
      </c>
      <c r="BJ7" s="59">
        <f t="shared" si="38"/>
        <v>247.06045079522403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6.1772727272727277</v>
      </c>
      <c r="BY7" s="12">
        <f>IF('Données projet'!$A$114&gt;35,BY6+BX7-CG6,IF(A7&lt;'Données projet'!$A$114,$BV$205^A7,IF(A7='Données projet'!$A$114,'Données projet'!$B$114,BY6+BX7-CG6)))</f>
        <v>2.4426322289897002</v>
      </c>
      <c r="BZ7" s="13">
        <f>BY7*VLOOKUP('Données projet'!$B$12,Paramètres!$A$1:$I$89,3,0)*VLOOKUP('Données projet'!$B$12,Paramètres!$A$1:$I$89,5,0)</f>
        <v>1.3971856349821086</v>
      </c>
      <c r="CA7" s="13">
        <f t="shared" si="39"/>
        <v>0.61929646081130374</v>
      </c>
      <c r="CB7" s="20">
        <f t="shared" si="10"/>
        <v>3.5120396501735258</v>
      </c>
      <c r="CC7" s="59">
        <f t="shared" si="11"/>
        <v>265.06759520572905</v>
      </c>
      <c r="CD7" s="59">
        <f ca="1">AVERAGE(OFFSET($CC$3,0,0,'Données projet'!$E$12+1,1))-AVERAGE(OFFSET($H$3,0,0,'Données projet'!$E$12+1,1))</f>
        <v>268.71706840132384</v>
      </c>
      <c r="CE7" s="59">
        <f t="shared" si="40"/>
        <v>199.92519498289477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4.0628205128205126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2.0147016423000692</v>
      </c>
      <c r="P8" s="13">
        <f t="shared" si="33"/>
        <v>0.85576136422669402</v>
      </c>
      <c r="Q8" s="20">
        <f t="shared" si="2"/>
        <v>4.999389736367446</v>
      </c>
      <c r="R8" s="59">
        <f t="shared" si="0"/>
        <v>267.77716751414522</v>
      </c>
      <c r="S8" s="59">
        <f ca="1">AVERAGE(OFFSET($R$3,0,0,'Données projet'!$E$9+1,1))-AVERAGE(OFFSET($H$3,0,0,'Données projet'!$E$9+1,1))</f>
        <v>384.05928630855732</v>
      </c>
      <c r="T8" s="59">
        <f t="shared" si="34"/>
        <v>279.93992813630513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10.16068376068376</v>
      </c>
      <c r="AI8" s="13">
        <f>IF('Données projet'!$A$62&gt;35,AI7+AH8-AQ7,IF(A8&lt;'Données projet'!$A$62,$AF$205^A8,IF(A8='Données projet'!$A$62,'Données projet'!$B$62,AI7+AH8-AQ7)))</f>
        <v>4.2499872010157462</v>
      </c>
      <c r="AJ8" s="13">
        <f>AI8*VLOOKUP('Données projet'!$B$10,Paramètres!$A$1:$I$89,3,0)*VLOOKUP('Données projet'!$B$10,Paramètres!$A$1:$I$89,5,0)</f>
        <v>2.3757428453678022</v>
      </c>
      <c r="AK8" s="13">
        <f t="shared" si="35"/>
        <v>0.98993901605593615</v>
      </c>
      <c r="AL8" s="20">
        <f t="shared" si="4"/>
        <v>5.8618959086463436</v>
      </c>
      <c r="AM8" s="59">
        <f t="shared" si="5"/>
        <v>268.63967368642409</v>
      </c>
      <c r="AN8" s="59">
        <f ca="1">AVERAGE(OFFSET($AM$3,0,0,'Données projet'!$E$10+1,1))-AVERAGE(OFFSET($H$3,0,0,'Données projet'!$E$10+1,1))</f>
        <v>335.04906256888819</v>
      </c>
      <c r="AO8" s="59">
        <f t="shared" si="36"/>
        <v>440.84111898279554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8.5743589743589741</v>
      </c>
      <c r="BD8" s="12">
        <f>IF('Données projet'!$A$88&gt;35,BD7+BC8-BL7,IF(A8&lt;'Données projet'!$A$88,$BA$205^A8,IF(A8='Données projet'!$A$88,'Données projet'!$B$88,BD7+BC8-BL7)))</f>
        <v>3.4435388704419219</v>
      </c>
      <c r="BE8" s="13">
        <f>BD8*VLOOKUP('Données projet'!$B$11,Paramètres!$A$1:$I$89,3,0)*VLOOKUP('Données projet'!$B$11,Paramètres!$A$1:$I$89,5,0)</f>
        <v>1.5220441807353295</v>
      </c>
      <c r="BF8" s="13">
        <f t="shared" si="37"/>
        <v>0.66795128689031724</v>
      </c>
      <c r="BG8" s="20">
        <f t="shared" si="7"/>
        <v>3.8142421061146679</v>
      </c>
      <c r="BH8" s="59">
        <f t="shared" si="8"/>
        <v>266.59201988389242</v>
      </c>
      <c r="BI8" s="59">
        <f ca="1">AVERAGE(OFFSET($BH$3,0,0,'Données projet'!$E$11+1,1))-AVERAGE(OFFSET($H$3,0,0,'Données projet'!$E$11+1,1))</f>
        <v>261.20475283925128</v>
      </c>
      <c r="BJ8" s="59">
        <f t="shared" si="38"/>
        <v>247.06045079522403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6.1772727272727277</v>
      </c>
      <c r="BY8" s="12">
        <f>IF('Données projet'!$A$114&gt;35,BY7+BX8-CG7,IF(A8&lt;'Données projet'!$A$114,$BV$205^A8,IF(A8='Données projet'!$A$114,'Données projet'!$B$114,BY7+BX8-CG7)))</f>
        <v>3.0536735248982732</v>
      </c>
      <c r="BZ8" s="13">
        <f>BY8*VLOOKUP('Données projet'!$B$12,Paramètres!$A$1:$I$89,3,0)*VLOOKUP('Données projet'!$B$12,Paramètres!$A$1:$I$89,5,0)</f>
        <v>1.7467012562418123</v>
      </c>
      <c r="CA8" s="13">
        <f t="shared" si="39"/>
        <v>0.75435617308478387</v>
      </c>
      <c r="CB8" s="20">
        <f t="shared" si="10"/>
        <v>4.3560083560771545</v>
      </c>
      <c r="CC8" s="59">
        <f t="shared" si="11"/>
        <v>267.13378613385493</v>
      </c>
      <c r="CD8" s="59">
        <f ca="1">AVERAGE(OFFSET($CC$3,0,0,'Données projet'!$E$12+1,1))-AVERAGE(OFFSET($H$3,0,0,'Données projet'!$E$12+1,1))</f>
        <v>268.71706840132384</v>
      </c>
      <c r="CE8" s="59">
        <f t="shared" si="40"/>
        <v>199.92519498289477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4.0628205128205126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2.3645166155225201</v>
      </c>
      <c r="P9" s="13">
        <f t="shared" si="33"/>
        <v>0.98580456095486013</v>
      </c>
      <c r="Q9" s="20">
        <f t="shared" si="2"/>
        <v>5.8351427156981037</v>
      </c>
      <c r="R9" s="59">
        <f t="shared" si="0"/>
        <v>269.83514271569811</v>
      </c>
      <c r="S9" s="59">
        <f ca="1">AVERAGE(OFFSET($R$3,0,0,'Données projet'!$E$9+1,1))-AVERAGE(OFFSET($H$3,0,0,'Données projet'!$E$9+1,1))</f>
        <v>384.05928630855732</v>
      </c>
      <c r="T9" s="59">
        <f t="shared" si="34"/>
        <v>279.93992813630513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10.16068376068376</v>
      </c>
      <c r="AI9" s="13">
        <f>IF('Données projet'!$A$62&gt;35,AI8+AH9-AQ8,IF(A9&lt;'Données projet'!$A$62,$AF$205^A9,IF(A9='Données projet'!$A$62,'Données projet'!$B$62,AI8+AH9-AQ8)))</f>
        <v>5.6762974664613317</v>
      </c>
      <c r="AJ9" s="13">
        <f>AI9*VLOOKUP('Données projet'!$B$10,Paramètres!$A$1:$I$89,3,0)*VLOOKUP('Données projet'!$B$10,Paramètres!$A$1:$I$89,5,0)</f>
        <v>3.1730502837518846</v>
      </c>
      <c r="AK9" s="13">
        <f t="shared" si="35"/>
        <v>1.27837156453606</v>
      </c>
      <c r="AL9" s="20">
        <f t="shared" si="4"/>
        <v>7.7528930524348363</v>
      </c>
      <c r="AM9" s="59">
        <f t="shared" si="5"/>
        <v>271.75289305243484</v>
      </c>
      <c r="AN9" s="59">
        <f ca="1">AVERAGE(OFFSET($AM$3,0,0,'Données projet'!$E$10+1,1))-AVERAGE(OFFSET($H$3,0,0,'Données projet'!$E$10+1,1))</f>
        <v>335.04906256888819</v>
      </c>
      <c r="AO9" s="59">
        <f t="shared" si="36"/>
        <v>440.84111898279554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8.5743589743589741</v>
      </c>
      <c r="BD9" s="12">
        <f>IF('Données projet'!$A$88&gt;35,BD8+BC9-BL8,IF(A9&lt;'Données projet'!$A$88,$BA$205^A9,IF(A9='Données projet'!$A$88,'Données projet'!$B$88,BD8+BC9-BL8)))</f>
        <v>4.4096689596458729</v>
      </c>
      <c r="BE9" s="13">
        <f>BD9*VLOOKUP('Données projet'!$B$11,Paramètres!$A$1:$I$89,3,0)*VLOOKUP('Données projet'!$B$11,Paramètres!$A$1:$I$89,5,0)</f>
        <v>1.949073680163476</v>
      </c>
      <c r="BF9" s="13">
        <f t="shared" si="37"/>
        <v>0.8310828351850239</v>
      </c>
      <c r="BG9" s="20">
        <f t="shared" si="7"/>
        <v>4.8421059308986374</v>
      </c>
      <c r="BH9" s="59">
        <f t="shared" si="8"/>
        <v>268.84210593089864</v>
      </c>
      <c r="BI9" s="59">
        <f ca="1">AVERAGE(OFFSET($BH$3,0,0,'Données projet'!$E$11+1,1))-AVERAGE(OFFSET($H$3,0,0,'Données projet'!$E$11+1,1))</f>
        <v>261.20475283925128</v>
      </c>
      <c r="BJ9" s="59">
        <f t="shared" si="38"/>
        <v>247.06045079522403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6.1772727272727277</v>
      </c>
      <c r="BY9" s="12">
        <f>IF('Données projet'!$A$114&gt;35,BY8+BX9-CG8,IF(A9&lt;'Données projet'!$A$114,$BV$205^A9,IF(A9='Données projet'!$A$114,'Données projet'!$B$114,BY8+BX9-CG8)))</f>
        <v>3.8175710145778012</v>
      </c>
      <c r="BZ9" s="13">
        <f>BY9*VLOOKUP('Données projet'!$B$12,Paramètres!$A$1:$I$89,3,0)*VLOOKUP('Données projet'!$B$12,Paramètres!$A$1:$I$89,5,0)</f>
        <v>2.1836506203385024</v>
      </c>
      <c r="CA9" s="13">
        <f t="shared" si="39"/>
        <v>0.91887047945605471</v>
      </c>
      <c r="CB9" s="20">
        <f t="shared" si="10"/>
        <v>5.4035575821421871</v>
      </c>
      <c r="CC9" s="59">
        <f t="shared" si="11"/>
        <v>269.40355758214218</v>
      </c>
      <c r="CD9" s="59">
        <f ca="1">AVERAGE(OFFSET($CC$3,0,0,'Données projet'!$E$12+1,1))-AVERAGE(OFFSET($H$3,0,0,'Données projet'!$E$12+1,1))</f>
        <v>268.71706840132384</v>
      </c>
      <c r="CE9" s="59">
        <f t="shared" si="40"/>
        <v>199.92519498289477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4.0628205128205126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2.775070366597419</v>
      </c>
      <c r="P10" s="13">
        <f t="shared" si="33"/>
        <v>1.1356093801659046</v>
      </c>
      <c r="Q10" s="20">
        <f t="shared" si="2"/>
        <v>6.811100558946122</v>
      </c>
      <c r="R10" s="59">
        <f t="shared" si="0"/>
        <v>272.03332278116835</v>
      </c>
      <c r="S10" s="59">
        <f ca="1">AVERAGE(OFFSET($R$3,0,0,'Données projet'!$E$9+1,1))-AVERAGE(OFFSET($H$3,0,0,'Données projet'!$E$9+1,1))</f>
        <v>384.05928630855732</v>
      </c>
      <c r="T10" s="59">
        <f t="shared" si="34"/>
        <v>279.93992813630513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10.16068376068376</v>
      </c>
      <c r="AI10" s="13">
        <f>IF('Données projet'!$A$62&gt;35,AI9+AH10-AQ9,IF(A10&lt;'Données projet'!$A$62,$AF$205^A10,IF(A10='Données projet'!$A$62,'Données projet'!$B$62,AI9+AH10-AQ9)))</f>
        <v>7.5812823436396872</v>
      </c>
      <c r="AJ10" s="13">
        <f>AI10*VLOOKUP('Données projet'!$B$10,Paramètres!$A$1:$I$89,3,0)*VLOOKUP('Données projet'!$B$10,Paramètres!$A$1:$I$89,5,0)</f>
        <v>4.2379368300945854</v>
      </c>
      <c r="AK10" s="13">
        <f t="shared" si="35"/>
        <v>1.6508429615446465</v>
      </c>
      <c r="AL10" s="20">
        <f t="shared" si="4"/>
        <v>10.256291470438329</v>
      </c>
      <c r="AM10" s="59">
        <f t="shared" si="5"/>
        <v>275.47851369266056</v>
      </c>
      <c r="AN10" s="59">
        <f ca="1">AVERAGE(OFFSET($AM$3,0,0,'Données projet'!$E$10+1,1))-AVERAGE(OFFSET($H$3,0,0,'Données projet'!$E$10+1,1))</f>
        <v>335.04906256888819</v>
      </c>
      <c r="AO10" s="59">
        <f t="shared" si="36"/>
        <v>440.84111898279554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8.5743589743589741</v>
      </c>
      <c r="BD10" s="12">
        <f>IF('Données projet'!$A$88&gt;35,BD9+BC10-BL9,IF(A10&lt;'Données projet'!$A$88,$BA$205^A10,IF(A10='Données projet'!$A$88,'Données projet'!$B$88,BD9+BC10-BL9)))</f>
        <v>5.6468595434117601</v>
      </c>
      <c r="BE10" s="13">
        <f>BD10*VLOOKUP('Données projet'!$B$11,Paramètres!$A$1:$I$89,3,0)*VLOOKUP('Données projet'!$B$11,Paramètres!$A$1:$I$89,5,0)</f>
        <v>2.4959119181879985</v>
      </c>
      <c r="BF10" s="13">
        <f t="shared" si="37"/>
        <v>1.0340554655636074</v>
      </c>
      <c r="BG10" s="20">
        <f t="shared" si="7"/>
        <v>6.1480265267007121</v>
      </c>
      <c r="BH10" s="59">
        <f t="shared" si="8"/>
        <v>271.37024874892296</v>
      </c>
      <c r="BI10" s="59">
        <f ca="1">AVERAGE(OFFSET($BH$3,0,0,'Données projet'!$E$11+1,1))-AVERAGE(OFFSET($H$3,0,0,'Données projet'!$E$11+1,1))</f>
        <v>261.20475283925128</v>
      </c>
      <c r="BJ10" s="59">
        <f t="shared" si="38"/>
        <v>247.06045079522403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6.1772727272727277</v>
      </c>
      <c r="BY10" s="12">
        <f>IF('Données projet'!$A$114&gt;35,BY9+BX10-CG9,IF(A10&lt;'Données projet'!$A$114,$BV$205^A10,IF(A10='Données projet'!$A$114,'Données projet'!$B$114,BY9+BX10-CG9)))</f>
        <v>4.7725627289610397</v>
      </c>
      <c r="BZ10" s="13">
        <f>BY10*VLOOKUP('Données projet'!$B$12,Paramètres!$A$1:$I$89,3,0)*VLOOKUP('Données projet'!$B$12,Paramètres!$A$1:$I$89,5,0)</f>
        <v>2.7299058809657146</v>
      </c>
      <c r="CA10" s="13">
        <f t="shared" si="39"/>
        <v>1.1192630061779905</v>
      </c>
      <c r="CB10" s="20">
        <f t="shared" si="10"/>
        <v>6.7039691451086192</v>
      </c>
      <c r="CC10" s="59">
        <f t="shared" si="11"/>
        <v>271.92619136733083</v>
      </c>
      <c r="CD10" s="59">
        <f ca="1">AVERAGE(OFFSET($CC$3,0,0,'Données projet'!$E$12+1,1))-AVERAGE(OFFSET($H$3,0,0,'Données projet'!$E$12+1,1))</f>
        <v>268.71706840132384</v>
      </c>
      <c r="CE10" s="59">
        <f t="shared" si="40"/>
        <v>199.92519498289477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4.0628205128205126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3.2569090396792704</v>
      </c>
      <c r="P11" s="13">
        <f t="shared" si="33"/>
        <v>1.3081788372653314</v>
      </c>
      <c r="Q11" s="20">
        <f t="shared" si="2"/>
        <v>7.9508613856785146</v>
      </c>
      <c r="R11" s="59">
        <f t="shared" si="0"/>
        <v>274.39530583012299</v>
      </c>
      <c r="S11" s="59">
        <f ca="1">AVERAGE(OFFSET($R$3,0,0,'Données projet'!$E$9+1,1))-AVERAGE(OFFSET($H$3,0,0,'Données projet'!$E$9+1,1))</f>
        <v>384.05928630855732</v>
      </c>
      <c r="T11" s="59">
        <f t="shared" si="34"/>
        <v>279.93992813630513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10.16068376068376</v>
      </c>
      <c r="AI11" s="13">
        <f>IF('Données projet'!$A$62&gt;35,AI10+AH11-AQ10,IF(A11&lt;'Données projet'!$A$62,$AF$205^A11,IF(A11='Données projet'!$A$62,'Données projet'!$B$62,AI10+AH11-AQ10)))</f>
        <v>10.125586672224557</v>
      </c>
      <c r="AJ11" s="13">
        <f>AI11*VLOOKUP('Données projet'!$B$10,Paramètres!$A$1:$I$89,3,0)*VLOOKUP('Données projet'!$B$10,Paramètres!$A$1:$I$89,5,0)</f>
        <v>5.6602029497735273</v>
      </c>
      <c r="AK11" s="13">
        <f t="shared" si="35"/>
        <v>2.1318390984944533</v>
      </c>
      <c r="AL11" s="20">
        <f t="shared" si="4"/>
        <v>13.571139900733398</v>
      </c>
      <c r="AM11" s="59">
        <f t="shared" si="5"/>
        <v>280.01558434517784</v>
      </c>
      <c r="AN11" s="59">
        <f ca="1">AVERAGE(OFFSET($AM$3,0,0,'Données projet'!$E$10+1,1))-AVERAGE(OFFSET($H$3,0,0,'Données projet'!$E$10+1,1))</f>
        <v>335.04906256888819</v>
      </c>
      <c r="AO11" s="59">
        <f t="shared" si="36"/>
        <v>440.84111898279554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8.5743589743589741</v>
      </c>
      <c r="BD11" s="12">
        <f>IF('Données projet'!$A$88&gt;35,BD10+BC11-BL10,IF(A11&lt;'Données projet'!$A$88,$BA$205^A11,IF(A11='Données projet'!$A$88,'Données projet'!$B$88,BD10+BC11-BL10)))</f>
        <v>7.2311602060897604</v>
      </c>
      <c r="BE11" s="13">
        <f>BD11*VLOOKUP('Données projet'!$B$11,Paramètres!$A$1:$I$89,3,0)*VLOOKUP('Données projet'!$B$11,Paramètres!$A$1:$I$89,5,0)</f>
        <v>3.1961728110916745</v>
      </c>
      <c r="BF11" s="13">
        <f t="shared" si="37"/>
        <v>1.2865994346086056</v>
      </c>
      <c r="BG11" s="20">
        <f t="shared" si="7"/>
        <v>7.807494994594653</v>
      </c>
      <c r="BH11" s="59">
        <f t="shared" si="8"/>
        <v>274.25193943903912</v>
      </c>
      <c r="BI11" s="59">
        <f ca="1">AVERAGE(OFFSET($BH$3,0,0,'Données projet'!$E$11+1,1))-AVERAGE(OFFSET($H$3,0,0,'Données projet'!$E$11+1,1))</f>
        <v>261.20475283925128</v>
      </c>
      <c r="BJ11" s="59">
        <f t="shared" si="38"/>
        <v>247.06045079522403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6.1772727272727277</v>
      </c>
      <c r="BY11" s="12">
        <f>IF('Données projet'!$A$114&gt;35,BY10+BX11-CG10,IF(A11&lt;'Données projet'!$A$114,$BV$205^A11,IF(A11='Données projet'!$A$114,'Données projet'!$B$114,BY10+BX11-CG10)))</f>
        <v>5.9664522060991914</v>
      </c>
      <c r="BZ11" s="13">
        <f>BY11*VLOOKUP('Données projet'!$B$12,Paramètres!$A$1:$I$89,3,0)*VLOOKUP('Données projet'!$B$12,Paramètres!$A$1:$I$89,5,0)</f>
        <v>3.4128106618887375</v>
      </c>
      <c r="CA11" s="13">
        <f t="shared" si="39"/>
        <v>1.3633582806362274</v>
      </c>
      <c r="CB11" s="20">
        <f t="shared" si="10"/>
        <v>8.3184942415643128</v>
      </c>
      <c r="CC11" s="59">
        <f t="shared" si="11"/>
        <v>274.76293868600879</v>
      </c>
      <c r="CD11" s="59">
        <f ca="1">AVERAGE(OFFSET($CC$3,0,0,'Données projet'!$E$12+1,1))-AVERAGE(OFFSET($H$3,0,0,'Données projet'!$E$12+1,1))</f>
        <v>268.71706840132384</v>
      </c>
      <c r="CE11" s="59">
        <f t="shared" si="40"/>
        <v>199.92519498289477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4.0628205128205126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3.822409918113395</v>
      </c>
      <c r="P12" s="13">
        <f t="shared" si="33"/>
        <v>1.5069722918446318</v>
      </c>
      <c r="Q12" s="20">
        <f t="shared" si="2"/>
        <v>9.2820073490102306</v>
      </c>
      <c r="R12" s="59">
        <f t="shared" si="0"/>
        <v>276.94867401567694</v>
      </c>
      <c r="S12" s="59">
        <f ca="1">AVERAGE(OFFSET($R$3,0,0,'Données projet'!$E$9+1,1))-AVERAGE(OFFSET($H$3,0,0,'Données projet'!$E$9+1,1))</f>
        <v>384.05928630855732</v>
      </c>
      <c r="T12" s="59">
        <f t="shared" si="34"/>
        <v>279.93992813630513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10.16068376068376</v>
      </c>
      <c r="AI12" s="13">
        <f>IF('Données projet'!$A$62&gt;35,AI11+AH12-AQ11,IF(A12&lt;'Données projet'!$A$62,$AF$205^A12,IF(A12='Données projet'!$A$62,'Données projet'!$B$62,AI11+AH12-AQ11)))</f>
        <v>13.523768250465828</v>
      </c>
      <c r="AJ12" s="13">
        <f>AI12*VLOOKUP('Données projet'!$B$10,Paramètres!$A$1:$I$89,3,0)*VLOOKUP('Données projet'!$B$10,Paramètres!$A$1:$I$89,5,0)</f>
        <v>7.5597864520103979</v>
      </c>
      <c r="AK12" s="13">
        <f t="shared" si="35"/>
        <v>2.7529801730003816</v>
      </c>
      <c r="AL12" s="20">
        <f t="shared" si="4"/>
        <v>17.961401871893774</v>
      </c>
      <c r="AM12" s="59">
        <f t="shared" si="5"/>
        <v>285.62806853856046</v>
      </c>
      <c r="AN12" s="59">
        <f ca="1">AVERAGE(OFFSET($AM$3,0,0,'Données projet'!$E$10+1,1))-AVERAGE(OFFSET($H$3,0,0,'Données projet'!$E$10+1,1))</f>
        <v>335.04906256888819</v>
      </c>
      <c r="AO12" s="59">
        <f t="shared" si="36"/>
        <v>440.84111898279554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8.5743589743589741</v>
      </c>
      <c r="BD12" s="12">
        <f>IF('Données projet'!$A$88&gt;35,BD11+BC12-BL11,IF(A12&lt;'Données projet'!$A$88,$BA$205^A12,IF(A12='Données projet'!$A$88,'Données projet'!$B$88,BD11+BC12-BL11)))</f>
        <v>9.2599572424539804</v>
      </c>
      <c r="BE12" s="13">
        <f>BD12*VLOOKUP('Données projet'!$B$11,Paramètres!$A$1:$I$89,3,0)*VLOOKUP('Données projet'!$B$11,Paramètres!$A$1:$I$89,5,0)</f>
        <v>4.0929011011646601</v>
      </c>
      <c r="BF12" s="13">
        <f t="shared" si="37"/>
        <v>1.6008213874997013</v>
      </c>
      <c r="BG12" s="20">
        <f t="shared" si="7"/>
        <v>9.9165666677570972</v>
      </c>
      <c r="BH12" s="59">
        <f t="shared" si="8"/>
        <v>277.58323333442377</v>
      </c>
      <c r="BI12" s="59">
        <f ca="1">AVERAGE(OFFSET($BH$3,0,0,'Données projet'!$E$11+1,1))-AVERAGE(OFFSET($H$3,0,0,'Données projet'!$E$11+1,1))</f>
        <v>261.20475283925128</v>
      </c>
      <c r="BJ12" s="59">
        <f t="shared" si="38"/>
        <v>247.06045079522403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6.1772727272727277</v>
      </c>
      <c r="BY12" s="12">
        <f>IF('Données projet'!$A$114&gt;35,BY11+BX12-CG11,IF(A12&lt;'Données projet'!$A$114,$BV$205^A12,IF(A12='Données projet'!$A$114,'Données projet'!$B$114,BY11+BX12-CG11)))</f>
        <v>7.4590013687291039</v>
      </c>
      <c r="BZ12" s="13">
        <f>BY12*VLOOKUP('Données projet'!$B$12,Paramètres!$A$1:$I$89,3,0)*VLOOKUP('Données projet'!$B$12,Paramètres!$A$1:$I$89,5,0)</f>
        <v>4.2665487829130475</v>
      </c>
      <c r="CA12" s="13">
        <f t="shared" si="39"/>
        <v>1.6606872478762005</v>
      </c>
      <c r="CB12" s="20">
        <f t="shared" si="10"/>
        <v>10.323269420291274</v>
      </c>
      <c r="CC12" s="59">
        <f t="shared" si="11"/>
        <v>277.98993608695798</v>
      </c>
      <c r="CD12" s="59">
        <f ca="1">AVERAGE(OFFSET($CC$3,0,0,'Données projet'!$E$12+1,1))-AVERAGE(OFFSET($H$3,0,0,'Données projet'!$E$12+1,1))</f>
        <v>268.71706840132384</v>
      </c>
      <c r="CE12" s="59">
        <f t="shared" si="40"/>
        <v>199.92519498289477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4.0628205128205126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4.4860993672486709</v>
      </c>
      <c r="P13" s="13">
        <f t="shared" si="33"/>
        <v>1.7359747946502311</v>
      </c>
      <c r="Q13" s="20">
        <f t="shared" si="2"/>
        <v>10.836779165307254</v>
      </c>
      <c r="R13" s="59">
        <f t="shared" si="0"/>
        <v>279.72566805419609</v>
      </c>
      <c r="S13" s="59">
        <f ca="1">AVERAGE(OFFSET($R$3,0,0,'Données projet'!$E$9+1,1))-AVERAGE(OFFSET($H$3,0,0,'Données projet'!$E$9+1,1))</f>
        <v>384.05928630855732</v>
      </c>
      <c r="T13" s="59">
        <f t="shared" si="34"/>
        <v>279.93992813630513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10.16068376068376</v>
      </c>
      <c r="AI13" s="13">
        <f>IF('Données projet'!$A$62&gt;35,AI12+AH13-AQ12,IF(A13&lt;'Données projet'!$A$62,$AF$205^A13,IF(A13='Données projet'!$A$62,'Données projet'!$B$62,AI12+AH13-AQ12)))</f>
        <v>18.062391208797656</v>
      </c>
      <c r="AJ13" s="13">
        <f>AI13*VLOOKUP('Données projet'!$B$10,Paramètres!$A$1:$I$89,3,0)*VLOOKUP('Données projet'!$B$10,Paramètres!$A$1:$I$89,5,0)</f>
        <v>10.09687668571789</v>
      </c>
      <c r="AK13" s="13">
        <f t="shared" si="35"/>
        <v>3.5550993685619052</v>
      </c>
      <c r="AL13" s="20">
        <f t="shared" si="4"/>
        <v>23.777191627870639</v>
      </c>
      <c r="AM13" s="59">
        <f t="shared" si="5"/>
        <v>292.66608051675951</v>
      </c>
      <c r="AN13" s="59">
        <f ca="1">AVERAGE(OFFSET($AM$3,0,0,'Données projet'!$E$10+1,1))-AVERAGE(OFFSET($H$3,0,0,'Données projet'!$E$10+1,1))</f>
        <v>335.04906256888819</v>
      </c>
      <c r="AO13" s="59">
        <f t="shared" si="36"/>
        <v>440.84111898279554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8.5743589743589741</v>
      </c>
      <c r="BD13" s="12">
        <f>IF('Données projet'!$A$88&gt;35,BD12+BC13-BL12,IF(A13&lt;'Données projet'!$A$88,$BA$205^A13,IF(A13='Données projet'!$A$88,'Données projet'!$B$88,BD12+BC13-BL12)))</f>
        <v>11.857959952244427</v>
      </c>
      <c r="BE13" s="13">
        <f>BD13*VLOOKUP('Données projet'!$B$11,Paramètres!$A$1:$I$89,3,0)*VLOOKUP('Données projet'!$B$11,Paramètres!$A$1:$I$89,5,0)</f>
        <v>5.2412182988920373</v>
      </c>
      <c r="BF13" s="13">
        <f t="shared" si="37"/>
        <v>1.9917847355933602</v>
      </c>
      <c r="BG13" s="20">
        <f t="shared" si="7"/>
        <v>12.597480285062067</v>
      </c>
      <c r="BH13" s="59">
        <f t="shared" si="8"/>
        <v>281.48636917395095</v>
      </c>
      <c r="BI13" s="59">
        <f ca="1">AVERAGE(OFFSET($BH$3,0,0,'Données projet'!$E$11+1,1))-AVERAGE(OFFSET($H$3,0,0,'Données projet'!$E$11+1,1))</f>
        <v>261.20475283925128</v>
      </c>
      <c r="BJ13" s="59">
        <f t="shared" si="38"/>
        <v>247.06045079522403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6.1772727272727277</v>
      </c>
      <c r="BY13" s="12">
        <f>IF('Données projet'!$A$114&gt;35,BY12+BX13-CG12,IF(A13&lt;'Données projet'!$A$114,$BV$205^A13,IF(A13='Données projet'!$A$114,'Données projet'!$B$114,BY12+BX13-CG12)))</f>
        <v>9.3249219966646457</v>
      </c>
      <c r="BZ13" s="13">
        <f>BY13*VLOOKUP('Données projet'!$B$12,Paramètres!$A$1:$I$89,3,0)*VLOOKUP('Données projet'!$B$12,Paramètres!$A$1:$I$89,5,0)</f>
        <v>5.3338553820921772</v>
      </c>
      <c r="CA13" s="13">
        <f t="shared" si="39"/>
        <v>2.0228594159208324</v>
      </c>
      <c r="CB13" s="20">
        <f t="shared" si="10"/>
        <v>12.812944939872658</v>
      </c>
      <c r="CC13" s="59">
        <f t="shared" si="11"/>
        <v>281.70183382876149</v>
      </c>
      <c r="CD13" s="59">
        <f ca="1">AVERAGE(OFFSET($CC$3,0,0,'Données projet'!$E$12+1,1))-AVERAGE(OFFSET($H$3,0,0,'Données projet'!$E$12+1,1))</f>
        <v>268.71706840132384</v>
      </c>
      <c r="CE13" s="59">
        <f t="shared" si="40"/>
        <v>199.92519498289477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4.0628205128205126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5.2650259820280993</v>
      </c>
      <c r="P14" s="13">
        <f t="shared" si="33"/>
        <v>1.9997769726555885</v>
      </c>
      <c r="Q14" s="20">
        <f t="shared" si="2"/>
        <v>12.65286514607409</v>
      </c>
      <c r="R14" s="59">
        <f t="shared" si="0"/>
        <v>282.76397625718522</v>
      </c>
      <c r="S14" s="59">
        <f ca="1">AVERAGE(OFFSET($R$3,0,0,'Données projet'!$E$9+1,1))-AVERAGE(OFFSET($H$3,0,0,'Données projet'!$E$9+1,1))</f>
        <v>384.05928630855732</v>
      </c>
      <c r="T14" s="59">
        <f t="shared" si="34"/>
        <v>279.93992813630513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10.16068376068376</v>
      </c>
      <c r="AI14" s="13">
        <f>IF('Données projet'!$A$62&gt;35,AI13+AH14-AQ13,IF(A14&lt;'Données projet'!$A$62,$AF$205^A14,IF(A14='Données projet'!$A$62,'Données projet'!$B$62,AI13+AH14-AQ13)))</f>
        <v>24.124191581618767</v>
      </c>
      <c r="AJ14" s="13">
        <f>AI14*VLOOKUP('Données projet'!$B$10,Paramètres!$A$1:$I$89,3,0)*VLOOKUP('Données projet'!$B$10,Paramètres!$A$1:$I$89,5,0)</f>
        <v>13.48542309412489</v>
      </c>
      <c r="AK14" s="13">
        <f t="shared" si="35"/>
        <v>4.5909271865822117</v>
      </c>
      <c r="AL14" s="20">
        <f t="shared" si="4"/>
        <v>31.482976738898202</v>
      </c>
      <c r="AM14" s="59">
        <f t="shared" si="5"/>
        <v>301.59408785000937</v>
      </c>
      <c r="AN14" s="59">
        <f ca="1">AVERAGE(OFFSET($AM$3,0,0,'Données projet'!$E$10+1,1))-AVERAGE(OFFSET($H$3,0,0,'Données projet'!$E$10+1,1))</f>
        <v>335.04906256888819</v>
      </c>
      <c r="AO14" s="59">
        <f t="shared" si="36"/>
        <v>440.84111898279554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8.5743589743589741</v>
      </c>
      <c r="BD14" s="12">
        <f>IF('Données projet'!$A$88&gt;35,BD13+BC14-BL13,IF(A14&lt;'Données projet'!$A$88,$BA$205^A14,IF(A14='Données projet'!$A$88,'Données projet'!$B$88,BD13+BC14-BL13)))</f>
        <v>15.184866468321752</v>
      </c>
      <c r="BE14" s="13">
        <f>BD14*VLOOKUP('Données projet'!$B$11,Paramètres!$A$1:$I$89,3,0)*VLOOKUP('Données projet'!$B$11,Paramètres!$A$1:$I$89,5,0)</f>
        <v>6.711710978998215</v>
      </c>
      <c r="BF14" s="13">
        <f t="shared" si="37"/>
        <v>2.4782317777119607</v>
      </c>
      <c r="BG14" s="20">
        <f t="shared" si="7"/>
        <v>16.005816967936891</v>
      </c>
      <c r="BH14" s="59">
        <f t="shared" si="8"/>
        <v>286.11692807904802</v>
      </c>
      <c r="BI14" s="59">
        <f ca="1">AVERAGE(OFFSET($BH$3,0,0,'Données projet'!$E$11+1,1))-AVERAGE(OFFSET($H$3,0,0,'Données projet'!$E$11+1,1))</f>
        <v>261.20475283925128</v>
      </c>
      <c r="BJ14" s="59">
        <f t="shared" si="38"/>
        <v>247.06045079522403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6.1772727272727277</v>
      </c>
      <c r="BY14" s="12">
        <f>IF('Données projet'!$A$114&gt;35,BY13+BX14-CG13,IF(A14&lt;'Données projet'!$A$114,$BV$205^A14,IF(A14='Données projet'!$A$114,'Données projet'!$B$114,BY13+BX14-CG13)))</f>
        <v>11.657615536635271</v>
      </c>
      <c r="BZ14" s="13">
        <f>BY14*VLOOKUP('Données projet'!$B$12,Paramètres!$A$1:$I$89,3,0)*VLOOKUP('Données projet'!$B$12,Paramètres!$A$1:$I$89,5,0)</f>
        <v>6.6681560869553751</v>
      </c>
      <c r="CA14" s="13">
        <f t="shared" si="39"/>
        <v>2.4640161606664033</v>
      </c>
      <c r="CB14" s="20">
        <f t="shared" si="10"/>
        <v>15.905199997941262</v>
      </c>
      <c r="CC14" s="59">
        <f t="shared" si="11"/>
        <v>286.01631110905242</v>
      </c>
      <c r="CD14" s="59">
        <f ca="1">AVERAGE(OFFSET($CC$3,0,0,'Données projet'!$E$12+1,1))-AVERAGE(OFFSET($H$3,0,0,'Données projet'!$E$12+1,1))</f>
        <v>268.71706840132384</v>
      </c>
      <c r="CE14" s="59">
        <f t="shared" si="40"/>
        <v>199.92519498289477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4.0628205128205126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6.1791985246265195</v>
      </c>
      <c r="P15" s="13">
        <f t="shared" si="33"/>
        <v>2.3036670536275285</v>
      </c>
      <c r="Q15" s="20">
        <f t="shared" si="2"/>
        <v>14.774324215459131</v>
      </c>
      <c r="R15" s="59">
        <f t="shared" si="0"/>
        <v>286.10765754879242</v>
      </c>
      <c r="S15" s="59">
        <f ca="1">AVERAGE(OFFSET($R$3,0,0,'Données projet'!$E$9+1,1))-AVERAGE(OFFSET($H$3,0,0,'Données projet'!$E$9+1,1))</f>
        <v>384.05928630855732</v>
      </c>
      <c r="T15" s="59">
        <f t="shared" si="34"/>
        <v>279.93992813630513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10.16068376068376</v>
      </c>
      <c r="AI15" s="13">
        <f>IF('Données projet'!$A$62&gt;35,AI14+AH15-AQ14,IF(A15&lt;'Données projet'!$A$62,$AF$205^A15,IF(A15='Données projet'!$A$62,'Données projet'!$B$62,AI14+AH15-AQ14)))</f>
        <v>32.220352927755336</v>
      </c>
      <c r="AJ15" s="13">
        <f>AI15*VLOOKUP('Données projet'!$B$10,Paramètres!$A$1:$I$89,3,0)*VLOOKUP('Données projet'!$B$10,Paramètres!$A$1:$I$89,5,0)</f>
        <v>18.011177286615233</v>
      </c>
      <c r="AK15" s="13">
        <f t="shared" si="35"/>
        <v>5.9285578959851977</v>
      </c>
      <c r="AL15" s="20">
        <f t="shared" si="4"/>
        <v>41.695038776362409</v>
      </c>
      <c r="AM15" s="59">
        <f t="shared" si="5"/>
        <v>313.02837210969574</v>
      </c>
      <c r="AN15" s="59">
        <f ca="1">AVERAGE(OFFSET($AM$3,0,0,'Données projet'!$E$10+1,1))-AVERAGE(OFFSET($H$3,0,0,'Données projet'!$E$10+1,1))</f>
        <v>335.04906256888819</v>
      </c>
      <c r="AO15" s="59">
        <f t="shared" si="36"/>
        <v>440.84111898279554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8.5743589743589741</v>
      </c>
      <c r="BD15" s="12">
        <f>IF('Données projet'!$A$88&gt;35,BD14+BC15-BL14,IF(A15&lt;'Données projet'!$A$88,$BA$205^A15,IF(A15='Données projet'!$A$88,'Données projet'!$B$88,BD14+BC15-BL14)))</f>
        <v>19.445180333664318</v>
      </c>
      <c r="BE15" s="13">
        <f>BD15*VLOOKUP('Données projet'!$B$11,Paramètres!$A$1:$I$89,3,0)*VLOOKUP('Données projet'!$B$11,Paramètres!$A$1:$I$89,5,0)</f>
        <v>8.5947697074796299</v>
      </c>
      <c r="BF15" s="13">
        <f t="shared" si="37"/>
        <v>3.083482182742892</v>
      </c>
      <c r="BG15" s="20">
        <f t="shared" si="7"/>
        <v>20.33962204213756</v>
      </c>
      <c r="BH15" s="59">
        <f t="shared" si="8"/>
        <v>291.67295537547085</v>
      </c>
      <c r="BI15" s="59">
        <f ca="1">AVERAGE(OFFSET($BH$3,0,0,'Données projet'!$E$11+1,1))-AVERAGE(OFFSET($H$3,0,0,'Données projet'!$E$11+1,1))</f>
        <v>261.20475283925128</v>
      </c>
      <c r="BJ15" s="59">
        <f t="shared" si="38"/>
        <v>247.06045079522403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6.1772727272727277</v>
      </c>
      <c r="BY15" s="12">
        <f>IF('Données projet'!$A$114&gt;35,BY14+BX15-CG14,IF(A15&lt;'Données projet'!$A$114,$BV$205^A15,IF(A15='Données projet'!$A$114,'Données projet'!$B$114,BY14+BX15-CG14)))</f>
        <v>14.573848451344583</v>
      </c>
      <c r="BZ15" s="13">
        <f>BY15*VLOOKUP('Données projet'!$B$12,Paramètres!$A$1:$I$89,3,0)*VLOOKUP('Données projet'!$B$12,Paramètres!$A$1:$I$89,5,0)</f>
        <v>8.3362413141691025</v>
      </c>
      <c r="CA15" s="13">
        <f t="shared" si="39"/>
        <v>3.0013828901013531</v>
      </c>
      <c r="CB15" s="20">
        <f t="shared" si="10"/>
        <v>19.746362155771042</v>
      </c>
      <c r="CC15" s="59">
        <f t="shared" si="11"/>
        <v>291.07969548910438</v>
      </c>
      <c r="CD15" s="59">
        <f ca="1">AVERAGE(OFFSET($CC$3,0,0,'Données projet'!$E$12+1,1))-AVERAGE(OFFSET($H$3,0,0,'Données projet'!$E$12+1,1))</f>
        <v>268.71706840132384</v>
      </c>
      <c r="CE15" s="59">
        <f t="shared" si="40"/>
        <v>199.92519498289477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4.0628205128205126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7.2520999017061971</v>
      </c>
      <c r="P16" s="13">
        <f t="shared" si="33"/>
        <v>2.6537368749284589</v>
      </c>
      <c r="Q16" s="20">
        <f t="shared" si="2"/>
        <v>17.252665719305359</v>
      </c>
      <c r="R16" s="59">
        <f t="shared" si="0"/>
        <v>289.8082212748609</v>
      </c>
      <c r="S16" s="59">
        <f ca="1">AVERAGE(OFFSET($R$3,0,0,'Données projet'!$E$9+1,1))-AVERAGE(OFFSET($H$3,0,0,'Données projet'!$E$9+1,1))</f>
        <v>384.05928630855732</v>
      </c>
      <c r="T16" s="59">
        <f t="shared" si="34"/>
        <v>279.93992813630513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10.16068376068376</v>
      </c>
      <c r="AI16" s="13">
        <f>IF('Données projet'!$A$62&gt;35,AI15+AH16-AQ15,IF(A16&lt;'Données projet'!$A$62,$AF$205^A16,IF(A16='Données projet'!$A$62,'Données projet'!$B$62,AI15+AH16-AQ15)))</f>
        <v>43.033613759729988</v>
      </c>
      <c r="AJ16" s="13">
        <f>AI16*VLOOKUP('Données projet'!$B$10,Paramètres!$A$1:$I$89,3,0)*VLOOKUP('Données projet'!$B$10,Paramètres!$A$1:$I$89,5,0)</f>
        <v>24.055790091689062</v>
      </c>
      <c r="AK16" s="13">
        <f t="shared" si="35"/>
        <v>7.6559259813080898</v>
      </c>
      <c r="AL16" s="20">
        <f t="shared" si="4"/>
        <v>55.231238827136707</v>
      </c>
      <c r="AM16" s="59">
        <f t="shared" si="5"/>
        <v>327.78679438269228</v>
      </c>
      <c r="AN16" s="59">
        <f ca="1">AVERAGE(OFFSET($AM$3,0,0,'Données projet'!$E$10+1,1))-AVERAGE(OFFSET($H$3,0,0,'Données projet'!$E$10+1,1))</f>
        <v>335.04906256888819</v>
      </c>
      <c r="AO16" s="59">
        <f t="shared" si="36"/>
        <v>440.84111898279554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8.5743589743589741</v>
      </c>
      <c r="BD16" s="12">
        <f>IF('Données projet'!$A$88&gt;35,BD15+BC16-BL15,IF(A16&lt;'Données projet'!$A$88,$BA$205^A16,IF(A16='Données projet'!$A$88,'Données projet'!$B$88,BD15+BC16-BL15)))</f>
        <v>24.900781248062909</v>
      </c>
      <c r="BE16" s="13">
        <f>BD16*VLOOKUP('Données projet'!$B$11,Paramètres!$A$1:$I$89,3,0)*VLOOKUP('Données projet'!$B$11,Paramètres!$A$1:$I$89,5,0)</f>
        <v>11.006145311643806</v>
      </c>
      <c r="BF16" s="13">
        <f t="shared" si="37"/>
        <v>3.8365509056909279</v>
      </c>
      <c r="BG16" s="20">
        <f t="shared" si="7"/>
        <v>25.851029245191327</v>
      </c>
      <c r="BH16" s="59">
        <f t="shared" si="8"/>
        <v>298.40658480074688</v>
      </c>
      <c r="BI16" s="59">
        <f ca="1">AVERAGE(OFFSET($BH$3,0,0,'Données projet'!$E$11+1,1))-AVERAGE(OFFSET($H$3,0,0,'Données projet'!$E$11+1,1))</f>
        <v>261.20475283925128</v>
      </c>
      <c r="BJ16" s="59">
        <f t="shared" si="38"/>
        <v>247.06045079522403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6.1772727272727277</v>
      </c>
      <c r="BY16" s="12">
        <f>IF('Données projet'!$A$114&gt;35,BY15+BX16-CG15,IF(A16&lt;'Données projet'!$A$114,$BV$205^A16,IF(A16='Données projet'!$A$114,'Données projet'!$B$114,BY15+BX16-CG15)))</f>
        <v>18.219597139335995</v>
      </c>
      <c r="BZ16" s="13">
        <f>BY16*VLOOKUP('Données projet'!$B$12,Paramètres!$A$1:$I$89,3,0)*VLOOKUP('Données projet'!$B$12,Paramètres!$A$1:$I$89,5,0)</f>
        <v>10.421609563700191</v>
      </c>
      <c r="CA16" s="13">
        <f t="shared" si="39"/>
        <v>3.6559416276542684</v>
      </c>
      <c r="CB16" s="20">
        <f t="shared" si="10"/>
        <v>24.518401658275682</v>
      </c>
      <c r="CC16" s="59">
        <f t="shared" si="11"/>
        <v>297.07395721383125</v>
      </c>
      <c r="CD16" s="59">
        <f ca="1">AVERAGE(OFFSET($CC$3,0,0,'Données projet'!$E$12+1,1))-AVERAGE(OFFSET($H$3,0,0,'Données projet'!$E$12+1,1))</f>
        <v>268.71706840132384</v>
      </c>
      <c r="CE16" s="59">
        <f t="shared" si="40"/>
        <v>199.92519498289477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4.0628205128205126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8.51129038413697</v>
      </c>
      <c r="P17" s="13">
        <f t="shared" si="33"/>
        <v>3.0570040016267526</v>
      </c>
      <c r="Q17" s="20">
        <f t="shared" si="2"/>
        <v>20.148112721871815</v>
      </c>
      <c r="R17" s="59">
        <f t="shared" si="0"/>
        <v>293.9258904996496</v>
      </c>
      <c r="S17" s="59">
        <f ca="1">AVERAGE(OFFSET($R$3,0,0,'Données projet'!$E$9+1,1))-AVERAGE(OFFSET($H$3,0,0,'Données projet'!$E$9+1,1))</f>
        <v>384.05928630855732</v>
      </c>
      <c r="T17" s="59">
        <f t="shared" si="34"/>
        <v>279.93992813630513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10.16068376068376</v>
      </c>
      <c r="AI17" s="13">
        <f>IF('Données projet'!$A$62&gt;35,AI16+AH17-AQ16,IF(A17&lt;'Données projet'!$A$62,$AF$205^A17,IF(A17='Données projet'!$A$62,'Données projet'!$B$62,AI16+AH17-AQ16)))</f>
        <v>57.475841973982881</v>
      </c>
      <c r="AJ17" s="13">
        <f>AI17*VLOOKUP('Données projet'!$B$10,Paramètres!$A$1:$I$89,3,0)*VLOOKUP('Données projet'!$B$10,Paramètres!$A$1:$I$89,5,0)</f>
        <v>32.128995663456436</v>
      </c>
      <c r="AK17" s="13">
        <f t="shared" si="35"/>
        <v>9.8865868664217604</v>
      </c>
      <c r="AL17" s="20">
        <f t="shared" si="4"/>
        <v>73.177139572871184</v>
      </c>
      <c r="AM17" s="59">
        <f t="shared" si="5"/>
        <v>346.95491735064894</v>
      </c>
      <c r="AN17" s="59">
        <f ca="1">AVERAGE(OFFSET($AM$3,0,0,'Données projet'!$E$10+1,1))-AVERAGE(OFFSET($H$3,0,0,'Données projet'!$E$10+1,1))</f>
        <v>335.04906256888819</v>
      </c>
      <c r="AO17" s="59">
        <f t="shared" si="36"/>
        <v>440.84111898279554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8.5743589743589741</v>
      </c>
      <c r="BD17" s="12">
        <f>IF('Données projet'!$A$88&gt;35,BD16+BC17-BL16,IF(A17&lt;'Données projet'!$A$88,$BA$205^A17,IF(A17='Données projet'!$A$88,'Données projet'!$B$88,BD16+BC17-BL16)))</f>
        <v>31.88702270302047</v>
      </c>
      <c r="BE17" s="13">
        <f>BD17*VLOOKUP('Données projet'!$B$11,Paramètres!$A$1:$I$89,3,0)*VLOOKUP('Données projet'!$B$11,Paramètres!$A$1:$I$89,5,0)</f>
        <v>14.09406403473505</v>
      </c>
      <c r="BF17" s="13">
        <f t="shared" si="37"/>
        <v>4.7735391286952673</v>
      </c>
      <c r="BG17" s="20">
        <f t="shared" si="7"/>
        <v>32.861075509641132</v>
      </c>
      <c r="BH17" s="59">
        <f t="shared" si="8"/>
        <v>306.6388532874189</v>
      </c>
      <c r="BI17" s="59">
        <f ca="1">AVERAGE(OFFSET($BH$3,0,0,'Données projet'!$E$11+1,1))-AVERAGE(OFFSET($H$3,0,0,'Données projet'!$E$11+1,1))</f>
        <v>261.20475283925128</v>
      </c>
      <c r="BJ17" s="59">
        <f t="shared" si="38"/>
        <v>247.06045079522403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6.1772727272727277</v>
      </c>
      <c r="BY17" s="12">
        <f>IF('Données projet'!$A$114&gt;35,BY16+BX17-CG16,IF(A17&lt;'Données projet'!$A$114,$BV$205^A17,IF(A17='Données projet'!$A$114,'Données projet'!$B$114,BY16+BX17-CG16)))</f>
        <v>22.777355001868049</v>
      </c>
      <c r="BZ17" s="13">
        <f>BY17*VLOOKUP('Données projet'!$B$12,Paramètres!$A$1:$I$89,3,0)*VLOOKUP('Données projet'!$B$12,Paramètres!$A$1:$I$89,5,0)</f>
        <v>13.028647061068526</v>
      </c>
      <c r="CA17" s="13">
        <f t="shared" si="39"/>
        <v>4.4532502763631001</v>
      </c>
      <c r="CB17" s="20">
        <f t="shared" si="10"/>
        <v>30.447637862693412</v>
      </c>
      <c r="CC17" s="59">
        <f t="shared" si="11"/>
        <v>304.22541564047117</v>
      </c>
      <c r="CD17" s="59">
        <f ca="1">AVERAGE(OFFSET($CC$3,0,0,'Données projet'!$E$12+1,1))-AVERAGE(OFFSET($H$3,0,0,'Données projet'!$E$12+1,1))</f>
        <v>268.71706840132384</v>
      </c>
      <c r="CE17" s="59">
        <f t="shared" si="40"/>
        <v>199.92519498289477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4.0628205128205126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9.9891155644531384</v>
      </c>
      <c r="P18" s="13">
        <f t="shared" si="33"/>
        <v>3.5215524019177353</v>
      </c>
      <c r="Q18" s="20">
        <f t="shared" si="2"/>
        <v>23.531080041429274</v>
      </c>
      <c r="R18" s="59">
        <f t="shared" si="0"/>
        <v>298.53108004142928</v>
      </c>
      <c r="S18" s="59">
        <f ca="1">AVERAGE(OFFSET($R$3,0,0,'Données projet'!$E$9+1,1))-AVERAGE(OFFSET($H$3,0,0,'Données projet'!$E$9+1,1))</f>
        <v>384.05928630855732</v>
      </c>
      <c r="T18" s="59">
        <f t="shared" si="34"/>
        <v>279.93992813630513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10.16068376068376</v>
      </c>
      <c r="AI18" s="13">
        <f>IF('Données projet'!$A$62&gt;35,AI17+AH18-AQ17,IF(A18&lt;'Données projet'!$A$62,$AF$205^A18,IF(A18='Données projet'!$A$62,'Données projet'!$B$62,AI17+AH18-AQ17)))</f>
        <v>76.764931457129379</v>
      </c>
      <c r="AJ18" s="13">
        <f>AI18*VLOOKUP('Données projet'!$B$10,Paramètres!$A$1:$I$89,3,0)*VLOOKUP('Données projet'!$B$10,Paramètres!$A$1:$I$89,5,0)</f>
        <v>42.911596684535326</v>
      </c>
      <c r="AK18" s="13">
        <f t="shared" si="35"/>
        <v>12.767181932785956</v>
      </c>
      <c r="AL18" s="20">
        <f t="shared" si="4"/>
        <v>96.97387275850123</v>
      </c>
      <c r="AM18" s="59">
        <f t="shared" si="5"/>
        <v>371.97387275850122</v>
      </c>
      <c r="AN18" s="59">
        <f ca="1">AVERAGE(OFFSET($AM$3,0,0,'Données projet'!$E$10+1,1))-AVERAGE(OFFSET($H$3,0,0,'Données projet'!$E$10+1,1))</f>
        <v>335.04906256888819</v>
      </c>
      <c r="AO18" s="59">
        <f t="shared" si="36"/>
        <v>440.84111898279554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8.5743589743589741</v>
      </c>
      <c r="BD18" s="12">
        <f>IF('Données projet'!$A$88&gt;35,BD17+BC18-BL17,IF(A18&lt;'Données projet'!$A$88,$BA$205^A18,IF(A18='Données projet'!$A$88,'Données projet'!$B$88,BD17+BC18-BL17)))</f>
        <v>40.833346019697316</v>
      </c>
      <c r="BE18" s="13">
        <f>BD18*VLOOKUP('Données projet'!$B$11,Paramètres!$A$1:$I$89,3,0)*VLOOKUP('Données projet'!$B$11,Paramètres!$A$1:$I$89,5,0)</f>
        <v>18.048338940706216</v>
      </c>
      <c r="BF18" s="13">
        <f t="shared" si="37"/>
        <v>5.9393649070013055</v>
      </c>
      <c r="BG18" s="20">
        <f t="shared" si="7"/>
        <v>41.778584201423932</v>
      </c>
      <c r="BH18" s="59">
        <f t="shared" si="8"/>
        <v>316.77858420142394</v>
      </c>
      <c r="BI18" s="59">
        <f ca="1">AVERAGE(OFFSET($BH$3,0,0,'Données projet'!$E$11+1,1))-AVERAGE(OFFSET($H$3,0,0,'Données projet'!$E$11+1,1))</f>
        <v>261.20475283925128</v>
      </c>
      <c r="BJ18" s="59">
        <f t="shared" si="38"/>
        <v>247.06045079522403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6.1772727272727277</v>
      </c>
      <c r="BY18" s="12">
        <f>IF('Données projet'!$A$114&gt;35,BY17+BX18-CG17,IF(A18&lt;'Données projet'!$A$114,$BV$205^A18,IF(A18='Données projet'!$A$114,'Données projet'!$B$114,BY17+BX18-CG17)))</f>
        <v>28.475267422956371</v>
      </c>
      <c r="BZ18" s="13">
        <f>BY18*VLOOKUP('Données projet'!$B$12,Paramètres!$A$1:$I$89,3,0)*VLOOKUP('Données projet'!$B$12,Paramètres!$A$1:$I$89,5,0)</f>
        <v>16.287852965931044</v>
      </c>
      <c r="CA18" s="13">
        <f t="shared" si="39"/>
        <v>5.4244405528576038</v>
      </c>
      <c r="CB18" s="20">
        <f t="shared" si="10"/>
        <v>37.815577878556894</v>
      </c>
      <c r="CC18" s="59">
        <f t="shared" si="11"/>
        <v>312.81557787855689</v>
      </c>
      <c r="CD18" s="59">
        <f ca="1">AVERAGE(OFFSET($CC$3,0,0,'Données projet'!$E$12+1,1))-AVERAGE(OFFSET($H$3,0,0,'Données projet'!$E$12+1,1))</f>
        <v>268.71706840132384</v>
      </c>
      <c r="CE18" s="59">
        <f t="shared" si="40"/>
        <v>199.92519498289477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4.0628205128205126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11.723537237781329</v>
      </c>
      <c r="P19" s="13">
        <f t="shared" si="33"/>
        <v>4.0566944998610817</v>
      </c>
      <c r="Q19" s="20">
        <f t="shared" si="2"/>
        <v>27.483903609727193</v>
      </c>
      <c r="R19" s="59">
        <f t="shared" si="0"/>
        <v>303.70612583194941</v>
      </c>
      <c r="S19" s="59">
        <f ca="1">AVERAGE(OFFSET($R$3,0,0,'Données projet'!$E$9+1,1))-AVERAGE(OFFSET($H$3,0,0,'Données projet'!$E$9+1,1))</f>
        <v>384.05928630855732</v>
      </c>
      <c r="T19" s="59">
        <f t="shared" si="34"/>
        <v>279.93992813630513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10.16068376068376</v>
      </c>
      <c r="AI19" s="13">
        <f>IF('Données projet'!$A$62&gt;35,AI18+AH19-AQ18,IF(A19&lt;'Données projet'!$A$62,$AF$205^A19,IF(A19='Données projet'!$A$62,'Données projet'!$B$62,AI18+AH19-AQ18)))</f>
        <v>102.52750545673157</v>
      </c>
      <c r="AJ19" s="13">
        <f>AI19*VLOOKUP('Données projet'!$B$10,Paramètres!$A$1:$I$89,3,0)*VLOOKUP('Données projet'!$B$10,Paramètres!$A$1:$I$89,5,0)</f>
        <v>57.312875550312953</v>
      </c>
      <c r="AK19" s="13">
        <f t="shared" si="35"/>
        <v>16.487078574959277</v>
      </c>
      <c r="AL19" s="20">
        <f t="shared" si="4"/>
        <v>128.53492010151578</v>
      </c>
      <c r="AM19" s="59">
        <f t="shared" si="5"/>
        <v>404.75714232373798</v>
      </c>
      <c r="AN19" s="59">
        <f ca="1">AVERAGE(OFFSET($AM$3,0,0,'Données projet'!$E$10+1,1))-AVERAGE(OFFSET($H$3,0,0,'Données projet'!$E$10+1,1))</f>
        <v>335.04906256888819</v>
      </c>
      <c r="AO19" s="59">
        <f t="shared" si="36"/>
        <v>440.84111898279554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8.5743589743589741</v>
      </c>
      <c r="BD19" s="12">
        <f>IF('Données projet'!$A$88&gt;35,BD18+BC19-BL18,IF(A19&lt;'Données projet'!$A$88,$BA$205^A19,IF(A19='Données projet'!$A$88,'Données projet'!$B$88,BD18+BC19-BL18)))</f>
        <v>52.289677926136108</v>
      </c>
      <c r="BE19" s="13">
        <f>BD19*VLOOKUP('Données projet'!$B$11,Paramètres!$A$1:$I$89,3,0)*VLOOKUP('Données projet'!$B$11,Paramètres!$A$1:$I$89,5,0)</f>
        <v>23.11203764335216</v>
      </c>
      <c r="BF19" s="13">
        <f t="shared" si="37"/>
        <v>7.3899164849122059</v>
      </c>
      <c r="BG19" s="20">
        <f t="shared" si="7"/>
        <v>53.124236773393768</v>
      </c>
      <c r="BH19" s="59">
        <f t="shared" si="8"/>
        <v>329.34645899561599</v>
      </c>
      <c r="BI19" s="59">
        <f ca="1">AVERAGE(OFFSET($BH$3,0,0,'Données projet'!$E$11+1,1))-AVERAGE(OFFSET($H$3,0,0,'Données projet'!$E$11+1,1))</f>
        <v>261.20475283925128</v>
      </c>
      <c r="BJ19" s="59">
        <f t="shared" si="38"/>
        <v>247.06045079522403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6.1772727272727277</v>
      </c>
      <c r="BY19" s="12">
        <f>IF('Données projet'!$A$114&gt;35,BY18+BX19-CG18,IF(A19&lt;'Données projet'!$A$114,$BV$205^A19,IF(A19='Données projet'!$A$114,'Données projet'!$B$114,BY18+BX19-CG18)))</f>
        <v>35.598551927665909</v>
      </c>
      <c r="BZ19" s="13">
        <f>BY19*VLOOKUP('Données projet'!$B$12,Paramètres!$A$1:$I$89,3,0)*VLOOKUP('Données projet'!$B$12,Paramètres!$A$1:$I$89,5,0)</f>
        <v>20.362371702624902</v>
      </c>
      <c r="CA19" s="13">
        <f t="shared" si="39"/>
        <v>6.6074335564891413</v>
      </c>
      <c r="CB19" s="20">
        <f t="shared" si="10"/>
        <v>46.972410826290286</v>
      </c>
      <c r="CC19" s="59">
        <f t="shared" si="11"/>
        <v>323.19463304851251</v>
      </c>
      <c r="CD19" s="59">
        <f ca="1">AVERAGE(OFFSET($CC$3,0,0,'Données projet'!$E$12+1,1))-AVERAGE(OFFSET($H$3,0,0,'Données projet'!$E$12+1,1))</f>
        <v>268.71706840132384</v>
      </c>
      <c r="CE19" s="59">
        <f t="shared" si="40"/>
        <v>199.92519498289477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4.0628205128205126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13.759108549583573</v>
      </c>
      <c r="P20" s="13">
        <f t="shared" si="33"/>
        <v>4.6731578539740832</v>
      </c>
      <c r="Q20" s="20">
        <f t="shared" si="2"/>
        <v>32.102863986196247</v>
      </c>
      <c r="R20" s="59">
        <f t="shared" si="0"/>
        <v>309.54730843064073</v>
      </c>
      <c r="S20" s="59">
        <f ca="1">AVERAGE(OFFSET($R$3,0,0,'Données projet'!$E$9+1,1))-AVERAGE(OFFSET($H$3,0,0,'Données projet'!$E$9+1,1))</f>
        <v>384.05928630855732</v>
      </c>
      <c r="T20" s="59">
        <f t="shared" si="34"/>
        <v>279.93992813630513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10.16068376068376</v>
      </c>
      <c r="AI20" s="13">
        <f>IF('Données projet'!$A$62&gt;35,AI19+AH20-AQ19,IF(A20&lt;'Données projet'!$A$62,$AF$205^A20,IF(A20='Données projet'!$A$62,'Données projet'!$B$62,AI19+AH20-AQ19)))</f>
        <v>136.93608755517039</v>
      </c>
      <c r="AJ20" s="13">
        <f>AI20*VLOOKUP('Données projet'!$B$10,Paramètres!$A$1:$I$89,3,0)*VLOOKUP('Données projet'!$B$10,Paramètres!$A$1:$I$89,5,0)</f>
        <v>76.547272943340246</v>
      </c>
      <c r="AK20" s="13">
        <f t="shared" si="35"/>
        <v>21.290819020824138</v>
      </c>
      <c r="AL20" s="20">
        <f t="shared" si="4"/>
        <v>170.40134350425296</v>
      </c>
      <c r="AM20" s="59">
        <f t="shared" si="5"/>
        <v>447.84578794869742</v>
      </c>
      <c r="AN20" s="59">
        <f ca="1">AVERAGE(OFFSET($AM$3,0,0,'Données projet'!$E$10+1,1))-AVERAGE(OFFSET($H$3,0,0,'Données projet'!$E$10+1,1))</f>
        <v>335.04906256888819</v>
      </c>
      <c r="AO20" s="59">
        <f t="shared" si="36"/>
        <v>440.84111898279554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8.5743589743589741</v>
      </c>
      <c r="BD20" s="12">
        <f>IF('Données projet'!$A$88&gt;35,BD19+BC20-BL19,IF(A20&lt;'Données projet'!$A$88,$BA$205^A20,IF(A20='Données projet'!$A$88,'Données projet'!$B$88,BD19+BC20-BL19)))</f>
        <v>66.960234321725892</v>
      </c>
      <c r="BE20" s="13">
        <f>BD20*VLOOKUP('Données projet'!$B$11,Paramètres!$A$1:$I$89,3,0)*VLOOKUP('Données projet'!$B$11,Paramètres!$A$1:$I$89,5,0)</f>
        <v>29.596423570202845</v>
      </c>
      <c r="BF20" s="13">
        <f t="shared" si="37"/>
        <v>9.1947315090207855</v>
      </c>
      <c r="BG20" s="20">
        <f t="shared" si="7"/>
        <v>67.561261762981147</v>
      </c>
      <c r="BH20" s="59">
        <f t="shared" si="8"/>
        <v>345.00570620742559</v>
      </c>
      <c r="BI20" s="59">
        <f ca="1">AVERAGE(OFFSET($BH$3,0,0,'Données projet'!$E$11+1,1))-AVERAGE(OFFSET($H$3,0,0,'Données projet'!$E$11+1,1))</f>
        <v>261.20475283925128</v>
      </c>
      <c r="BJ20" s="59">
        <f t="shared" si="38"/>
        <v>247.06045079522403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6.1772727272727277</v>
      </c>
      <c r="BY20" s="12">
        <f>IF('Données projet'!$A$114&gt;35,BY19+BX20-CG19,IF(A20&lt;'Données projet'!$A$114,$BV$205^A20,IF(A20='Données projet'!$A$114,'Données projet'!$B$114,BY19+BX20-CG19)))</f>
        <v>44.503775171750654</v>
      </c>
      <c r="BZ20" s="13">
        <f>BY20*VLOOKUP('Données projet'!$B$12,Paramètres!$A$1:$I$89,3,0)*VLOOKUP('Données projet'!$B$12,Paramètres!$A$1:$I$89,5,0)</f>
        <v>25.456159398241375</v>
      </c>
      <c r="CA20" s="13">
        <f t="shared" si="39"/>
        <v>8.0484204367249568</v>
      </c>
      <c r="CB20" s="20">
        <f t="shared" si="10"/>
        <v>58.353809879233033</v>
      </c>
      <c r="CC20" s="59">
        <f t="shared" si="11"/>
        <v>335.7982543236775</v>
      </c>
      <c r="CD20" s="59">
        <f ca="1">AVERAGE(OFFSET($CC$3,0,0,'Données projet'!$E$12+1,1))-AVERAGE(OFFSET($H$3,0,0,'Données projet'!$E$12+1,1))</f>
        <v>268.71706840132384</v>
      </c>
      <c r="CE20" s="59">
        <f t="shared" si="40"/>
        <v>199.92519498289477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4.0628205128205126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16.148118459429323</v>
      </c>
      <c r="P21" s="13">
        <f t="shared" si="33"/>
        <v>5.3833002038747271</v>
      </c>
      <c r="Q21" s="20">
        <f t="shared" si="2"/>
        <v>37.500554171921223</v>
      </c>
      <c r="R21" s="59">
        <f t="shared" si="0"/>
        <v>316.16722083858792</v>
      </c>
      <c r="S21" s="59">
        <f ca="1">AVERAGE(OFFSET($R$3,0,0,'Données projet'!$E$9+1,1))-AVERAGE(OFFSET($H$3,0,0,'Données projet'!$E$9+1,1))</f>
        <v>384.05928630855732</v>
      </c>
      <c r="T21" s="59">
        <f t="shared" si="34"/>
        <v>279.93992813630513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182.89230769230767</v>
      </c>
      <c r="AG21" s="12">
        <f>VLOOKUP(A21,'Données projet'!$A$61:$I$81,9,0)</f>
        <v>10.16068376068376</v>
      </c>
      <c r="AH21" s="12">
        <f t="array" ref="AH21">INDEX(AG:AG,MIN(IF(ISNUMBER(AG21:AG217),ROW(AG21:AG217),"")))</f>
        <v>10.16068376068376</v>
      </c>
      <c r="AI21" s="13">
        <f>IF('Données projet'!$A$62&gt;35,AI20+AH21-AQ20,IF(A21&lt;'Données projet'!$A$62,$AF$205^A21,IF(A21='Données projet'!$A$62,'Données projet'!$B$62,AI20+AH21-AQ20)))</f>
        <v>182.89230769230767</v>
      </c>
      <c r="AJ21" s="13">
        <f>AI21*VLOOKUP('Données projet'!$B$10,Paramètres!$A$1:$I$89,3,0)*VLOOKUP('Données projet'!$B$10,Paramètres!$A$1:$I$89,5,0)</f>
        <v>102.23679999999999</v>
      </c>
      <c r="AK21" s="13">
        <f t="shared" si="35"/>
        <v>27.494196289326943</v>
      </c>
      <c r="AL21" s="20">
        <f t="shared" si="4"/>
        <v>225.9481518705777</v>
      </c>
      <c r="AM21" s="59">
        <f t="shared" si="5"/>
        <v>504.61481853724439</v>
      </c>
      <c r="AN21" s="59">
        <f ca="1">AVERAGE(OFFSET($AM$3,0,0,'Données projet'!$E$10+1,1))-AVERAGE(OFFSET($H$3,0,0,'Données projet'!$E$10+1,1))</f>
        <v>335.04906256888819</v>
      </c>
      <c r="AO21" s="59">
        <f t="shared" si="36"/>
        <v>440.84111898279554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69.284615384615378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0.30800000000000005</v>
      </c>
      <c r="AT21" s="16">
        <f>IF(ISNA(VLOOKUP(A21,'Données projet'!$A$61:$I$81,7,0)),0%,VLOOKUP(A21,'Données projet'!$A$61:$I$81,7,0))</f>
        <v>0.44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15.762109241455983</v>
      </c>
      <c r="AW21" s="21">
        <f>EXP(-LN(2)/2)*AW20+(1-EXP(-LN(2)/2))/(LN(2)/2)*AQ21*AT21*VLOOKUP('Données projet'!$B$10,Paramètres!$A$1:$I$89,3,0)*0.475*44/12</f>
        <v>19.294646846829099</v>
      </c>
      <c r="AX21" s="21">
        <f t="shared" si="6"/>
        <v>35.056756088285084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8.5743589743589741</v>
      </c>
      <c r="BD21" s="12">
        <f>IF('Données projet'!$A$88&gt;35,BD20+BC21-BL20,IF(A21&lt;'Données projet'!$A$88,$BA$205^A21,IF(A21='Données projet'!$A$88,'Données projet'!$B$88,BD20+BC21-BL20)))</f>
        <v>85.746808132075927</v>
      </c>
      <c r="BE21" s="13">
        <f>BD21*VLOOKUP('Données projet'!$B$11,Paramètres!$A$1:$I$89,3,0)*VLOOKUP('Données projet'!$B$11,Paramètres!$A$1:$I$89,5,0)</f>
        <v>37.900089194377564</v>
      </c>
      <c r="BF21" s="13">
        <f t="shared" si="37"/>
        <v>11.44033057688663</v>
      </c>
      <c r="BG21" s="20">
        <f t="shared" si="7"/>
        <v>85.93456443495181</v>
      </c>
      <c r="BH21" s="59">
        <f t="shared" si="8"/>
        <v>364.60123110161851</v>
      </c>
      <c r="BI21" s="59">
        <f ca="1">AVERAGE(OFFSET($BH$3,0,0,'Données projet'!$E$11+1,1))-AVERAGE(OFFSET($H$3,0,0,'Données projet'!$E$11+1,1))</f>
        <v>261.20475283925128</v>
      </c>
      <c r="BJ21" s="59">
        <f t="shared" si="38"/>
        <v>247.06045079522403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6.1772727272727277</v>
      </c>
      <c r="BY21" s="12">
        <f>IF('Données projet'!$A$114&gt;35,BY20+BX21-CG20,IF(A21&lt;'Données projet'!$A$114,$BV$205^A21,IF(A21='Données projet'!$A$114,'Données projet'!$B$114,BY20+BX21-CG20)))</f>
        <v>55.636701418702657</v>
      </c>
      <c r="BZ21" s="13">
        <f>BY21*VLOOKUP('Données projet'!$B$12,Paramètres!$A$1:$I$89,3,0)*VLOOKUP('Données projet'!$B$12,Paramètres!$A$1:$I$89,5,0)</f>
        <v>31.824193211497921</v>
      </c>
      <c r="CA21" s="13">
        <f t="shared" si="39"/>
        <v>9.8036659729517091</v>
      </c>
      <c r="CB21" s="20">
        <f t="shared" si="10"/>
        <v>72.501854746249776</v>
      </c>
      <c r="CC21" s="59">
        <f t="shared" si="11"/>
        <v>351.16852141291645</v>
      </c>
      <c r="CD21" s="59">
        <f ca="1">AVERAGE(OFFSET($CC$3,0,0,'Données projet'!$E$12+1,1))-AVERAGE(OFFSET($H$3,0,0,'Données projet'!$E$12+1,1))</f>
        <v>268.71706840132384</v>
      </c>
      <c r="CE21" s="59">
        <f t="shared" si="40"/>
        <v>199.92519498289477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4.0628205128205126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18.951934919334153</v>
      </c>
      <c r="P22" s="13">
        <f t="shared" si="33"/>
        <v>6.2013571958398481</v>
      </c>
      <c r="Q22" s="20">
        <f t="shared" si="2"/>
        <v>43.808650433928051</v>
      </c>
      <c r="R22" s="59">
        <f t="shared" si="0"/>
        <v>323.69753932281691</v>
      </c>
      <c r="S22" s="59">
        <f ca="1">AVERAGE(OFFSET($R$3,0,0,'Données projet'!$E$9+1,1))-AVERAGE(OFFSET($H$3,0,0,'Données projet'!$E$9+1,1))</f>
        <v>384.05928630855732</v>
      </c>
      <c r="T22" s="59">
        <f t="shared" si="34"/>
        <v>279.93992813630513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20.658974358974358</v>
      </c>
      <c r="AI22" s="13">
        <f>IF('Données projet'!$A$62&gt;35,AI21+AH22-AQ21,IF(A22&lt;'Données projet'!$A$62,$AF$205^A22,IF(A22='Données projet'!$A$62,'Données projet'!$B$62,AI21+AH22-AQ21)))</f>
        <v>134.26666666666665</v>
      </c>
      <c r="AJ22" s="13">
        <f>AI22*VLOOKUP('Données projet'!$B$10,Paramètres!$A$1:$I$89,3,0)*VLOOKUP('Données projet'!$B$10,Paramètres!$A$1:$I$89,5,0)</f>
        <v>75.055066666666661</v>
      </c>
      <c r="AK22" s="13">
        <f t="shared" si="35"/>
        <v>20.923669242672773</v>
      </c>
      <c r="AL22" s="20">
        <f t="shared" si="4"/>
        <v>167.1629650420995</v>
      </c>
      <c r="AM22" s="59">
        <f t="shared" si="5"/>
        <v>447.05185393098839</v>
      </c>
      <c r="AN22" s="59">
        <f ca="1">AVERAGE(OFFSET($AM$3,0,0,'Données projet'!$E$10+1,1))-AVERAGE(OFFSET($H$3,0,0,'Données projet'!$E$10+1,1))</f>
        <v>335.04906256888819</v>
      </c>
      <c r="AO22" s="59">
        <f t="shared" si="36"/>
        <v>440.84111898279554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15.33109353535507</v>
      </c>
      <c r="AW22" s="21">
        <f>EXP(-LN(2)/2)*AW21+(1-EXP(-LN(2)/2))/(LN(2)/2)*AQ22*AT22*VLOOKUP('Données projet'!$B$10,Paramètres!$A$1:$I$89,3,0)*0.475*44/12</f>
        <v>13.643375625992494</v>
      </c>
      <c r="AX22" s="21">
        <f t="shared" si="6"/>
        <v>28.974469161347564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8.5743589743589741</v>
      </c>
      <c r="BD22" s="12">
        <f>IF('Données projet'!$A$88&gt;35,BD21+BC22-BL21,IF(A22&lt;'Données projet'!$A$88,$BA$205^A22,IF(A22='Données projet'!$A$88,'Données projet'!$B$88,BD21+BC22-BL21)))</f>
        <v>109.80420214051502</v>
      </c>
      <c r="BE22" s="13">
        <f>BD22*VLOOKUP('Données projet'!$B$11,Paramètres!$A$1:$I$89,3,0)*VLOOKUP('Données projet'!$B$11,Paramètres!$A$1:$I$89,5,0)</f>
        <v>48.533457346107639</v>
      </c>
      <c r="BF22" s="13">
        <f t="shared" si="37"/>
        <v>14.234364927354532</v>
      </c>
      <c r="BG22" s="20">
        <f t="shared" si="7"/>
        <v>109.32062379294662</v>
      </c>
      <c r="BH22" s="59">
        <f t="shared" si="8"/>
        <v>389.20951268183546</v>
      </c>
      <c r="BI22" s="59">
        <f ca="1">AVERAGE(OFFSET($BH$3,0,0,'Données projet'!$E$11+1,1))-AVERAGE(OFFSET($H$3,0,0,'Données projet'!$E$11+1,1))</f>
        <v>261.20475283925128</v>
      </c>
      <c r="BJ22" s="59">
        <f t="shared" si="38"/>
        <v>247.06045079522403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6.1772727272727277</v>
      </c>
      <c r="BY22" s="12">
        <f>IF('Données projet'!$A$114&gt;35,BY21+BX22-CG21,IF(A22&lt;'Données projet'!$A$114,$BV$205^A22,IF(A22='Données projet'!$A$114,'Données projet'!$B$114,BY21+BX22-CG21)))</f>
        <v>69.554605936413722</v>
      </c>
      <c r="BZ22" s="13">
        <f>BY22*VLOOKUP('Données projet'!$B$12,Paramètres!$A$1:$I$89,3,0)*VLOOKUP('Données projet'!$B$12,Paramètres!$A$1:$I$89,5,0)</f>
        <v>39.785234595628651</v>
      </c>
      <c r="CA22" s="13">
        <f t="shared" si="39"/>
        <v>11.941705489272485</v>
      </c>
      <c r="CB22" s="20">
        <f t="shared" si="10"/>
        <v>90.091087314536153</v>
      </c>
      <c r="CC22" s="59">
        <f t="shared" si="11"/>
        <v>369.979976203425</v>
      </c>
      <c r="CD22" s="59">
        <f ca="1">AVERAGE(OFFSET($CC$3,0,0,'Données projet'!$E$12+1,1))-AVERAGE(OFFSET($H$3,0,0,'Données projet'!$E$12+1,1))</f>
        <v>268.71706840132384</v>
      </c>
      <c r="CE22" s="59">
        <f t="shared" si="40"/>
        <v>199.92519498289477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4.0628205128205126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22.242581269704818</v>
      </c>
      <c r="P23" s="13">
        <f t="shared" si="33"/>
        <v>7.1437277532311274</v>
      </c>
      <c r="Q23" s="20">
        <f t="shared" si="2"/>
        <v>51.181154881613445</v>
      </c>
      <c r="R23" s="59">
        <f t="shared" si="0"/>
        <v>332.29226599272459</v>
      </c>
      <c r="S23" s="59">
        <f ca="1">AVERAGE(OFFSET($R$3,0,0,'Données projet'!$E$9+1,1))-AVERAGE(OFFSET($H$3,0,0,'Données projet'!$E$9+1,1))</f>
        <v>384.05928630855732</v>
      </c>
      <c r="T23" s="59">
        <f t="shared" si="34"/>
        <v>279.93992813630513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20.658974358974358</v>
      </c>
      <c r="AI23" s="13">
        <f>IF('Données projet'!$A$62&gt;35,AI22+AH23-AQ22,IF(A23&lt;'Données projet'!$A$62,$AF$205^A23,IF(A23='Données projet'!$A$62,'Données projet'!$B$62,AI22+AH23-AQ22)))</f>
        <v>154.925641025641</v>
      </c>
      <c r="AJ23" s="13">
        <f>AI23*VLOOKUP('Données projet'!$B$10,Paramètres!$A$1:$I$89,3,0)*VLOOKUP('Données projet'!$B$10,Paramètres!$A$1:$I$89,5,0)</f>
        <v>86.603433333333314</v>
      </c>
      <c r="AK23" s="13">
        <f t="shared" si="35"/>
        <v>23.744229853900279</v>
      </c>
      <c r="AL23" s="20">
        <f t="shared" si="4"/>
        <v>192.18884671776516</v>
      </c>
      <c r="AM23" s="59">
        <f t="shared" si="5"/>
        <v>473.2999578288763</v>
      </c>
      <c r="AN23" s="59">
        <f ca="1">AVERAGE(OFFSET($AM$3,0,0,'Données projet'!$E$10+1,1))-AVERAGE(OFFSET($H$3,0,0,'Données projet'!$E$10+1,1))</f>
        <v>335.04906256888819</v>
      </c>
      <c r="AO23" s="59">
        <f t="shared" si="36"/>
        <v>440.84111898279554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14.911863976403616</v>
      </c>
      <c r="AW23" s="21">
        <f>EXP(-LN(2)/2)*AW22+(1-EXP(-LN(2)/2))/(LN(2)/2)*AQ23*AT23*VLOOKUP('Données projet'!$B$10,Paramètres!$A$1:$I$89,3,0)*0.475*44/12</f>
        <v>9.6473234234145515</v>
      </c>
      <c r="AX23" s="21">
        <f t="shared" si="6"/>
        <v>24.559187399818168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8.5743589743589741</v>
      </c>
      <c r="BD23" s="12">
        <f>IF('Données projet'!$A$88&gt;35,BD22+BC23-BL22,IF(A23&lt;'Données projet'!$A$88,$BA$205^A23,IF(A23='Données projet'!$A$88,'Données projet'!$B$88,BD22+BC23-BL22)))</f>
        <v>140.61121422903264</v>
      </c>
      <c r="BE23" s="13">
        <f>BD23*VLOOKUP('Données projet'!$B$11,Paramètres!$A$1:$I$89,3,0)*VLOOKUP('Données projet'!$B$11,Paramètres!$A$1:$I$89,5,0)</f>
        <v>62.150156689232439</v>
      </c>
      <c r="BF23" s="13">
        <f t="shared" si="37"/>
        <v>17.710777107652529</v>
      </c>
      <c r="BG23" s="20">
        <f t="shared" si="7"/>
        <v>139.09112636290797</v>
      </c>
      <c r="BH23" s="59">
        <f t="shared" si="8"/>
        <v>420.20223747401911</v>
      </c>
      <c r="BI23" s="59">
        <f ca="1">AVERAGE(OFFSET($BH$3,0,0,'Données projet'!$E$11+1,1))-AVERAGE(OFFSET($H$3,0,0,'Données projet'!$E$11+1,1))</f>
        <v>261.20475283925128</v>
      </c>
      <c r="BJ23" s="59">
        <f t="shared" si="38"/>
        <v>247.06045079522403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6.1772727272727277</v>
      </c>
      <c r="BY23" s="12">
        <f>IF('Données projet'!$A$114&gt;35,BY22+BX23-CG22,IF(A23&lt;'Données projet'!$A$114,$BV$205^A23,IF(A23='Données projet'!$A$114,'Données projet'!$B$114,BY22+BX23-CG22)))</f>
        <v>86.954170243880171</v>
      </c>
      <c r="BZ23" s="13">
        <f>BY23*VLOOKUP('Données projet'!$B$12,Paramètres!$A$1:$I$89,3,0)*VLOOKUP('Données projet'!$B$12,Paramètres!$A$1:$I$89,5,0)</f>
        <v>49.737785379499456</v>
      </c>
      <c r="CA23" s="13">
        <f t="shared" si="39"/>
        <v>14.546020885040916</v>
      </c>
      <c r="CB23" s="20">
        <f t="shared" si="10"/>
        <v>111.96096257740781</v>
      </c>
      <c r="CC23" s="59">
        <f t="shared" si="11"/>
        <v>393.07207368851897</v>
      </c>
      <c r="CD23" s="59">
        <f ca="1">AVERAGE(OFFSET($CC$3,0,0,'Données projet'!$E$12+1,1))-AVERAGE(OFFSET($H$3,0,0,'Données projet'!$E$12+1,1))</f>
        <v>268.71706840132384</v>
      </c>
      <c r="CE23" s="59">
        <f t="shared" si="40"/>
        <v>199.92519498289477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4.0628205128205126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26.104586346733051</v>
      </c>
      <c r="P24" s="13">
        <f t="shared" si="33"/>
        <v>8.2293028123778775</v>
      </c>
      <c r="Q24" s="20">
        <f t="shared" si="2"/>
        <v>59.798190285451518</v>
      </c>
      <c r="R24" s="59">
        <f t="shared" si="0"/>
        <v>342.13152361878485</v>
      </c>
      <c r="S24" s="59">
        <f ca="1">AVERAGE(OFFSET($R$3,0,0,'Données projet'!$E$9+1,1))-AVERAGE(OFFSET($H$3,0,0,'Données projet'!$E$9+1,1))</f>
        <v>384.05928630855732</v>
      </c>
      <c r="T24" s="59">
        <f t="shared" si="34"/>
        <v>279.93992813630513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20.658974358974358</v>
      </c>
      <c r="AI24" s="13">
        <f>IF('Données projet'!$A$62&gt;35,AI23+AH24-AQ23,IF(A24&lt;'Données projet'!$A$62,$AF$205^A24,IF(A24='Données projet'!$A$62,'Données projet'!$B$62,AI23+AH24-AQ23)))</f>
        <v>175.58461538461535</v>
      </c>
      <c r="AJ24" s="13">
        <f>AI24*VLOOKUP('Données projet'!$B$10,Paramètres!$A$1:$I$89,3,0)*VLOOKUP('Données projet'!$B$10,Paramètres!$A$1:$I$89,5,0)</f>
        <v>98.15179999999998</v>
      </c>
      <c r="AK24" s="13">
        <f t="shared" si="35"/>
        <v>26.52121247620833</v>
      </c>
      <c r="AL24" s="20">
        <f t="shared" si="4"/>
        <v>217.13883006272945</v>
      </c>
      <c r="AM24" s="59">
        <f t="shared" si="5"/>
        <v>499.4721633960628</v>
      </c>
      <c r="AN24" s="59">
        <f ca="1">AVERAGE(OFFSET($AM$3,0,0,'Données projet'!$E$10+1,1))-AVERAGE(OFFSET($H$3,0,0,'Données projet'!$E$10+1,1))</f>
        <v>335.04906256888819</v>
      </c>
      <c r="AO24" s="59">
        <f t="shared" si="36"/>
        <v>440.84111898279554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14.504098271788013</v>
      </c>
      <c r="AW24" s="21">
        <f>EXP(-LN(2)/2)*AW23+(1-EXP(-LN(2)/2))/(LN(2)/2)*AQ24*AT24*VLOOKUP('Données projet'!$B$10,Paramètres!$A$1:$I$89,3,0)*0.475*44/12</f>
        <v>6.8216878129962479</v>
      </c>
      <c r="AX24" s="21">
        <f t="shared" si="6"/>
        <v>21.325786084784262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>
        <f>VLOOKUP(A24,'Données projet'!$A$87:$I$107,2,0)</f>
        <v>180.06153846153845</v>
      </c>
      <c r="BB24" s="12">
        <f>VLOOKUP(A24,'Données projet'!$A$87:$I$107,9,0)</f>
        <v>8.5743589743589741</v>
      </c>
      <c r="BC24" s="12">
        <f t="array" ref="BC24">INDEX(BB:BB,MIN(IF(ISNUMBER(BB24:BB220),ROW(BB24:BB220),"")))</f>
        <v>8.5743589743589741</v>
      </c>
      <c r="BD24" s="12">
        <f>IF('Données projet'!$A$88&gt;35,BD23+BC24-BL23,IF(A24&lt;'Données projet'!$A$88,$BA$205^A24,IF(A24='Données projet'!$A$88,'Données projet'!$B$88,BD23+BC24-BL23)))</f>
        <v>180.06153846153845</v>
      </c>
      <c r="BE24" s="13">
        <f>BD24*VLOOKUP('Données projet'!$B$11,Paramètres!$A$1:$I$89,3,0)*VLOOKUP('Données projet'!$B$11,Paramètres!$A$1:$I$89,5,0)</f>
        <v>79.58720000000001</v>
      </c>
      <c r="BF24" s="13">
        <f t="shared" si="37"/>
        <v>22.036222013260158</v>
      </c>
      <c r="BG24" s="20">
        <f t="shared" si="7"/>
        <v>176.9941266730948</v>
      </c>
      <c r="BH24" s="59">
        <f t="shared" si="8"/>
        <v>459.32746000642811</v>
      </c>
      <c r="BI24" s="59">
        <f ca="1">AVERAGE(OFFSET($BH$3,0,0,'Données projet'!$E$11+1,1))-AVERAGE(OFFSET($H$3,0,0,'Données projet'!$E$11+1,1))</f>
        <v>261.20475283925128</v>
      </c>
      <c r="BJ24" s="59">
        <f t="shared" si="38"/>
        <v>247.06045079522403</v>
      </c>
      <c r="BK24" s="15">
        <f>IF(ISNA(VLOOKUP(A24,'Données projet'!$A$87:$I$107,3,0)),0,VLOOKUP(A24,'Données projet'!$A$87:$I$107,3,0))</f>
        <v>1</v>
      </c>
      <c r="BL24" s="15">
        <f>IF(ISNA(VLOOKUP(A24,'Données projet'!$A$87:$I$107,4,0)),0,VLOOKUP(A24,'Données projet'!$A$87:$I$107,4,0))</f>
        <v>61.169230769230765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0.30800000000000005</v>
      </c>
      <c r="BO24" s="16">
        <f>IF(ISNA(VLOOKUP(A24,'Données projet'!$A$87:$I$107,7,0)),0%,VLOOKUP(A24,'Données projet'!$A$87:$I$107,7,0))</f>
        <v>0.44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11.003250576151293</v>
      </c>
      <c r="BR24" s="21">
        <f>EXP(-LN(2)/2)*BR23+(1-EXP(-LN(2)/2))/(LN(2)/2)*BL24*BO24*VLOOKUP('Données projet'!$B$11,Paramètres!$A$1:$I$89,3,0)*0.475*44/12</f>
        <v>13.469252799975962</v>
      </c>
      <c r="BS24" s="22">
        <f t="shared" si="9"/>
        <v>24.472503376127257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6.1772727272727277</v>
      </c>
      <c r="BY24" s="12">
        <f>IF('Données projet'!$A$114&gt;35,BY23+BX24-CG23,IF(A24&lt;'Données projet'!$A$114,$BV$205^A24,IF(A24='Données projet'!$A$114,'Données projet'!$B$114,BY23+BX24-CG23)))</f>
        <v>108.70635554622977</v>
      </c>
      <c r="BZ24" s="13">
        <f>BY24*VLOOKUP('Données projet'!$B$12,Paramètres!$A$1:$I$89,3,0)*VLOOKUP('Données projet'!$B$12,Paramètres!$A$1:$I$89,5,0)</f>
        <v>62.180035372443434</v>
      </c>
      <c r="CA24" s="13">
        <f t="shared" si="39"/>
        <v>17.71830026943136</v>
      </c>
      <c r="CB24" s="20">
        <f t="shared" si="10"/>
        <v>139.1562679095986</v>
      </c>
      <c r="CC24" s="59">
        <f t="shared" si="11"/>
        <v>421.48960124293194</v>
      </c>
      <c r="CD24" s="59">
        <f ca="1">AVERAGE(OFFSET($CC$3,0,0,'Données projet'!$E$12+1,1))-AVERAGE(OFFSET($H$3,0,0,'Données projet'!$E$12+1,1))</f>
        <v>268.71706840132384</v>
      </c>
      <c r="CE24" s="59">
        <f t="shared" si="40"/>
        <v>199.92519498289477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4.0628205128205126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30.637155826073108</v>
      </c>
      <c r="P25" s="13">
        <f t="shared" si="33"/>
        <v>9.4798440138175533</v>
      </c>
      <c r="Q25" s="20">
        <f t="shared" si="2"/>
        <v>69.870441387809549</v>
      </c>
      <c r="R25" s="59">
        <f t="shared" si="0"/>
        <v>353.42599694336508</v>
      </c>
      <c r="S25" s="59">
        <f ca="1">AVERAGE(OFFSET($R$3,0,0,'Données projet'!$E$9+1,1))-AVERAGE(OFFSET($H$3,0,0,'Données projet'!$E$9+1,1))</f>
        <v>384.05928630855732</v>
      </c>
      <c r="T25" s="59">
        <f t="shared" si="34"/>
        <v>279.93992813630513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20.658974358974358</v>
      </c>
      <c r="AI25" s="13">
        <f>IF('Données projet'!$A$62&gt;35,AI24+AH25-AQ24,IF(A25&lt;'Données projet'!$A$62,$AF$205^A25,IF(A25='Données projet'!$A$62,'Données projet'!$B$62,AI24+AH25-AQ24)))</f>
        <v>196.24358974358969</v>
      </c>
      <c r="AJ25" s="13">
        <f>AI25*VLOOKUP('Données projet'!$B$10,Paramètres!$A$1:$I$89,3,0)*VLOOKUP('Données projet'!$B$10,Paramètres!$A$1:$I$89,5,0)</f>
        <v>109.70016666666663</v>
      </c>
      <c r="AK25" s="13">
        <f t="shared" si="35"/>
        <v>29.260330282475415</v>
      </c>
      <c r="AL25" s="20">
        <f t="shared" si="4"/>
        <v>242.02286551975575</v>
      </c>
      <c r="AM25" s="59">
        <f t="shared" si="5"/>
        <v>525.57842107531133</v>
      </c>
      <c r="AN25" s="59">
        <f ca="1">AVERAGE(OFFSET($AM$3,0,0,'Données projet'!$E$10+1,1))-AVERAGE(OFFSET($H$3,0,0,'Données projet'!$E$10+1,1))</f>
        <v>335.04906256888819</v>
      </c>
      <c r="AO25" s="59">
        <f t="shared" si="36"/>
        <v>440.84111898279554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14.107482941808591</v>
      </c>
      <c r="AW25" s="21">
        <f>EXP(-LN(2)/2)*AW24+(1-EXP(-LN(2)/2))/(LN(2)/2)*AQ25*AT25*VLOOKUP('Données projet'!$B$10,Paramètres!$A$1:$I$89,3,0)*0.475*44/12</f>
        <v>4.8236617117072758</v>
      </c>
      <c r="AX25" s="21">
        <f t="shared" si="6"/>
        <v>18.931144653515865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16.687912087912089</v>
      </c>
      <c r="BD25" s="12">
        <f>IF('Données projet'!$A$88&gt;35,BD24+BC25-BL24,IF(A25&lt;'Données projet'!$A$88,$BA$205^A25,IF(A25='Données projet'!$A$88,'Données projet'!$B$88,BD24+BC25-BL24)))</f>
        <v>135.58021978021975</v>
      </c>
      <c r="BE25" s="13">
        <f>BD25*VLOOKUP('Données projet'!$B$11,Paramètres!$A$1:$I$89,3,0)*VLOOKUP('Données projet'!$B$11,Paramètres!$A$1:$I$89,5,0)</f>
        <v>59.926457142857132</v>
      </c>
      <c r="BF25" s="13">
        <f t="shared" si="37"/>
        <v>17.149673743771672</v>
      </c>
      <c r="BG25" s="20">
        <f t="shared" si="7"/>
        <v>134.24092796087848</v>
      </c>
      <c r="BH25" s="59">
        <f t="shared" si="8"/>
        <v>417.79648351643402</v>
      </c>
      <c r="BI25" s="59">
        <f ca="1">AVERAGE(OFFSET($BH$3,0,0,'Données projet'!$E$11+1,1))-AVERAGE(OFFSET($H$3,0,0,'Données projet'!$E$11+1,1))</f>
        <v>261.20475283925128</v>
      </c>
      <c r="BJ25" s="59">
        <f t="shared" si="38"/>
        <v>247.06045079522403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10.702366110510637</v>
      </c>
      <c r="BR25" s="21">
        <f>EXP(-LN(2)/2)*BR24+(1-EXP(-LN(2)/2))/(LN(2)/2)*BL25*BO25*VLOOKUP('Données projet'!$B$11,Paramètres!$A$1:$I$89,3,0)*0.475*44/12</f>
        <v>9.5241999923788949</v>
      </c>
      <c r="BS25" s="22">
        <f t="shared" si="9"/>
        <v>20.226566102889532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135.9</v>
      </c>
      <c r="BW25" s="12">
        <f>VLOOKUP(A25,'Données projet'!$A$113:$I$133,9,0)</f>
        <v>6.1772727272727277</v>
      </c>
      <c r="BX25" s="12">
        <f t="array" ref="BX25">INDEX(BW:BW,MIN(IF(ISNUMBER(BW25:BW221),ROW(BW25:BW221),"")))</f>
        <v>6.1772727272727277</v>
      </c>
      <c r="BY25" s="12">
        <f>IF('Données projet'!$A$114&gt;35,BY24+BX25-CG24,IF(A25&lt;'Données projet'!$A$114,$BV$205^A25,IF(A25='Données projet'!$A$114,'Données projet'!$B$114,BY24+BX25-CG24)))</f>
        <v>135.9</v>
      </c>
      <c r="BZ25" s="13">
        <f>BY25*VLOOKUP('Données projet'!$B$12,Paramètres!$A$1:$I$89,3,0)*VLOOKUP('Données projet'!$B$12,Paramètres!$A$1:$I$89,5,0)</f>
        <v>77.734800000000007</v>
      </c>
      <c r="CA25" s="13">
        <f t="shared" si="39"/>
        <v>21.582408475749141</v>
      </c>
      <c r="CB25" s="20">
        <f t="shared" si="10"/>
        <v>172.97747142859643</v>
      </c>
      <c r="CC25" s="59">
        <f t="shared" si="11"/>
        <v>456.533026984152</v>
      </c>
      <c r="CD25" s="59">
        <f ca="1">AVERAGE(OFFSET($CC$3,0,0,'Données projet'!$E$12+1,1))-AVERAGE(OFFSET($H$3,0,0,'Données projet'!$E$12+1,1))</f>
        <v>268.71706840132384</v>
      </c>
      <c r="CE25" s="59">
        <f t="shared" si="40"/>
        <v>199.92519498289477</v>
      </c>
      <c r="CF25" s="15">
        <f>IF(ISNA(VLOOKUP(A25,'Données projet'!$A$113:$I$133,3,0)),0,VLOOKUP(A25,'Données projet'!$A$113:$I$133,3,0))</f>
        <v>1</v>
      </c>
      <c r="CG25" s="15">
        <f>IF(ISNA(VLOOKUP(A25,'Données projet'!$A$113:$I$133,4,0)),0,VLOOKUP(A25,'Données projet'!$A$113:$I$133,4,0))</f>
        <v>57.4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0.25200000000000006</v>
      </c>
      <c r="CJ25" s="16">
        <f>IF(ISNA(VLOOKUP(A25,'Données projet'!$A$113:$I$133,7,0)),0%,VLOOKUP(A25,'Données projet'!$A$113:$I$133,7,0))</f>
        <v>0.44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10.93260004428288</v>
      </c>
      <c r="CM25" s="21">
        <f>EXP(-LN(2)/2)*CM24+(1-EXP(-LN(2)/2))/(LN(2)/2)*CG25*CJ25*VLOOKUP('Données projet'!$B$12,Paramètres!$A$1:$I$89,3,0)*0.475*44/12</f>
        <v>16.356716894419858</v>
      </c>
      <c r="CN25" s="22">
        <f t="shared" si="12"/>
        <v>27.28931693870274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4.0628205128205126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35.956720579430062</v>
      </c>
      <c r="P26" s="13">
        <f t="shared" si="33"/>
        <v>10.920419940209383</v>
      </c>
      <c r="Q26" s="20">
        <f t="shared" si="2"/>
        <v>81.644353071705368</v>
      </c>
      <c r="R26" s="59">
        <f t="shared" si="0"/>
        <v>366.42213084948315</v>
      </c>
      <c r="S26" s="59">
        <f ca="1">AVERAGE(OFFSET($R$3,0,0,'Données projet'!$E$9+1,1))-AVERAGE(OFFSET($H$3,0,0,'Données projet'!$E$9+1,1))</f>
        <v>384.05928630855732</v>
      </c>
      <c r="T26" s="59">
        <f t="shared" si="34"/>
        <v>279.93992813630513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20.658974358974358</v>
      </c>
      <c r="AI26" s="13">
        <f>IF('Données projet'!$A$62&gt;35,AI25+AH26-AQ25,IF(A26&lt;'Données projet'!$A$62,$AF$205^A26,IF(A26='Données projet'!$A$62,'Données projet'!$B$62,AI25+AH26-AQ25)))</f>
        <v>216.90256410256404</v>
      </c>
      <c r="AJ26" s="13">
        <f>AI26*VLOOKUP('Données projet'!$B$10,Paramètres!$A$1:$I$89,3,0)*VLOOKUP('Données projet'!$B$10,Paramètres!$A$1:$I$89,5,0)</f>
        <v>121.2485333333333</v>
      </c>
      <c r="AK26" s="13">
        <f t="shared" si="35"/>
        <v>31.966023537079113</v>
      </c>
      <c r="AL26" s="20">
        <f t="shared" si="4"/>
        <v>266.84868654930165</v>
      </c>
      <c r="AM26" s="59">
        <f t="shared" si="5"/>
        <v>551.62646432707947</v>
      </c>
      <c r="AN26" s="59">
        <f ca="1">AVERAGE(OFFSET($AM$3,0,0,'Données projet'!$E$10+1,1))-AVERAGE(OFFSET($H$3,0,0,'Données projet'!$E$10+1,1))</f>
        <v>335.04906256888819</v>
      </c>
      <c r="AO26" s="59">
        <f t="shared" si="36"/>
        <v>440.84111898279554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13.72171307888455</v>
      </c>
      <c r="AW26" s="21">
        <f>EXP(-LN(2)/2)*AW25+(1-EXP(-LN(2)/2))/(LN(2)/2)*AQ26*AT26*VLOOKUP('Données projet'!$B$10,Paramètres!$A$1:$I$89,3,0)*0.475*44/12</f>
        <v>3.410843906498124</v>
      </c>
      <c r="AX26" s="21">
        <f t="shared" si="6"/>
        <v>17.132556985382674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16.687912087912089</v>
      </c>
      <c r="BD26" s="12">
        <f>IF('Données projet'!$A$88&gt;35,BD25+BC26-BL25,IF(A26&lt;'Données projet'!$A$88,$BA$205^A26,IF(A26='Données projet'!$A$88,'Données projet'!$B$88,BD25+BC26-BL25)))</f>
        <v>152.26813186813183</v>
      </c>
      <c r="BE26" s="13">
        <f>BD26*VLOOKUP('Données projet'!$B$11,Paramètres!$A$1:$I$89,3,0)*VLOOKUP('Données projet'!$B$11,Paramètres!$A$1:$I$89,5,0)</f>
        <v>67.302514285714281</v>
      </c>
      <c r="BF26" s="13">
        <f t="shared" si="37"/>
        <v>19.002052416028782</v>
      </c>
      <c r="BG26" s="20">
        <f t="shared" si="7"/>
        <v>150.31378700553583</v>
      </c>
      <c r="BH26" s="59">
        <f t="shared" si="8"/>
        <v>435.09156478331363</v>
      </c>
      <c r="BI26" s="59">
        <f ca="1">AVERAGE(OFFSET($BH$3,0,0,'Données projet'!$E$11+1,1))-AVERAGE(OFFSET($H$3,0,0,'Données projet'!$E$11+1,1))</f>
        <v>261.20475283925128</v>
      </c>
      <c r="BJ26" s="59">
        <f t="shared" si="38"/>
        <v>247.06045079522403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10.40970934640575</v>
      </c>
      <c r="BR26" s="21">
        <f>EXP(-LN(2)/2)*BR25+(1-EXP(-LN(2)/2))/(LN(2)/2)*BL26*BO26*VLOOKUP('Données projet'!$B$11,Paramètres!$A$1:$I$89,3,0)*0.475*44/12</f>
        <v>6.734626399987981</v>
      </c>
      <c r="BS26" s="22">
        <f t="shared" si="9"/>
        <v>17.144335746393729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10.200000000000001</v>
      </c>
      <c r="BY26" s="12">
        <f>IF('Données projet'!$A$114&gt;35,BY25+BX26-CG25,IF(A26&lt;'Données projet'!$A$114,$BV$205^A26,IF(A26='Données projet'!$A$114,'Données projet'!$B$114,BY25+BX26-CG25)))</f>
        <v>88.699999999999989</v>
      </c>
      <c r="BZ26" s="13">
        <f>BY26*VLOOKUP('Données projet'!$B$12,Paramètres!$A$1:$I$89,3,0)*VLOOKUP('Données projet'!$B$12,Paramètres!$A$1:$I$89,5,0)</f>
        <v>50.736400000000003</v>
      </c>
      <c r="CA26" s="13">
        <f t="shared" si="39"/>
        <v>14.803776046039861</v>
      </c>
      <c r="CB26" s="20">
        <f t="shared" si="10"/>
        <v>114.14913994685274</v>
      </c>
      <c r="CC26" s="59">
        <f t="shared" si="11"/>
        <v>398.92691772463053</v>
      </c>
      <c r="CD26" s="59">
        <f ca="1">AVERAGE(OFFSET($CC$3,0,0,'Données projet'!$E$12+1,1))-AVERAGE(OFFSET($H$3,0,0,'Données projet'!$E$12+1,1))</f>
        <v>268.71706840132384</v>
      </c>
      <c r="CE26" s="59">
        <f t="shared" si="40"/>
        <v>199.92519498289477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10.633647521151515</v>
      </c>
      <c r="CM26" s="21">
        <f>EXP(-LN(2)/2)*CM25+(1-EXP(-LN(2)/2))/(LN(2)/2)*CG26*CJ26*VLOOKUP('Données projet'!$B$12,Paramètres!$A$1:$I$89,3,0)*0.475*44/12</f>
        <v>11.565945433992848</v>
      </c>
      <c r="CN26" s="22">
        <f t="shared" si="12"/>
        <v>22.199592955144361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4.0628205128205126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42.199927505245967</v>
      </c>
      <c r="P27" s="13">
        <f t="shared" si="33"/>
        <v>12.579908645827834</v>
      </c>
      <c r="Q27" s="20">
        <f t="shared" si="2"/>
        <v>95.408214629786869</v>
      </c>
      <c r="R27" s="59">
        <f t="shared" si="0"/>
        <v>381.40821462978687</v>
      </c>
      <c r="S27" s="59">
        <f ca="1">AVERAGE(OFFSET($R$3,0,0,'Données projet'!$E$9+1,1))-AVERAGE(OFFSET($H$3,0,0,'Données projet'!$E$9+1,1))</f>
        <v>384.05928630855732</v>
      </c>
      <c r="T27" s="59">
        <f t="shared" si="34"/>
        <v>279.93992813630513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237.56153846153845</v>
      </c>
      <c r="AG27" s="12">
        <f>VLOOKUP(A27,'Données projet'!$A$61:$I$81,9,0)</f>
        <v>20.658974358974358</v>
      </c>
      <c r="AH27" s="12">
        <f t="array" ref="AH27">INDEX(AG:AG,MIN(IF(ISNUMBER(AG27:AG223),ROW(AG27:AG223),"")))</f>
        <v>20.658974358974358</v>
      </c>
      <c r="AI27" s="13">
        <f>IF('Données projet'!$A$62&gt;35,AI26+AH27-AQ26,IF(A27&lt;'Données projet'!$A$62,$AF$205^A27,IF(A27='Données projet'!$A$62,'Données projet'!$B$62,AI26+AH27-AQ26)))</f>
        <v>237.56153846153839</v>
      </c>
      <c r="AJ27" s="13">
        <f>AI27*VLOOKUP('Données projet'!$B$10,Paramètres!$A$1:$I$89,3,0)*VLOOKUP('Données projet'!$B$10,Paramètres!$A$1:$I$89,5,0)</f>
        <v>132.79689999999997</v>
      </c>
      <c r="AK27" s="13">
        <f t="shared" si="35"/>
        <v>34.641837967861036</v>
      </c>
      <c r="AL27" s="20">
        <f t="shared" si="4"/>
        <v>291.62246862735793</v>
      </c>
      <c r="AM27" s="59">
        <f t="shared" si="5"/>
        <v>577.62246862735788</v>
      </c>
      <c r="AN27" s="59">
        <f ca="1">AVERAGE(OFFSET($AM$3,0,0,'Données projet'!$E$10+1,1))-AVERAGE(OFFSET($H$3,0,0,'Données projet'!$E$10+1,1))</f>
        <v>335.04906256888819</v>
      </c>
      <c r="AO27" s="59">
        <f t="shared" si="36"/>
        <v>440.84111898279554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42.661538461538463</v>
      </c>
      <c r="AR27" s="16">
        <f>IF(ISNA(VLOOKUP(A27,'Données projet'!$A$61:$I$81,5,0)),0%,VLOOKUP(A27,'Données projet'!$A$61:$I$81,5,0)*VLOOKUP('Données projet'!$B$10,Paramètres!$A$1:$I$89,7,0))</f>
        <v>0.38500000000000001</v>
      </c>
      <c r="AS27" s="16">
        <f>IF(ISNA(VLOOKUP(A27,'Données projet'!$A$61:$I$81,6,0)),0%,VLOOKUP(A27,'Données projet'!$A$61:$I$81,6,0)*VLOOKUP('Données projet'!$B$10,Paramètres!$A$1:$I$89,7,0))</f>
        <v>9.240000000000001E-2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12.179722870865961</v>
      </c>
      <c r="AV27" s="21">
        <f>EXP(-LN(2)/25)*AV26+(1-EXP(-LN(2)/25))/(LN(2)/25)*Calculateur!AQ27*Calculateur!AS27*VLOOKUP('Données projet'!$B$10,Paramètres!$A$1:$I$89,3,0)*0.475*44/12</f>
        <v>16.25811611180935</v>
      </c>
      <c r="AW27" s="21">
        <f>EXP(-LN(2)/2)*AW26+(1-EXP(-LN(2)/2))/(LN(2)/2)*AQ27*AT27*VLOOKUP('Données projet'!$B$10,Paramètres!$A$1:$I$89,3,0)*0.475*44/12</f>
        <v>5.9759957746672558</v>
      </c>
      <c r="AX27" s="21">
        <f t="shared" si="6"/>
        <v>34.413834757342563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16.687912087912089</v>
      </c>
      <c r="BD27" s="12">
        <f>IF('Données projet'!$A$88&gt;35,BD26+BC27-BL26,IF(A27&lt;'Données projet'!$A$88,$BA$205^A27,IF(A27='Données projet'!$A$88,'Données projet'!$B$88,BD26+BC27-BL26)))</f>
        <v>168.95604395604391</v>
      </c>
      <c r="BE27" s="13">
        <f>BD27*VLOOKUP('Données projet'!$B$11,Paramètres!$A$1:$I$89,3,0)*VLOOKUP('Données projet'!$B$11,Paramètres!$A$1:$I$89,5,0)</f>
        <v>74.678571428571416</v>
      </c>
      <c r="BF27" s="13">
        <f t="shared" si="37"/>
        <v>20.83090084931197</v>
      </c>
      <c r="BG27" s="20">
        <f t="shared" si="7"/>
        <v>166.34566421731355</v>
      </c>
      <c r="BH27" s="59">
        <f t="shared" si="8"/>
        <v>452.34566421731358</v>
      </c>
      <c r="BI27" s="59">
        <f ca="1">AVERAGE(OFFSET($BH$3,0,0,'Données projet'!$E$11+1,1))-AVERAGE(OFFSET($H$3,0,0,'Données projet'!$E$11+1,1))</f>
        <v>261.20475283925128</v>
      </c>
      <c r="BJ27" s="59">
        <f t="shared" si="38"/>
        <v>247.06045079522403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10.125055296905462</v>
      </c>
      <c r="BR27" s="21">
        <f>EXP(-LN(2)/2)*BR26+(1-EXP(-LN(2)/2))/(LN(2)/2)*BL27*BO27*VLOOKUP('Données projet'!$B$11,Paramètres!$A$1:$I$89,3,0)*0.475*44/12</f>
        <v>4.7620999961894475</v>
      </c>
      <c r="BS27" s="22">
        <f t="shared" si="9"/>
        <v>14.88715529309491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10.200000000000001</v>
      </c>
      <c r="BY27" s="12">
        <f>IF('Données projet'!$A$114&gt;35,BY26+BX27-CG26,IF(A27&lt;'Données projet'!$A$114,$BV$205^A27,IF(A27='Données projet'!$A$114,'Données projet'!$B$114,BY26+BX27-CG26)))</f>
        <v>98.899999999999991</v>
      </c>
      <c r="BZ27" s="13">
        <f>BY27*VLOOKUP('Données projet'!$B$12,Paramètres!$A$1:$I$89,3,0)*VLOOKUP('Données projet'!$B$12,Paramètres!$A$1:$I$89,5,0)</f>
        <v>56.570799999999998</v>
      </c>
      <c r="CA27" s="13">
        <f t="shared" si="39"/>
        <v>16.298312445903637</v>
      </c>
      <c r="CB27" s="20">
        <f t="shared" si="10"/>
        <v>126.91370417661551</v>
      </c>
      <c r="CC27" s="59">
        <f t="shared" si="11"/>
        <v>412.91370417661551</v>
      </c>
      <c r="CD27" s="59">
        <f ca="1">AVERAGE(OFFSET($CC$3,0,0,'Données projet'!$E$12+1,1))-AVERAGE(OFFSET($H$3,0,0,'Données projet'!$E$12+1,1))</f>
        <v>268.71706840132384</v>
      </c>
      <c r="CE27" s="59">
        <f t="shared" si="40"/>
        <v>199.92519498289477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10.342869870486407</v>
      </c>
      <c r="CM27" s="21">
        <f>EXP(-LN(2)/2)*CM26+(1-EXP(-LN(2)/2))/(LN(2)/2)*CG27*CJ27*VLOOKUP('Données projet'!$B$12,Paramètres!$A$1:$I$89,3,0)*0.475*44/12</f>
        <v>8.1783584472099307</v>
      </c>
      <c r="CN27" s="22">
        <f t="shared" si="12"/>
        <v>18.521228317696337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4.0628205128205126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49.527149660772622</v>
      </c>
      <c r="P28" s="13">
        <f t="shared" si="33"/>
        <v>14.49157655143614</v>
      </c>
      <c r="Q28" s="20">
        <f t="shared" si="2"/>
        <v>111.49928148626357</v>
      </c>
      <c r="R28" s="59">
        <f t="shared" si="0"/>
        <v>398.72150370848578</v>
      </c>
      <c r="S28" s="59">
        <f ca="1">AVERAGE(OFFSET($R$3,0,0,'Données projet'!$E$9+1,1))-AVERAGE(OFFSET($H$3,0,0,'Données projet'!$E$9+1,1))</f>
        <v>384.05928630855732</v>
      </c>
      <c r="T28" s="59">
        <f t="shared" si="34"/>
        <v>279.93992813630513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22.828205128205127</v>
      </c>
      <c r="AI28" s="13">
        <f>IF('Données projet'!$A$62&gt;35,AI27+AH28-AQ27,IF(A28&lt;'Données projet'!$A$62,$AF$205^A28,IF(A28='Données projet'!$A$62,'Données projet'!$B$62,AI27+AH28-AQ27)))</f>
        <v>217.72820512820502</v>
      </c>
      <c r="AJ28" s="13">
        <f>AI28*VLOOKUP('Données projet'!$B$10,Paramètres!$A$1:$I$89,3,0)*VLOOKUP('Données projet'!$B$10,Paramètres!$A$1:$I$89,5,0)</f>
        <v>121.71006666666661</v>
      </c>
      <c r="AK28" s="13">
        <f t="shared" si="35"/>
        <v>32.073515207801002</v>
      </c>
      <c r="AL28" s="20">
        <f t="shared" si="4"/>
        <v>267.83973843136442</v>
      </c>
      <c r="AM28" s="59">
        <f t="shared" si="5"/>
        <v>555.06196065358665</v>
      </c>
      <c r="AN28" s="59">
        <f ca="1">AVERAGE(OFFSET($AM$3,0,0,'Données projet'!$E$10+1,1))-AVERAGE(OFFSET($H$3,0,0,'Données projet'!$E$10+1,1))</f>
        <v>335.04906256888819</v>
      </c>
      <c r="AO28" s="59">
        <f t="shared" si="36"/>
        <v>440.84111898279554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11.940885934265687</v>
      </c>
      <c r="AV28" s="21">
        <f>EXP(-LN(2)/25)*AV27+(1-EXP(-LN(2)/25))/(LN(2)/25)*Calculateur!AQ28*Calculateur!AS28*VLOOKUP('Données projet'!$B$10,Paramètres!$A$1:$I$89,3,0)*0.475*44/12</f>
        <v>15.813537071754755</v>
      </c>
      <c r="AW28" s="21">
        <f>EXP(-LN(2)/2)*AW27+(1-EXP(-LN(2)/2))/(LN(2)/2)*AQ28*AT28*VLOOKUP('Données projet'!$B$10,Paramètres!$A$1:$I$89,3,0)*0.475*44/12</f>
        <v>4.2256671366093723</v>
      </c>
      <c r="AX28" s="21">
        <f t="shared" si="6"/>
        <v>31.980090142629813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16.687912087912089</v>
      </c>
      <c r="BD28" s="12">
        <f>IF('Données projet'!$A$88&gt;35,BD27+BC28-BL27,IF(A28&lt;'Données projet'!$A$88,$BA$205^A28,IF(A28='Données projet'!$A$88,'Données projet'!$B$88,BD27+BC28-BL27)))</f>
        <v>185.643956043956</v>
      </c>
      <c r="BE28" s="13">
        <f>BD28*VLOOKUP('Données projet'!$B$11,Paramètres!$A$1:$I$89,3,0)*VLOOKUP('Données projet'!$B$11,Paramètres!$A$1:$I$89,5,0)</f>
        <v>82.054628571428566</v>
      </c>
      <c r="BF28" s="13">
        <f t="shared" si="37"/>
        <v>22.638807666819357</v>
      </c>
      <c r="BG28" s="20">
        <f t="shared" si="7"/>
        <v>182.34106811494846</v>
      </c>
      <c r="BH28" s="59">
        <f t="shared" si="8"/>
        <v>469.56329033717066</v>
      </c>
      <c r="BI28" s="59">
        <f ca="1">AVERAGE(OFFSET($BH$3,0,0,'Données projet'!$E$11+1,1))-AVERAGE(OFFSET($H$3,0,0,'Données projet'!$E$11+1,1))</f>
        <v>261.20475283925128</v>
      </c>
      <c r="BJ28" s="59">
        <f t="shared" si="38"/>
        <v>247.06045079522403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9.8481851273580645</v>
      </c>
      <c r="BR28" s="21">
        <f>EXP(-LN(2)/2)*BR27+(1-EXP(-LN(2)/2))/(LN(2)/2)*BL28*BO28*VLOOKUP('Données projet'!$B$11,Paramètres!$A$1:$I$89,3,0)*0.475*44/12</f>
        <v>3.3673131999939905</v>
      </c>
      <c r="BS28" s="22">
        <f t="shared" si="9"/>
        <v>13.215498327352055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10.200000000000001</v>
      </c>
      <c r="BY28" s="12">
        <f>IF('Données projet'!$A$114&gt;35,BY27+BX28-CG27,IF(A28&lt;'Données projet'!$A$114,$BV$205^A28,IF(A28='Données projet'!$A$114,'Données projet'!$B$114,BY27+BX28-CG27)))</f>
        <v>109.1</v>
      </c>
      <c r="BZ28" s="13">
        <f>BY28*VLOOKUP('Données projet'!$B$12,Paramètres!$A$1:$I$89,3,0)*VLOOKUP('Données projet'!$B$12,Paramètres!$A$1:$I$89,5,0)</f>
        <v>62.405200000000001</v>
      </c>
      <c r="CA28" s="13">
        <f t="shared" si="39"/>
        <v>17.774981014494085</v>
      </c>
      <c r="CB28" s="20">
        <f t="shared" si="10"/>
        <v>139.64714860024384</v>
      </c>
      <c r="CC28" s="59">
        <f t="shared" si="11"/>
        <v>426.86937082246607</v>
      </c>
      <c r="CD28" s="59">
        <f ca="1">AVERAGE(OFFSET($CC$3,0,0,'Données projet'!$E$12+1,1))-AVERAGE(OFFSET($H$3,0,0,'Données projet'!$E$12+1,1))</f>
        <v>268.71706840132384</v>
      </c>
      <c r="CE28" s="59">
        <f t="shared" si="40"/>
        <v>199.92519498289477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10.060043549970068</v>
      </c>
      <c r="CM28" s="21">
        <f>EXP(-LN(2)/2)*CM27+(1-EXP(-LN(2)/2))/(LN(2)/2)*CG28*CJ28*VLOOKUP('Données projet'!$B$12,Paramètres!$A$1:$I$89,3,0)*0.475*44/12</f>
        <v>5.7829727169964258</v>
      </c>
      <c r="CN28" s="22">
        <f t="shared" si="12"/>
        <v>15.843016266966494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4.0628205128205126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58.126605862430431</v>
      </c>
      <c r="P29" s="13">
        <f t="shared" si="33"/>
        <v>16.69374530917462</v>
      </c>
      <c r="Q29" s="20">
        <f t="shared" si="2"/>
        <v>130.31211162387879</v>
      </c>
      <c r="R29" s="59">
        <f t="shared" si="0"/>
        <v>418.75655606832322</v>
      </c>
      <c r="S29" s="59">
        <f ca="1">AVERAGE(OFFSET($R$3,0,0,'Données projet'!$E$9+1,1))-AVERAGE(OFFSET($H$3,0,0,'Données projet'!$E$9+1,1))</f>
        <v>384.05928630855732</v>
      </c>
      <c r="T29" s="59">
        <f t="shared" si="34"/>
        <v>279.93992813630513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22.828205128205127</v>
      </c>
      <c r="AI29" s="13">
        <f>IF('Données projet'!$A$62&gt;35,AI28+AH29-AQ28,IF(A29&lt;'Données projet'!$A$62,$AF$205^A29,IF(A29='Données projet'!$A$62,'Données projet'!$B$62,AI28+AH29-AQ28)))</f>
        <v>240.55641025641015</v>
      </c>
      <c r="AJ29" s="13">
        <f>AI29*VLOOKUP('Données projet'!$B$10,Paramètres!$A$1:$I$89,3,0)*VLOOKUP('Données projet'!$B$10,Paramètres!$A$1:$I$89,5,0)</f>
        <v>134.47103333333328</v>
      </c>
      <c r="AK29" s="13">
        <f t="shared" si="35"/>
        <v>35.027441907439481</v>
      </c>
      <c r="AL29" s="20">
        <f t="shared" si="4"/>
        <v>295.20984437767919</v>
      </c>
      <c r="AM29" s="59">
        <f t="shared" si="5"/>
        <v>583.65428882212359</v>
      </c>
      <c r="AN29" s="59">
        <f ca="1">AVERAGE(OFFSET($AM$3,0,0,'Données projet'!$E$10+1,1))-AVERAGE(OFFSET($H$3,0,0,'Données projet'!$E$10+1,1))</f>
        <v>335.04906256888819</v>
      </c>
      <c r="AO29" s="59">
        <f t="shared" si="36"/>
        <v>440.84111898279554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11.706732444315998</v>
      </c>
      <c r="AV29" s="21">
        <f>EXP(-LN(2)/25)*AV28+(1-EXP(-LN(2)/25))/(LN(2)/25)*Calculateur!AQ29*Calculateur!AS29*VLOOKUP('Données projet'!$B$10,Paramètres!$A$1:$I$89,3,0)*0.475*44/12</f>
        <v>15.38111506892985</v>
      </c>
      <c r="AW29" s="21">
        <f>EXP(-LN(2)/2)*AW28+(1-EXP(-LN(2)/2))/(LN(2)/2)*AQ29*AT29*VLOOKUP('Données projet'!$B$10,Paramètres!$A$1:$I$89,3,0)*0.475*44/12</f>
        <v>2.9879978873336284</v>
      </c>
      <c r="AX29" s="21">
        <f t="shared" si="6"/>
        <v>30.075845400579475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16.687912087912089</v>
      </c>
      <c r="BD29" s="12">
        <f>IF('Données projet'!$A$88&gt;35,BD28+BC29-BL28,IF(A29&lt;'Données projet'!$A$88,$BA$205^A29,IF(A29='Données projet'!$A$88,'Données projet'!$B$88,BD28+BC29-BL28)))</f>
        <v>202.33186813186808</v>
      </c>
      <c r="BE29" s="13">
        <f>BD29*VLOOKUP('Données projet'!$B$11,Paramètres!$A$1:$I$89,3,0)*VLOOKUP('Données projet'!$B$11,Paramètres!$A$1:$I$89,5,0)</f>
        <v>89.430685714285701</v>
      </c>
      <c r="BF29" s="13">
        <f t="shared" si="37"/>
        <v>24.427869428159632</v>
      </c>
      <c r="BG29" s="20">
        <f t="shared" si="7"/>
        <v>198.3036502064256</v>
      </c>
      <c r="BH29" s="59">
        <f t="shared" si="8"/>
        <v>486.74809465087003</v>
      </c>
      <c r="BI29" s="59">
        <f ca="1">AVERAGE(OFFSET($BH$3,0,0,'Données projet'!$E$11+1,1))-AVERAGE(OFFSET($H$3,0,0,'Données projet'!$E$11+1,1))</f>
        <v>261.20475283925128</v>
      </c>
      <c r="BJ29" s="59">
        <f t="shared" si="38"/>
        <v>247.06045079522403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9.5788859871569105</v>
      </c>
      <c r="BR29" s="21">
        <f>EXP(-LN(2)/2)*BR28+(1-EXP(-LN(2)/2))/(LN(2)/2)*BL29*BO29*VLOOKUP('Données projet'!$B$11,Paramètres!$A$1:$I$89,3,0)*0.475*44/12</f>
        <v>2.3810499980947237</v>
      </c>
      <c r="BS29" s="22">
        <f t="shared" si="9"/>
        <v>11.959935985251635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10.200000000000001</v>
      </c>
      <c r="BY29" s="12">
        <f>IF('Données projet'!$A$114&gt;35,BY28+BX29-CG28,IF(A29&lt;'Données projet'!$A$114,$BV$205^A29,IF(A29='Données projet'!$A$114,'Données projet'!$B$114,BY28+BX29-CG28)))</f>
        <v>119.3</v>
      </c>
      <c r="BZ29" s="13">
        <f>BY29*VLOOKUP('Données projet'!$B$12,Paramètres!$A$1:$I$89,3,0)*VLOOKUP('Données projet'!$B$12,Paramètres!$A$1:$I$89,5,0)</f>
        <v>68.239599999999996</v>
      </c>
      <c r="CA29" s="13">
        <f t="shared" si="39"/>
        <v>19.23564227634591</v>
      </c>
      <c r="CB29" s="20">
        <f t="shared" si="10"/>
        <v>152.35271363130246</v>
      </c>
      <c r="CC29" s="59">
        <f t="shared" si="11"/>
        <v>440.79715807574689</v>
      </c>
      <c r="CD29" s="59">
        <f ca="1">AVERAGE(OFFSET($CC$3,0,0,'Données projet'!$E$12+1,1))-AVERAGE(OFFSET($H$3,0,0,'Données projet'!$E$12+1,1))</f>
        <v>268.71706840132384</v>
      </c>
      <c r="CE29" s="59">
        <f t="shared" si="40"/>
        <v>199.92519498289477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9.7849511300614385</v>
      </c>
      <c r="CM29" s="21">
        <f>EXP(-LN(2)/2)*CM28+(1-EXP(-LN(2)/2))/(LN(2)/2)*CG29*CJ29*VLOOKUP('Données projet'!$B$12,Paramètres!$A$1:$I$89,3,0)*0.475*44/12</f>
        <v>4.0891792236049662</v>
      </c>
      <c r="CN29" s="22">
        <f t="shared" si="12"/>
        <v>13.874130353666406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4.0628205128205126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68.219195577135991</v>
      </c>
      <c r="P30" s="13">
        <f t="shared" si="33"/>
        <v>19.230560005562129</v>
      </c>
      <c r="Q30" s="20">
        <f t="shared" si="2"/>
        <v>152.30832430653254</v>
      </c>
      <c r="R30" s="59">
        <f t="shared" si="0"/>
        <v>441.97499097319923</v>
      </c>
      <c r="S30" s="59">
        <f ca="1">AVERAGE(OFFSET($R$3,0,0,'Données projet'!$E$9+1,1))-AVERAGE(OFFSET($H$3,0,0,'Données projet'!$E$9+1,1))</f>
        <v>384.05928630855732</v>
      </c>
      <c r="T30" s="59">
        <f t="shared" si="34"/>
        <v>279.93992813630513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22.828205128205127</v>
      </c>
      <c r="AI30" s="13">
        <f>IF('Données projet'!$A$62&gt;35,AI29+AH30-AQ29,IF(A30&lt;'Données projet'!$A$62,$AF$205^A30,IF(A30='Données projet'!$A$62,'Données projet'!$B$62,AI29+AH30-AQ29)))</f>
        <v>263.38461538461524</v>
      </c>
      <c r="AJ30" s="13">
        <f>AI30*VLOOKUP('Données projet'!$B$10,Paramètres!$A$1:$I$89,3,0)*VLOOKUP('Données projet'!$B$10,Paramètres!$A$1:$I$89,5,0)</f>
        <v>147.23199999999994</v>
      </c>
      <c r="AK30" s="13">
        <f t="shared" si="35"/>
        <v>37.948867426510738</v>
      </c>
      <c r="AL30" s="20">
        <f t="shared" si="4"/>
        <v>322.52334410117277</v>
      </c>
      <c r="AM30" s="59">
        <f t="shared" si="5"/>
        <v>612.19001076783945</v>
      </c>
      <c r="AN30" s="59">
        <f ca="1">AVERAGE(OFFSET($AM$3,0,0,'Données projet'!$E$10+1,1))-AVERAGE(OFFSET($H$3,0,0,'Données projet'!$E$10+1,1))</f>
        <v>335.04906256888819</v>
      </c>
      <c r="AO30" s="59">
        <f t="shared" si="36"/>
        <v>440.84111898279554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11.477170561484696</v>
      </c>
      <c r="AV30" s="21">
        <f>EXP(-LN(2)/25)*AV29+(1-EXP(-LN(2)/25))/(LN(2)/25)*Calculateur!AQ30*Calculateur!AS30*VLOOKUP('Données projet'!$B$10,Paramètres!$A$1:$I$89,3,0)*0.475*44/12</f>
        <v>14.960517668512276</v>
      </c>
      <c r="AW30" s="21">
        <f>EXP(-LN(2)/2)*AW29+(1-EXP(-LN(2)/2))/(LN(2)/2)*AQ30*AT30*VLOOKUP('Données projet'!$B$10,Paramètres!$A$1:$I$89,3,0)*0.475*44/12</f>
        <v>2.1128335683046862</v>
      </c>
      <c r="AX30" s="21">
        <f t="shared" si="6"/>
        <v>28.550521798301659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16.687912087912089</v>
      </c>
      <c r="BD30" s="12">
        <f>IF('Données projet'!$A$88&gt;35,BD29+BC30-BL29,IF(A30&lt;'Données projet'!$A$88,$BA$205^A30,IF(A30='Données projet'!$A$88,'Données projet'!$B$88,BD29+BC30-BL29)))</f>
        <v>219.01978021978016</v>
      </c>
      <c r="BE30" s="13">
        <f>BD30*VLOOKUP('Données projet'!$B$11,Paramètres!$A$1:$I$89,3,0)*VLOOKUP('Données projet'!$B$11,Paramètres!$A$1:$I$89,5,0)</f>
        <v>96.806742857142851</v>
      </c>
      <c r="BF30" s="13">
        <f t="shared" si="37"/>
        <v>26.199817143138237</v>
      </c>
      <c r="BG30" s="20">
        <f t="shared" si="7"/>
        <v>214.23642533382289</v>
      </c>
      <c r="BH30" s="59">
        <f t="shared" si="8"/>
        <v>503.90309200048955</v>
      </c>
      <c r="BI30" s="59">
        <f ca="1">AVERAGE(OFFSET($BH$3,0,0,'Données projet'!$E$11+1,1))-AVERAGE(OFFSET($H$3,0,0,'Données projet'!$E$11+1,1))</f>
        <v>261.20475283925128</v>
      </c>
      <c r="BJ30" s="59">
        <f t="shared" si="38"/>
        <v>247.06045079522403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9.3169508461063835</v>
      </c>
      <c r="BR30" s="21">
        <f>EXP(-LN(2)/2)*BR29+(1-EXP(-LN(2)/2))/(LN(2)/2)*BL30*BO30*VLOOKUP('Données projet'!$B$11,Paramètres!$A$1:$I$89,3,0)*0.475*44/12</f>
        <v>1.6836565999969952</v>
      </c>
      <c r="BS30" s="22">
        <f t="shared" si="9"/>
        <v>11.000607446103379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10.200000000000001</v>
      </c>
      <c r="BY30" s="12">
        <f>IF('Données projet'!$A$114&gt;35,BY29+BX30-CG29,IF(A30&lt;'Données projet'!$A$114,$BV$205^A30,IF(A30='Données projet'!$A$114,'Données projet'!$B$114,BY29+BX30-CG29)))</f>
        <v>129.5</v>
      </c>
      <c r="BZ30" s="13">
        <f>BY30*VLOOKUP('Données projet'!$B$12,Paramètres!$A$1:$I$89,3,0)*VLOOKUP('Données projet'!$B$12,Paramètres!$A$1:$I$89,5,0)</f>
        <v>74.073999999999998</v>
      </c>
      <c r="CA30" s="13">
        <f t="shared" si="39"/>
        <v>20.681820441449279</v>
      </c>
      <c r="CB30" s="20">
        <f t="shared" si="10"/>
        <v>165.03305393552412</v>
      </c>
      <c r="CC30" s="59">
        <f t="shared" si="11"/>
        <v>454.69972060219084</v>
      </c>
      <c r="CD30" s="59">
        <f ca="1">AVERAGE(OFFSET($CC$3,0,0,'Données projet'!$E$12+1,1))-AVERAGE(OFFSET($H$3,0,0,'Données projet'!$E$12+1,1))</f>
        <v>268.71706840132384</v>
      </c>
      <c r="CE30" s="59">
        <f t="shared" si="40"/>
        <v>199.92519498289477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9.517381126841693</v>
      </c>
      <c r="CM30" s="21">
        <f>EXP(-LN(2)/2)*CM29+(1-EXP(-LN(2)/2))/(LN(2)/2)*CG30*CJ30*VLOOKUP('Données projet'!$B$12,Paramètres!$A$1:$I$89,3,0)*0.475*44/12</f>
        <v>2.8914863584982133</v>
      </c>
      <c r="CN30" s="22">
        <f t="shared" si="12"/>
        <v>12.408867485339906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4.0628205128205126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80.064173301395286</v>
      </c>
      <c r="P31" s="13">
        <f t="shared" si="33"/>
        <v>22.15287410215139</v>
      </c>
      <c r="Q31" s="20">
        <f t="shared" si="2"/>
        <v>178.02802422784376</v>
      </c>
      <c r="R31" s="59">
        <f t="shared" si="0"/>
        <v>468.91691311673264</v>
      </c>
      <c r="S31" s="59">
        <f ca="1">AVERAGE(OFFSET($R$3,0,0,'Données projet'!$E$9+1,1))-AVERAGE(OFFSET($H$3,0,0,'Données projet'!$E$9+1,1))</f>
        <v>384.05928630855732</v>
      </c>
      <c r="T31" s="59">
        <f t="shared" si="34"/>
        <v>279.93992813630513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22.828205128205127</v>
      </c>
      <c r="AI31" s="13">
        <f>IF('Données projet'!$A$62&gt;35,AI30+AH31-AQ30,IF(A31&lt;'Données projet'!$A$62,$AF$205^A31,IF(A31='Données projet'!$A$62,'Données projet'!$B$62,AI30+AH31-AQ30)))</f>
        <v>286.21282051282037</v>
      </c>
      <c r="AJ31" s="13">
        <f>AI31*VLOOKUP('Données projet'!$B$10,Paramètres!$A$1:$I$89,3,0)*VLOOKUP('Données projet'!$B$10,Paramètres!$A$1:$I$89,5,0)</f>
        <v>159.99296666666658</v>
      </c>
      <c r="AK31" s="13">
        <f t="shared" si="35"/>
        <v>40.840929014671453</v>
      </c>
      <c r="AL31" s="20">
        <f t="shared" si="4"/>
        <v>349.785701644997</v>
      </c>
      <c r="AM31" s="59">
        <f t="shared" si="5"/>
        <v>640.67459053388586</v>
      </c>
      <c r="AN31" s="59">
        <f ca="1">AVERAGE(OFFSET($AM$3,0,0,'Données projet'!$E$10+1,1))-AVERAGE(OFFSET($H$3,0,0,'Données projet'!$E$10+1,1))</f>
        <v>335.04906256888819</v>
      </c>
      <c r="AO31" s="59">
        <f t="shared" si="36"/>
        <v>440.84111898279554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11.252110247156793</v>
      </c>
      <c r="AV31" s="21">
        <f>EXP(-LN(2)/25)*AV30+(1-EXP(-LN(2)/25))/(LN(2)/25)*Calculateur!AQ31*Calculateur!AS31*VLOOKUP('Données projet'!$B$10,Paramètres!$A$1:$I$89,3,0)*0.475*44/12</f>
        <v>14.551421526127376</v>
      </c>
      <c r="AW31" s="21">
        <f>EXP(-LN(2)/2)*AW30+(1-EXP(-LN(2)/2))/(LN(2)/2)*AQ31*AT31*VLOOKUP('Données projet'!$B$10,Paramètres!$A$1:$I$89,3,0)*0.475*44/12</f>
        <v>1.4939989436668142</v>
      </c>
      <c r="AX31" s="21">
        <f t="shared" si="6"/>
        <v>27.297530716950984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>
        <f>VLOOKUP(A31,'Données projet'!$A$87:$I$107,2,0)</f>
        <v>235.7076923076923</v>
      </c>
      <c r="BB31" s="12">
        <f>VLOOKUP(A31,'Données projet'!$A$87:$I$107,9,0)</f>
        <v>16.687912087912089</v>
      </c>
      <c r="BC31" s="12">
        <f t="array" ref="BC31">INDEX(BB:BB,MIN(IF(ISNUMBER(BB31:BB227),ROW(BB31:BB227),"")))</f>
        <v>16.687912087912089</v>
      </c>
      <c r="BD31" s="12">
        <f>IF('Données projet'!$A$88&gt;35,BD30+BC31-BL30,IF(A31&lt;'Données projet'!$A$88,$BA$205^A31,IF(A31='Données projet'!$A$88,'Données projet'!$B$88,BD30+BC31-BL30)))</f>
        <v>235.70769230769224</v>
      </c>
      <c r="BE31" s="13">
        <f>BD31*VLOOKUP('Données projet'!$B$11,Paramètres!$A$1:$I$89,3,0)*VLOOKUP('Données projet'!$B$11,Paramètres!$A$1:$I$89,5,0)</f>
        <v>104.18279999999999</v>
      </c>
      <c r="BF31" s="13">
        <f t="shared" si="37"/>
        <v>27.956103058685983</v>
      </c>
      <c r="BG31" s="20">
        <f t="shared" si="7"/>
        <v>230.14192282721137</v>
      </c>
      <c r="BH31" s="59">
        <f t="shared" si="8"/>
        <v>521.03081171610029</v>
      </c>
      <c r="BI31" s="59">
        <f ca="1">AVERAGE(OFFSET($BH$3,0,0,'Données projet'!$E$11+1,1))-AVERAGE(OFFSET($H$3,0,0,'Données projet'!$E$11+1,1))</f>
        <v>261.20475283925128</v>
      </c>
      <c r="BJ31" s="59">
        <f t="shared" si="38"/>
        <v>247.06045079522403</v>
      </c>
      <c r="BK31" s="15">
        <f>IF(ISNA(VLOOKUP(A31,'Données projet'!$A$87:$I$107,3,0)),0,VLOOKUP(A31,'Données projet'!$A$87:$I$107,3,0))</f>
        <v>2</v>
      </c>
      <c r="BL31" s="15">
        <f>IF(ISNA(VLOOKUP(A31,'Données projet'!$A$87:$I$107,4,0)),0,VLOOKUP(A31,'Données projet'!$A$87:$I$107,4,0))</f>
        <v>56.91538461538461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0.30800000000000005</v>
      </c>
      <c r="BO31" s="16">
        <f>IF(ISNA(VLOOKUP(A31,'Données projet'!$A$87:$I$107,7,0)),0%,VLOOKUP(A31,'Données projet'!$A$87:$I$107,7,0))</f>
        <v>0.44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19.300238070290547</v>
      </c>
      <c r="BR31" s="21">
        <f>EXP(-LN(2)/2)*BR30+(1-EXP(-LN(2)/2))/(LN(2)/2)*BL31*BO31*VLOOKUP('Données projet'!$B$11,Paramètres!$A$1:$I$89,3,0)*0.475*44/12</f>
        <v>13.723095606067247</v>
      </c>
      <c r="BS31" s="22">
        <f t="shared" si="9"/>
        <v>33.023333676357794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10.200000000000001</v>
      </c>
      <c r="BY31" s="12">
        <f>IF('Données projet'!$A$114&gt;35,BY30+BX31-CG30,IF(A31&lt;'Données projet'!$A$114,$BV$205^A31,IF(A31='Données projet'!$A$114,'Données projet'!$B$114,BY30+BX31-CG30)))</f>
        <v>139.69999999999999</v>
      </c>
      <c r="BZ31" s="13">
        <f>BY31*VLOOKUP('Données projet'!$B$12,Paramètres!$A$1:$I$89,3,0)*VLOOKUP('Données projet'!$B$12,Paramètres!$A$1:$I$89,5,0)</f>
        <v>79.9084</v>
      </c>
      <c r="CA31" s="13">
        <f t="shared" si="39"/>
        <v>22.114785959331897</v>
      </c>
      <c r="CB31" s="20">
        <f t="shared" si="10"/>
        <v>177.69038221250307</v>
      </c>
      <c r="CC31" s="59">
        <f t="shared" si="11"/>
        <v>468.5792711013919</v>
      </c>
      <c r="CD31" s="59">
        <f ca="1">AVERAGE(OFFSET($CC$3,0,0,'Données projet'!$E$12+1,1))-AVERAGE(OFFSET($H$3,0,0,'Données projet'!$E$12+1,1))</f>
        <v>268.71706840132384</v>
      </c>
      <c r="CE31" s="59">
        <f t="shared" si="40"/>
        <v>199.92519498289477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9.2571278394308862</v>
      </c>
      <c r="CM31" s="21">
        <f>EXP(-LN(2)/2)*CM30+(1-EXP(-LN(2)/2))/(LN(2)/2)*CG31*CJ31*VLOOKUP('Données projet'!$B$12,Paramètres!$A$1:$I$89,3,0)*0.475*44/12</f>
        <v>2.0445896118024836</v>
      </c>
      <c r="CN31" s="22">
        <f t="shared" si="12"/>
        <v>11.301717451233369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4.0628205128205126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93.965808189393158</v>
      </c>
      <c r="P32" s="13">
        <f t="shared" si="33"/>
        <v>25.519268853524185</v>
      </c>
      <c r="Q32" s="20">
        <f t="shared" si="2"/>
        <v>208.10317584974769</v>
      </c>
      <c r="R32" s="59">
        <f t="shared" si="0"/>
        <v>500.21428696085883</v>
      </c>
      <c r="S32" s="59">
        <f ca="1">AVERAGE(OFFSET($R$3,0,0,'Données projet'!$E$9+1,1))-AVERAGE(OFFSET($H$3,0,0,'Données projet'!$E$9+1,1))</f>
        <v>384.05928630855732</v>
      </c>
      <c r="T32" s="59">
        <f t="shared" si="34"/>
        <v>279.93992813630513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22.828205128205127</v>
      </c>
      <c r="AI32" s="13">
        <f>IF('Données projet'!$A$62&gt;35,AI31+AH32-AQ31,IF(A32&lt;'Données projet'!$A$62,$AF$205^A32,IF(A32='Données projet'!$A$62,'Données projet'!$B$62,AI31+AH32-AQ31)))</f>
        <v>309.0410256410255</v>
      </c>
      <c r="AJ32" s="13">
        <f>AI32*VLOOKUP('Données projet'!$B$10,Paramètres!$A$1:$I$89,3,0)*VLOOKUP('Données projet'!$B$10,Paramètres!$A$1:$I$89,5,0)</f>
        <v>172.75393333333326</v>
      </c>
      <c r="AK32" s="13">
        <f t="shared" si="35"/>
        <v>43.706234996805463</v>
      </c>
      <c r="AL32" s="20">
        <f t="shared" si="4"/>
        <v>377.00145984165829</v>
      </c>
      <c r="AM32" s="59">
        <f t="shared" si="5"/>
        <v>669.11257095276937</v>
      </c>
      <c r="AN32" s="59">
        <f ca="1">AVERAGE(OFFSET($AM$3,0,0,'Données projet'!$E$10+1,1))-AVERAGE(OFFSET($H$3,0,0,'Données projet'!$E$10+1,1))</f>
        <v>335.04906256888819</v>
      </c>
      <c r="AO32" s="59">
        <f t="shared" si="36"/>
        <v>440.84111898279554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11.031463228319623</v>
      </c>
      <c r="AV32" s="21">
        <f>EXP(-LN(2)/25)*AV31+(1-EXP(-LN(2)/25))/(LN(2)/25)*Calculateur!AQ32*Calculateur!AS32*VLOOKUP('Données projet'!$B$10,Paramètres!$A$1:$I$89,3,0)*0.475*44/12</f>
        <v>14.153512139269422</v>
      </c>
      <c r="AW32" s="21">
        <f>EXP(-LN(2)/2)*AW31+(1-EXP(-LN(2)/2))/(LN(2)/2)*AQ32*AT32*VLOOKUP('Données projet'!$B$10,Paramètres!$A$1:$I$89,3,0)*0.475*44/12</f>
        <v>1.0564167841523431</v>
      </c>
      <c r="AX32" s="21">
        <f t="shared" si="6"/>
        <v>26.24139215174139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18.099999999999998</v>
      </c>
      <c r="BD32" s="12">
        <f>IF('Données projet'!$A$88&gt;35,BD31+BC32-BL31,IF(A32&lt;'Données projet'!$A$88,$BA$205^A32,IF(A32='Données projet'!$A$88,'Données projet'!$B$88,BD31+BC32-BL31)))</f>
        <v>196.89230769230761</v>
      </c>
      <c r="BE32" s="13">
        <f>BD32*VLOOKUP('Données projet'!$B$11,Paramètres!$A$1:$I$89,3,0)*VLOOKUP('Données projet'!$B$11,Paramètres!$A$1:$I$89,5,0)</f>
        <v>87.026399999999967</v>
      </c>
      <c r="BF32" s="13">
        <f t="shared" si="37"/>
        <v>23.846667971172021</v>
      </c>
      <c r="BG32" s="20">
        <f t="shared" si="7"/>
        <v>193.10392671645786</v>
      </c>
      <c r="BH32" s="59">
        <f t="shared" si="8"/>
        <v>485.21503782756901</v>
      </c>
      <c r="BI32" s="59">
        <f ca="1">AVERAGE(OFFSET($BH$3,0,0,'Données projet'!$E$11+1,1))-AVERAGE(OFFSET($H$3,0,0,'Données projet'!$E$11+1,1))</f>
        <v>261.20475283925128</v>
      </c>
      <c r="BJ32" s="59">
        <f t="shared" si="38"/>
        <v>247.06045079522403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18.772472045303044</v>
      </c>
      <c r="BR32" s="21">
        <f>EXP(-LN(2)/2)*BR31+(1-EXP(-LN(2)/2))/(LN(2)/2)*BL32*BO32*VLOOKUP('Données projet'!$B$11,Paramètres!$A$1:$I$89,3,0)*0.475*44/12</f>
        <v>9.7036939619214646</v>
      </c>
      <c r="BS32" s="22">
        <f t="shared" si="9"/>
        <v>28.476166007224506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>
        <f>VLOOKUP(A32,'Données projet'!$A$113:$I$133,2,0)</f>
        <v>149.9</v>
      </c>
      <c r="BW32" s="12">
        <f>VLOOKUP(A32,'Données projet'!$A$113:$I$133,9,0)</f>
        <v>10.200000000000001</v>
      </c>
      <c r="BX32" s="12">
        <f t="array" ref="BX32">INDEX(BW:BW,MIN(IF(ISNUMBER(BW32:BW228),ROW(BW32:BW228),"")))</f>
        <v>10.200000000000001</v>
      </c>
      <c r="BY32" s="12">
        <f>IF('Données projet'!$A$114&gt;35,BY31+BX32-CG31,IF(A32&lt;'Données projet'!$A$114,$BV$205^A32,IF(A32='Données projet'!$A$114,'Données projet'!$B$114,BY31+BX32-CG31)))</f>
        <v>149.89999999999998</v>
      </c>
      <c r="BZ32" s="13">
        <f>BY32*VLOOKUP('Données projet'!$B$12,Paramètres!$A$1:$I$89,3,0)*VLOOKUP('Données projet'!$B$12,Paramètres!$A$1:$I$89,5,0)</f>
        <v>85.742799999999988</v>
      </c>
      <c r="CA32" s="13">
        <f t="shared" si="39"/>
        <v>23.535613240076973</v>
      </c>
      <c r="CB32" s="20">
        <f t="shared" si="10"/>
        <v>190.32656972646737</v>
      </c>
      <c r="CC32" s="59">
        <f t="shared" si="11"/>
        <v>482.43768083757851</v>
      </c>
      <c r="CD32" s="59">
        <f ca="1">AVERAGE(OFFSET($CC$3,0,0,'Données projet'!$E$12+1,1))-AVERAGE(OFFSET($H$3,0,0,'Données projet'!$E$12+1,1))</f>
        <v>268.71706840132384</v>
      </c>
      <c r="CE32" s="59">
        <f t="shared" si="40"/>
        <v>199.92519498289477</v>
      </c>
      <c r="CF32" s="15">
        <f>IF(ISNA(VLOOKUP(A32,'Données projet'!$A$113:$I$133,3,0)),0,VLOOKUP(A32,'Données projet'!$A$113:$I$133,3,0))</f>
        <v>2</v>
      </c>
      <c r="CG32" s="15">
        <f>IF(ISNA(VLOOKUP(A32,'Données projet'!$A$113:$I$133,4,0)),0,VLOOKUP(A32,'Données projet'!$A$113:$I$133,4,0))</f>
        <v>31.8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0.25200000000000006</v>
      </c>
      <c r="CJ32" s="16">
        <f>IF(ISNA(VLOOKUP(A32,'Données projet'!$A$113:$I$133,7,0)),0%,VLOOKUP(A32,'Données projet'!$A$113:$I$133,7,0))</f>
        <v>0.44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15.06072780174933</v>
      </c>
      <c r="CM32" s="21">
        <f>EXP(-LN(2)/2)*CM31+(1-EXP(-LN(2)/2))/(LN(2)/2)*CG32*CJ32*VLOOKUP('Données projet'!$B$12,Paramètres!$A$1:$I$89,3,0)*0.475*44/12</f>
        <v>10.507478322847563</v>
      </c>
      <c r="CN32" s="22">
        <f t="shared" si="12"/>
        <v>25.568206124596891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121.88461538461537</v>
      </c>
      <c r="L33" s="12">
        <f>VLOOKUP(A33,'Données projet'!$A$35:$I$55,9,0)</f>
        <v>4.0628205128205126</v>
      </c>
      <c r="M33" s="12">
        <f t="array" ref="M33">INDEX(L:L,MIN(IF(ISNUMBER(L33:L229),ROW(L33:L229),"")))</f>
        <v>4.0628205128205126</v>
      </c>
      <c r="N33" s="13">
        <f>IF('Données projet'!$A$36&gt;35,N32+M33-V32,IF(A33&lt;'Données projet'!$A$36,$K$205^A33,IF(A33='Données projet'!$A$36,'Données projet'!$B$36,N32+M33-V32)))</f>
        <v>121.88461538461537</v>
      </c>
      <c r="O33" s="13">
        <f>N33*VLOOKUP('Données projet'!$B$9,Paramètres!$A$1:$I$89,3,0)*VLOOKUP('Données projet'!$B$9,Paramètres!$A$1:$I$89,5,0)</f>
        <v>110.2812</v>
      </c>
      <c r="P33" s="13">
        <f t="shared" si="33"/>
        <v>29.397227638069996</v>
      </c>
      <c r="Q33" s="20">
        <f t="shared" si="2"/>
        <v>243.27326146963856</v>
      </c>
      <c r="R33" s="59">
        <f t="shared" si="0"/>
        <v>536.60659480297181</v>
      </c>
      <c r="S33" s="59">
        <f ca="1">AVERAGE(OFFSET($R$3,0,0,'Données projet'!$E$9+1,1))-AVERAGE(OFFSET($H$3,0,0,'Données projet'!$E$9+1,1))</f>
        <v>384.05928630855732</v>
      </c>
      <c r="T33" s="59">
        <f t="shared" si="34"/>
        <v>279.93992813630513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331.86923076923074</v>
      </c>
      <c r="AG33" s="12">
        <f>VLOOKUP(A33,'Données projet'!$A$61:$I$81,9,0)</f>
        <v>22.828205128205127</v>
      </c>
      <c r="AH33" s="12">
        <f t="array" ref="AH33">INDEX(AG:AG,MIN(IF(ISNUMBER(AG33:AG229),ROW(AG33:AG229),"")))</f>
        <v>22.828205128205127</v>
      </c>
      <c r="AI33" s="13">
        <f>IF('Données projet'!$A$62&gt;35,AI32+AH33-AQ32,IF(A33&lt;'Données projet'!$A$62,$AF$205^A33,IF(A33='Données projet'!$A$62,'Données projet'!$B$62,AI32+AH33-AQ32)))</f>
        <v>331.86923076923063</v>
      </c>
      <c r="AJ33" s="13">
        <f>AI33*VLOOKUP('Données projet'!$B$10,Paramètres!$A$1:$I$89,3,0)*VLOOKUP('Données projet'!$B$10,Paramètres!$A$1:$I$89,5,0)</f>
        <v>185.5148999999999</v>
      </c>
      <c r="AK33" s="13">
        <f t="shared" si="35"/>
        <v>46.546986497298995</v>
      </c>
      <c r="AL33" s="20">
        <f t="shared" si="4"/>
        <v>404.17445231612891</v>
      </c>
      <c r="AM33" s="59">
        <f t="shared" si="5"/>
        <v>697.50778564946222</v>
      </c>
      <c r="AN33" s="59">
        <f ca="1">AVERAGE(OFFSET($AM$3,0,0,'Données projet'!$E$10+1,1))-AVERAGE(OFFSET($H$3,0,0,'Données projet'!$E$10+1,1))</f>
        <v>335.04906256888819</v>
      </c>
      <c r="AO33" s="59">
        <f t="shared" si="36"/>
        <v>440.84111898279554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65.669230769230765</v>
      </c>
      <c r="AR33" s="16">
        <f>IF(ISNA(VLOOKUP(A33,'Données projet'!$A$61:$I$81,5,0)),0%,VLOOKUP(A33,'Données projet'!$A$61:$I$81,5,0)*VLOOKUP('Données projet'!$B$10,Paramètres!$A$1:$I$89,7,0))</f>
        <v>0.38500000000000001</v>
      </c>
      <c r="AS33" s="16">
        <f>IF(ISNA(VLOOKUP(A33,'Données projet'!$A$61:$I$81,6,0)),0%,VLOOKUP(A33,'Données projet'!$A$61:$I$81,6,0)*VLOOKUP('Données projet'!$B$10,Paramètres!$A$1:$I$89,7,0))</f>
        <v>9.240000000000001E-2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29.563483054643072</v>
      </c>
      <c r="AV33" s="21">
        <f>EXP(-LN(2)/25)*AV32+(1-EXP(-LN(2)/25))/(LN(2)/25)*Calculateur!AQ33*Calculateur!AS33*VLOOKUP('Données projet'!$B$10,Paramètres!$A$1:$I$89,3,0)*0.475*44/12</f>
        <v>18.248368581460394</v>
      </c>
      <c r="AW33" s="21">
        <f>EXP(-LN(2)/2)*AW32+(1-EXP(-LN(2)/2))/(LN(2)/2)*AQ33*AT33*VLOOKUP('Données projet'!$B$10,Paramètres!$A$1:$I$89,3,0)*0.475*44/12</f>
        <v>6.233345651406407</v>
      </c>
      <c r="AX33" s="21">
        <f t="shared" si="6"/>
        <v>54.045197287509879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18.099999999999998</v>
      </c>
      <c r="BD33" s="12">
        <f>IF('Données projet'!$A$88&gt;35,BD32+BC33-BL32,IF(A33&lt;'Données projet'!$A$88,$BA$205^A33,IF(A33='Données projet'!$A$88,'Données projet'!$B$88,BD32+BC33-BL32)))</f>
        <v>214.99230769230761</v>
      </c>
      <c r="BE33" s="13">
        <f>BD33*VLOOKUP('Données projet'!$B$11,Paramètres!$A$1:$I$89,3,0)*VLOOKUP('Données projet'!$B$11,Paramètres!$A$1:$I$89,5,0)</f>
        <v>95.026599999999959</v>
      </c>
      <c r="BF33" s="13">
        <f t="shared" si="37"/>
        <v>25.773658829793771</v>
      </c>
      <c r="BG33" s="20">
        <f t="shared" si="7"/>
        <v>210.3937841285574</v>
      </c>
      <c r="BH33" s="59">
        <f t="shared" si="8"/>
        <v>503.72711746189071</v>
      </c>
      <c r="BI33" s="59">
        <f ca="1">AVERAGE(OFFSET($BH$3,0,0,'Données projet'!$E$11+1,1))-AVERAGE(OFFSET($H$3,0,0,'Données projet'!$E$11+1,1))</f>
        <v>261.20475283925128</v>
      </c>
      <c r="BJ33" s="59">
        <f t="shared" si="38"/>
        <v>247.06045079522403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18.259137810022832</v>
      </c>
      <c r="BR33" s="21">
        <f>EXP(-LN(2)/2)*BR32+(1-EXP(-LN(2)/2))/(LN(2)/2)*BL33*BO33*VLOOKUP('Données projet'!$B$11,Paramètres!$A$1:$I$89,3,0)*0.475*44/12</f>
        <v>6.8615478030336243</v>
      </c>
      <c r="BS33" s="22">
        <f t="shared" si="9"/>
        <v>25.120685613056455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9.9714285714285715</v>
      </c>
      <c r="BY33" s="12">
        <f>IF('Données projet'!$A$114&gt;35,BY32+BX33-CG32,IF(A33&lt;'Données projet'!$A$114,$BV$205^A33,IF(A33='Données projet'!$A$114,'Données projet'!$B$114,BY32+BX33-CG32)))</f>
        <v>128.07142857142853</v>
      </c>
      <c r="BZ33" s="13">
        <f>BY33*VLOOKUP('Données projet'!$B$12,Paramètres!$A$1:$I$89,3,0)*VLOOKUP('Données projet'!$B$12,Paramètres!$A$1:$I$89,5,0)</f>
        <v>73.256857142857115</v>
      </c>
      <c r="CA33" s="13">
        <f t="shared" si="39"/>
        <v>20.480096914307392</v>
      </c>
      <c r="CB33" s="20">
        <f t="shared" si="10"/>
        <v>163.25852831622817</v>
      </c>
      <c r="CC33" s="59">
        <f t="shared" si="11"/>
        <v>456.59186164956145</v>
      </c>
      <c r="CD33" s="59">
        <f ca="1">AVERAGE(OFFSET($CC$3,0,0,'Données projet'!$E$12+1,1))-AVERAGE(OFFSET($H$3,0,0,'Données projet'!$E$12+1,1))</f>
        <v>268.71706840132384</v>
      </c>
      <c r="CE33" s="59">
        <f t="shared" si="40"/>
        <v>199.92519498289477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14.648891408001241</v>
      </c>
      <c r="CM33" s="21">
        <f>EXP(-LN(2)/2)*CM32+(1-EXP(-LN(2)/2))/(LN(2)/2)*CG33*CJ33*VLOOKUP('Données projet'!$B$12,Paramètres!$A$1:$I$89,3,0)*0.475*44/12</f>
        <v>7.4299091752561637</v>
      </c>
      <c r="CN33" s="22">
        <f t="shared" si="12"/>
        <v>22.078800583257404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8.0564102564102633</v>
      </c>
      <c r="N34" s="13">
        <f>IF('Données projet'!$A$36&gt;35,N33+M34-V33,IF(A34&lt;'Données projet'!$A$36,$K$205^A34,IF(A34='Données projet'!$A$36,'Données projet'!$B$36,N33+M34-V33)))</f>
        <v>129.94102564102565</v>
      </c>
      <c r="O34" s="13">
        <f>N34*VLOOKUP('Données projet'!$B$9,Paramètres!$A$1:$I$89,3,0)*VLOOKUP('Données projet'!$B$9,Paramètres!$A$1:$I$89,5,0)</f>
        <v>117.57064000000001</v>
      </c>
      <c r="P34" s="13">
        <f t="shared" si="33"/>
        <v>31.107718284302781</v>
      </c>
      <c r="Q34" s="20">
        <f t="shared" si="2"/>
        <v>258.94814067849398</v>
      </c>
      <c r="R34" s="59">
        <f t="shared" si="0"/>
        <v>552.2814740118273</v>
      </c>
      <c r="S34" s="59">
        <f ca="1">AVERAGE(OFFSET($R$3,0,0,'Données projet'!$E$9+1,1))-AVERAGE(OFFSET($H$3,0,0,'Données projet'!$E$9+1,1))</f>
        <v>384.05928630855732</v>
      </c>
      <c r="T34" s="59">
        <f t="shared" si="34"/>
        <v>279.93992813630513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22.884615384615397</v>
      </c>
      <c r="AI34" s="13">
        <f>IF('Données projet'!$A$62&gt;35,AI33+AH34-AQ33,IF(A34&lt;'Données projet'!$A$62,$AF$205^A34,IF(A34='Données projet'!$A$62,'Données projet'!$B$62,AI33+AH34-AQ33)))</f>
        <v>289.08461538461529</v>
      </c>
      <c r="AJ34" s="13">
        <f>AI34*VLOOKUP('Données projet'!$B$10,Paramètres!$A$1:$I$89,3,0)*VLOOKUP('Données projet'!$B$10,Paramètres!$A$1:$I$89,5,0)</f>
        <v>161.59829999999994</v>
      </c>
      <c r="AK34" s="13">
        <f t="shared" si="35"/>
        <v>41.202807619439731</v>
      </c>
      <c r="AL34" s="20">
        <f t="shared" si="4"/>
        <v>353.21192910385736</v>
      </c>
      <c r="AM34" s="59">
        <f t="shared" si="5"/>
        <v>646.54526243719067</v>
      </c>
      <c r="AN34" s="59">
        <f ca="1">AVERAGE(OFFSET($AM$3,0,0,'Données projet'!$E$10+1,1))-AVERAGE(OFFSET($H$3,0,0,'Données projet'!$E$10+1,1))</f>
        <v>335.04906256888819</v>
      </c>
      <c r="AO34" s="59">
        <f t="shared" si="36"/>
        <v>440.84111898279554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28.983761183885679</v>
      </c>
      <c r="AV34" s="21">
        <f>EXP(-LN(2)/25)*AV33+(1-EXP(-LN(2)/25))/(LN(2)/25)*Calculateur!AQ34*Calculateur!AS34*VLOOKUP('Données projet'!$B$10,Paramètres!$A$1:$I$89,3,0)*0.475*44/12</f>
        <v>17.749365982960363</v>
      </c>
      <c r="AW34" s="21">
        <f>EXP(-LN(2)/2)*AW33+(1-EXP(-LN(2)/2))/(LN(2)/2)*AQ34*AT34*VLOOKUP('Données projet'!$B$10,Paramètres!$A$1:$I$89,3,0)*0.475*44/12</f>
        <v>4.4076409795891482</v>
      </c>
      <c r="AX34" s="21">
        <f t="shared" si="6"/>
        <v>51.140768146435192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18.099999999999998</v>
      </c>
      <c r="BD34" s="12">
        <f>IF('Données projet'!$A$88&gt;35,BD33+BC34-BL33,IF(A34&lt;'Données projet'!$A$88,$BA$205^A34,IF(A34='Données projet'!$A$88,'Données projet'!$B$88,BD33+BC34-BL33)))</f>
        <v>233.0923076923076</v>
      </c>
      <c r="BE34" s="13">
        <f>BD34*VLOOKUP('Données projet'!$B$11,Paramètres!$A$1:$I$89,3,0)*VLOOKUP('Données projet'!$B$11,Paramètres!$A$1:$I$89,5,0)</f>
        <v>103.02679999999998</v>
      </c>
      <c r="BF34" s="13">
        <f t="shared" si="37"/>
        <v>27.681834716611117</v>
      </c>
      <c r="BG34" s="20">
        <f t="shared" si="7"/>
        <v>227.65087213143102</v>
      </c>
      <c r="BH34" s="59">
        <f t="shared" si="8"/>
        <v>520.98420546476427</v>
      </c>
      <c r="BI34" s="59">
        <f ca="1">AVERAGE(OFFSET($BH$3,0,0,'Données projet'!$E$11+1,1))-AVERAGE(OFFSET($H$3,0,0,'Données projet'!$E$11+1,1))</f>
        <v>261.20475283925128</v>
      </c>
      <c r="BJ34" s="59">
        <f t="shared" si="38"/>
        <v>247.06045079522403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17.759840726401432</v>
      </c>
      <c r="BR34" s="21">
        <f>EXP(-LN(2)/2)*BR33+(1-EXP(-LN(2)/2))/(LN(2)/2)*BL34*BO34*VLOOKUP('Données projet'!$B$11,Paramètres!$A$1:$I$89,3,0)*0.475*44/12</f>
        <v>4.8518469809607332</v>
      </c>
      <c r="BS34" s="22">
        <f t="shared" si="9"/>
        <v>22.611687707362165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9.9714285714285715</v>
      </c>
      <c r="BY34" s="12">
        <f>IF('Données projet'!$A$114&gt;35,BY33+BX34-CG33,IF(A34&lt;'Données projet'!$A$114,$BV$205^A34,IF(A34='Données projet'!$A$114,'Données projet'!$B$114,BY33+BX34-CG33)))</f>
        <v>138.04285714285709</v>
      </c>
      <c r="BZ34" s="13">
        <f>BY34*VLOOKUP('Données projet'!$B$12,Paramètres!$A$1:$I$89,3,0)*VLOOKUP('Données projet'!$B$12,Paramètres!$A$1:$I$89,5,0)</f>
        <v>78.960514285714254</v>
      </c>
      <c r="CA34" s="13">
        <f t="shared" si="39"/>
        <v>21.882831329631184</v>
      </c>
      <c r="CB34" s="20">
        <f t="shared" si="10"/>
        <v>175.63549361339332</v>
      </c>
      <c r="CC34" s="59">
        <f t="shared" si="11"/>
        <v>468.96882694672661</v>
      </c>
      <c r="CD34" s="59">
        <f ca="1">AVERAGE(OFFSET($CC$3,0,0,'Données projet'!$E$12+1,1))-AVERAGE(OFFSET($H$3,0,0,'Données projet'!$E$12+1,1))</f>
        <v>268.71706840132384</v>
      </c>
      <c r="CE34" s="59">
        <f t="shared" si="40"/>
        <v>199.92519498289477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14.248316702097728</v>
      </c>
      <c r="CM34" s="21">
        <f>EXP(-LN(2)/2)*CM33+(1-EXP(-LN(2)/2))/(LN(2)/2)*CG34*CJ34*VLOOKUP('Données projet'!$B$12,Paramètres!$A$1:$I$89,3,0)*0.475*44/12</f>
        <v>5.2537391614237823</v>
      </c>
      <c r="CN34" s="22">
        <f t="shared" si="12"/>
        <v>19.502055863521512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8.0564102564102633</v>
      </c>
      <c r="N35" s="13">
        <f>IF('Données projet'!$A$36&gt;35,N34+M35-V34,IF(A35&lt;'Données projet'!$A$36,$K$205^A35,IF(A35='Données projet'!$A$36,'Données projet'!$B$36,N34+M35-V34)))</f>
        <v>137.99743589743591</v>
      </c>
      <c r="O35" s="13">
        <f>N35*VLOOKUP('Données projet'!$B$9,Paramètres!$A$1:$I$89,3,0)*VLOOKUP('Données projet'!$B$9,Paramètres!$A$1:$I$89,5,0)</f>
        <v>124.86008000000001</v>
      </c>
      <c r="P35" s="13">
        <f t="shared" si="33"/>
        <v>32.805900674075268</v>
      </c>
      <c r="Q35" s="20">
        <f t="shared" ref="Q35:Q66" si="53">(O35+P35)*0.475*44/12</f>
        <v>274.60158300734776</v>
      </c>
      <c r="R35" s="59">
        <f t="shared" si="0"/>
        <v>567.93491634068107</v>
      </c>
      <c r="S35" s="59">
        <f ca="1">AVERAGE(OFFSET($R$3,0,0,'Données projet'!$E$9+1,1))-AVERAGE(OFFSET($H$3,0,0,'Données projet'!$E$9+1,1))</f>
        <v>384.05928630855732</v>
      </c>
      <c r="T35" s="59">
        <f t="shared" si="34"/>
        <v>279.93992813630513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22.884615384615397</v>
      </c>
      <c r="AI35" s="13">
        <f>IF('Données projet'!$A$62&gt;35,AI34+AH35-AQ34,IF(A35&lt;'Données projet'!$A$62,$AF$205^A35,IF(A35='Données projet'!$A$62,'Données projet'!$B$62,AI34+AH35-AQ34)))</f>
        <v>311.96923076923071</v>
      </c>
      <c r="AJ35" s="13">
        <f>AI35*VLOOKUP('Données projet'!$B$10,Paramètres!$A$1:$I$89,3,0)*VLOOKUP('Données projet'!$B$10,Paramètres!$A$1:$I$89,5,0)</f>
        <v>174.39079999999996</v>
      </c>
      <c r="AK35" s="13">
        <f t="shared" si="35"/>
        <v>44.071952499783528</v>
      </c>
      <c r="AL35" s="20">
        <f t="shared" si="4"/>
        <v>380.48929393712291</v>
      </c>
      <c r="AM35" s="59">
        <f t="shared" si="5"/>
        <v>673.82262727045622</v>
      </c>
      <c r="AN35" s="59">
        <f ca="1">AVERAGE(OFFSET($AM$3,0,0,'Données projet'!$E$10+1,1))-AVERAGE(OFFSET($H$3,0,0,'Données projet'!$E$10+1,1))</f>
        <v>335.04906256888819</v>
      </c>
      <c r="AO35" s="59">
        <f t="shared" si="36"/>
        <v>440.84111898279554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28.415407305418412</v>
      </c>
      <c r="AV35" s="21">
        <f>EXP(-LN(2)/25)*AV34+(1-EXP(-LN(2)/25))/(LN(2)/25)*Calculateur!AQ35*Calculateur!AS35*VLOOKUP('Données projet'!$B$10,Paramètres!$A$1:$I$89,3,0)*0.475*44/12</f>
        <v>17.264008636757723</v>
      </c>
      <c r="AW35" s="21">
        <f>EXP(-LN(2)/2)*AW34+(1-EXP(-LN(2)/2))/(LN(2)/2)*AQ35*AT35*VLOOKUP('Données projet'!$B$10,Paramètres!$A$1:$I$89,3,0)*0.475*44/12</f>
        <v>3.1166728257032039</v>
      </c>
      <c r="AX35" s="21">
        <f t="shared" si="6"/>
        <v>48.79608876787934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18.099999999999998</v>
      </c>
      <c r="BD35" s="12">
        <f>IF('Données projet'!$A$88&gt;35,BD34+BC35-BL34,IF(A35&lt;'Données projet'!$A$88,$BA$205^A35,IF(A35='Données projet'!$A$88,'Données projet'!$B$88,BD34+BC35-BL34)))</f>
        <v>251.19230769230759</v>
      </c>
      <c r="BE35" s="13">
        <f>BD35*VLOOKUP('Données projet'!$B$11,Paramètres!$A$1:$I$89,3,0)*VLOOKUP('Données projet'!$B$11,Paramètres!$A$1:$I$89,5,0)</f>
        <v>111.02699999999997</v>
      </c>
      <c r="BF35" s="13">
        <f t="shared" si="37"/>
        <v>29.572822757081695</v>
      </c>
      <c r="BG35" s="20">
        <f t="shared" si="7"/>
        <v>244.87802463525054</v>
      </c>
      <c r="BH35" s="59">
        <f t="shared" si="8"/>
        <v>538.2113579685838</v>
      </c>
      <c r="BI35" s="59">
        <f ca="1">AVERAGE(OFFSET($BH$3,0,0,'Données projet'!$E$11+1,1))-AVERAGE(OFFSET($H$3,0,0,'Données projet'!$E$11+1,1))</f>
        <v>261.20475283925128</v>
      </c>
      <c r="BJ35" s="59">
        <f t="shared" si="38"/>
        <v>247.06045079522403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17.274196947788553</v>
      </c>
      <c r="BR35" s="21">
        <f>EXP(-LN(2)/2)*BR34+(1-EXP(-LN(2)/2))/(LN(2)/2)*BL35*BO35*VLOOKUP('Données projet'!$B$11,Paramètres!$A$1:$I$89,3,0)*0.475*44/12</f>
        <v>3.4307739015168126</v>
      </c>
      <c r="BS35" s="22">
        <f t="shared" si="9"/>
        <v>20.704970849305365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9.9714285714285715</v>
      </c>
      <c r="BY35" s="12">
        <f>IF('Données projet'!$A$114&gt;35,BY34+BX35-CG34,IF(A35&lt;'Données projet'!$A$114,$BV$205^A35,IF(A35='Données projet'!$A$114,'Données projet'!$B$114,BY34+BX35-CG34)))</f>
        <v>148.01428571428565</v>
      </c>
      <c r="BZ35" s="13">
        <f>BY35*VLOOKUP('Données projet'!$B$12,Paramètres!$A$1:$I$89,3,0)*VLOOKUP('Données projet'!$B$12,Paramètres!$A$1:$I$89,5,0)</f>
        <v>84.664171428571393</v>
      </c>
      <c r="CA35" s="13">
        <f t="shared" si="39"/>
        <v>23.273810111604824</v>
      </c>
      <c r="CB35" s="20">
        <f t="shared" si="10"/>
        <v>187.99198451580693</v>
      </c>
      <c r="CC35" s="59">
        <f t="shared" si="11"/>
        <v>481.32531784914022</v>
      </c>
      <c r="CD35" s="59">
        <f ca="1">AVERAGE(OFFSET($CC$3,0,0,'Données projet'!$E$12+1,1))-AVERAGE(OFFSET($H$3,0,0,'Données projet'!$E$12+1,1))</f>
        <v>268.71706840132384</v>
      </c>
      <c r="CE35" s="59">
        <f t="shared" si="40"/>
        <v>199.92519498289477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13.858695732592455</v>
      </c>
      <c r="CM35" s="21">
        <f>EXP(-LN(2)/2)*CM34+(1-EXP(-LN(2)/2))/(LN(2)/2)*CG35*CJ35*VLOOKUP('Données projet'!$B$12,Paramètres!$A$1:$I$89,3,0)*0.475*44/12</f>
        <v>3.7149545876280823</v>
      </c>
      <c r="CN35" s="22">
        <f t="shared" si="12"/>
        <v>17.573650320220537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8.0564102564102633</v>
      </c>
      <c r="N36" s="13">
        <f>IF('Données projet'!$A$36&gt;35,N35+M36-V35,IF(A36&lt;'Données projet'!$A$36,$K$205^A36,IF(A36='Données projet'!$A$36,'Données projet'!$B$36,N35+M36-V35)))</f>
        <v>146.05384615384617</v>
      </c>
      <c r="O36" s="13">
        <f>N36*VLOOKUP('Données projet'!$B$9,Paramètres!$A$1:$I$89,3,0)*VLOOKUP('Données projet'!$B$9,Paramètres!$A$1:$I$89,5,0)</f>
        <v>132.14952</v>
      </c>
      <c r="P36" s="13">
        <f t="shared" si="33"/>
        <v>34.49257523106499</v>
      </c>
      <c r="Q36" s="20">
        <f t="shared" si="53"/>
        <v>290.23498252743815</v>
      </c>
      <c r="R36" s="59">
        <f t="shared" si="0"/>
        <v>583.56831586077146</v>
      </c>
      <c r="S36" s="59">
        <f ca="1">AVERAGE(OFFSET($R$3,0,0,'Données projet'!$E$9+1,1))-AVERAGE(OFFSET($H$3,0,0,'Données projet'!$E$9+1,1))</f>
        <v>384.05928630855732</v>
      </c>
      <c r="T36" s="59">
        <f t="shared" si="34"/>
        <v>279.93992813630513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22.884615384615397</v>
      </c>
      <c r="AI36" s="13">
        <f>IF('Données projet'!$A$62&gt;35,AI35+AH36-AQ35,IF(A36&lt;'Données projet'!$A$62,$AF$205^A36,IF(A36='Données projet'!$A$62,'Données projet'!$B$62,AI35+AH36-AQ35)))</f>
        <v>334.85384615384612</v>
      </c>
      <c r="AJ36" s="13">
        <f>AI36*VLOOKUP('Données projet'!$B$10,Paramètres!$A$1:$I$89,3,0)*VLOOKUP('Données projet'!$B$10,Paramètres!$A$1:$I$89,5,0)</f>
        <v>187.18329999999997</v>
      </c>
      <c r="AK36" s="13">
        <f t="shared" si="35"/>
        <v>46.91668019244311</v>
      </c>
      <c r="AL36" s="20">
        <f t="shared" si="4"/>
        <v>407.72413216850504</v>
      </c>
      <c r="AM36" s="59">
        <f t="shared" si="5"/>
        <v>701.05746550183835</v>
      </c>
      <c r="AN36" s="59">
        <f ca="1">AVERAGE(OFFSET($AM$3,0,0,'Données projet'!$E$10+1,1))-AVERAGE(OFFSET($H$3,0,0,'Données projet'!$E$10+1,1))</f>
        <v>335.04906256888819</v>
      </c>
      <c r="AO36" s="59">
        <f t="shared" si="36"/>
        <v>440.84111898279554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27.858198499846253</v>
      </c>
      <c r="AV36" s="21">
        <f>EXP(-LN(2)/25)*AV35+(1-EXP(-LN(2)/25))/(LN(2)/25)*Calculateur!AQ36*Calculateur!AS36*VLOOKUP('Données projet'!$B$10,Paramètres!$A$1:$I$89,3,0)*0.475*44/12</f>
        <v>16.791923412710826</v>
      </c>
      <c r="AW36" s="21">
        <f>EXP(-LN(2)/2)*AW35+(1-EXP(-LN(2)/2))/(LN(2)/2)*AQ36*AT36*VLOOKUP('Données projet'!$B$10,Paramètres!$A$1:$I$89,3,0)*0.475*44/12</f>
        <v>2.2038204897945741</v>
      </c>
      <c r="AX36" s="21">
        <f t="shared" si="6"/>
        <v>46.853942402351656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18.099999999999998</v>
      </c>
      <c r="BD36" s="12">
        <f>IF('Données projet'!$A$88&gt;35,BD35+BC36-BL35,IF(A36&lt;'Données projet'!$A$88,$BA$205^A36,IF(A36='Données projet'!$A$88,'Données projet'!$B$88,BD35+BC36-BL35)))</f>
        <v>269.29230769230759</v>
      </c>
      <c r="BE36" s="13">
        <f>BD36*VLOOKUP('Données projet'!$B$11,Paramètres!$A$1:$I$89,3,0)*VLOOKUP('Données projet'!$B$11,Paramètres!$A$1:$I$89,5,0)</f>
        <v>119.02719999999997</v>
      </c>
      <c r="BF36" s="13">
        <f t="shared" si="37"/>
        <v>31.448002296641057</v>
      </c>
      <c r="BG36" s="20">
        <f t="shared" si="7"/>
        <v>262.07764399998308</v>
      </c>
      <c r="BH36" s="59">
        <f t="shared" si="8"/>
        <v>555.4109773333164</v>
      </c>
      <c r="BI36" s="59">
        <f ca="1">AVERAGE(OFFSET($BH$3,0,0,'Données projet'!$E$11+1,1))-AVERAGE(OFFSET($H$3,0,0,'Données projet'!$E$11+1,1))</f>
        <v>261.20475283925128</v>
      </c>
      <c r="BJ36" s="59">
        <f t="shared" si="38"/>
        <v>247.06045079522403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16.801833123840737</v>
      </c>
      <c r="BR36" s="21">
        <f>EXP(-LN(2)/2)*BR35+(1-EXP(-LN(2)/2))/(LN(2)/2)*BL36*BO36*VLOOKUP('Données projet'!$B$11,Paramètres!$A$1:$I$89,3,0)*0.475*44/12</f>
        <v>2.425923490480367</v>
      </c>
      <c r="BS36" s="22">
        <f t="shared" si="9"/>
        <v>19.227756614321105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9.9714285714285715</v>
      </c>
      <c r="BY36" s="12">
        <f>IF('Données projet'!$A$114&gt;35,BY35+BX36-CG35,IF(A36&lt;'Données projet'!$A$114,$BV$205^A36,IF(A36='Données projet'!$A$114,'Données projet'!$B$114,BY35+BX36-CG35)))</f>
        <v>157.98571428571421</v>
      </c>
      <c r="BZ36" s="13">
        <f>BY36*VLOOKUP('Données projet'!$B$12,Paramètres!$A$1:$I$89,3,0)*VLOOKUP('Données projet'!$B$12,Paramètres!$A$1:$I$89,5,0)</f>
        <v>90.367828571428532</v>
      </c>
      <c r="CA36" s="13">
        <f t="shared" si="39"/>
        <v>24.653915318956518</v>
      </c>
      <c r="CB36" s="20">
        <f t="shared" si="10"/>
        <v>200.32953727575395</v>
      </c>
      <c r="CC36" s="59">
        <f t="shared" si="11"/>
        <v>493.66287060908724</v>
      </c>
      <c r="CD36" s="59">
        <f ca="1">AVERAGE(OFFSET($CC$3,0,0,'Données projet'!$E$12+1,1))-AVERAGE(OFFSET($H$3,0,0,'Données projet'!$E$12+1,1))</f>
        <v>268.71706840132384</v>
      </c>
      <c r="CE36" s="59">
        <f t="shared" si="40"/>
        <v>199.92519498289477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13.47972896898758</v>
      </c>
      <c r="CM36" s="21">
        <f>EXP(-LN(2)/2)*CM35+(1-EXP(-LN(2)/2))/(LN(2)/2)*CG36*CJ36*VLOOKUP('Données projet'!$B$12,Paramètres!$A$1:$I$89,3,0)*0.475*44/12</f>
        <v>2.6268695807118916</v>
      </c>
      <c r="CN36" s="22">
        <f t="shared" si="12"/>
        <v>16.10659854969947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8.0564102564102633</v>
      </c>
      <c r="N37" s="13">
        <f>IF('Données projet'!$A$36&gt;35,N36+M37-V36,IF(A37&lt;'Données projet'!$A$36,$K$205^A37,IF(A37='Données projet'!$A$36,'Données projet'!$B$36,N36+M37-V36)))</f>
        <v>154.11025641025643</v>
      </c>
      <c r="O37" s="13">
        <f>N37*VLOOKUP('Données projet'!$B$9,Paramètres!$A$1:$I$89,3,0)*VLOOKUP('Données projet'!$B$9,Paramètres!$A$1:$I$89,5,0)</f>
        <v>139.43896000000001</v>
      </c>
      <c r="P37" s="13">
        <f t="shared" si="33"/>
        <v>36.168449088081644</v>
      </c>
      <c r="Q37" s="20">
        <f t="shared" si="53"/>
        <v>305.8495708284089</v>
      </c>
      <c r="R37" s="59">
        <f t="shared" si="0"/>
        <v>599.18290416174227</v>
      </c>
      <c r="S37" s="59">
        <f ca="1">AVERAGE(OFFSET($R$3,0,0,'Données projet'!$E$9+1,1))-AVERAGE(OFFSET($H$3,0,0,'Données projet'!$E$9+1,1))</f>
        <v>384.05928630855732</v>
      </c>
      <c r="T37" s="59">
        <f t="shared" si="34"/>
        <v>279.93992813630513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22.884615384615397</v>
      </c>
      <c r="AI37" s="13">
        <f>IF('Données projet'!$A$62&gt;35,AI36+AH37-AQ36,IF(A37&lt;'Données projet'!$A$62,$AF$205^A37,IF(A37='Données projet'!$A$62,'Données projet'!$B$62,AI36+AH37-AQ36)))</f>
        <v>357.73846153846154</v>
      </c>
      <c r="AJ37" s="13">
        <f>AI37*VLOOKUP('Données projet'!$B$10,Paramètres!$A$1:$I$89,3,0)*VLOOKUP('Données projet'!$B$10,Paramètres!$A$1:$I$89,5,0)</f>
        <v>199.97580000000002</v>
      </c>
      <c r="AK37" s="13">
        <f t="shared" si="35"/>
        <v>49.738849260389202</v>
      </c>
      <c r="AL37" s="20">
        <f t="shared" si="4"/>
        <v>434.91968079517784</v>
      </c>
      <c r="AM37" s="59">
        <f t="shared" si="5"/>
        <v>728.25301412851115</v>
      </c>
      <c r="AN37" s="59">
        <f ca="1">AVERAGE(OFFSET($AM$3,0,0,'Données projet'!$E$10+1,1))-AVERAGE(OFFSET($H$3,0,0,'Données projet'!$E$10+1,1))</f>
        <v>335.04906256888819</v>
      </c>
      <c r="AO37" s="59">
        <f t="shared" si="36"/>
        <v>440.84111898279554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27.31191621908755</v>
      </c>
      <c r="AV37" s="21">
        <f>EXP(-LN(2)/25)*AV36+(1-EXP(-LN(2)/25))/(LN(2)/25)*Calculateur!AQ37*Calculateur!AS37*VLOOKUP('Données projet'!$B$10,Paramètres!$A$1:$I$89,3,0)*0.475*44/12</f>
        <v>16.332747383941374</v>
      </c>
      <c r="AW37" s="21">
        <f>EXP(-LN(2)/2)*AW36+(1-EXP(-LN(2)/2))/(LN(2)/2)*AQ37*AT37*VLOOKUP('Données projet'!$B$10,Paramètres!$A$1:$I$89,3,0)*0.475*44/12</f>
        <v>1.558336412851602</v>
      </c>
      <c r="AX37" s="21">
        <f t="shared" si="6"/>
        <v>45.203000015880527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18.099999999999998</v>
      </c>
      <c r="BD37" s="12">
        <f>IF('Données projet'!$A$88&gt;35,BD36+BC37-BL36,IF(A37&lt;'Données projet'!$A$88,$BA$205^A37,IF(A37='Données projet'!$A$88,'Données projet'!$B$88,BD36+BC37-BL36)))</f>
        <v>287.39230769230761</v>
      </c>
      <c r="BE37" s="13">
        <f>BD37*VLOOKUP('Données projet'!$B$11,Paramètres!$A$1:$I$89,3,0)*VLOOKUP('Données projet'!$B$11,Paramètres!$A$1:$I$89,5,0)</f>
        <v>127.02739999999999</v>
      </c>
      <c r="BF37" s="13">
        <f t="shared" si="37"/>
        <v>33.308556768533201</v>
      </c>
      <c r="BG37" s="20">
        <f t="shared" si="7"/>
        <v>279.25179137186194</v>
      </c>
      <c r="BH37" s="59">
        <f t="shared" si="8"/>
        <v>572.58512470519531</v>
      </c>
      <c r="BI37" s="59">
        <f ca="1">AVERAGE(OFFSET($BH$3,0,0,'Données projet'!$E$11+1,1))-AVERAGE(OFFSET($H$3,0,0,'Données projet'!$E$11+1,1))</f>
        <v>261.20475283925128</v>
      </c>
      <c r="BJ37" s="59">
        <f t="shared" si="38"/>
        <v>247.06045079522403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16.342386113499309</v>
      </c>
      <c r="BR37" s="21">
        <f>EXP(-LN(2)/2)*BR36+(1-EXP(-LN(2)/2))/(LN(2)/2)*BL37*BO37*VLOOKUP('Données projet'!$B$11,Paramètres!$A$1:$I$89,3,0)*0.475*44/12</f>
        <v>1.7153869507584065</v>
      </c>
      <c r="BS37" s="22">
        <f t="shared" si="9"/>
        <v>18.057773064257717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9.9714285714285715</v>
      </c>
      <c r="BY37" s="12">
        <f>IF('Données projet'!$A$114&gt;35,BY36+BX37-CG36,IF(A37&lt;'Données projet'!$A$114,$BV$205^A37,IF(A37='Données projet'!$A$114,'Données projet'!$B$114,BY36+BX37-CG36)))</f>
        <v>167.95714285714277</v>
      </c>
      <c r="BZ37" s="13">
        <f>BY37*VLOOKUP('Données projet'!$B$12,Paramètres!$A$1:$I$89,3,0)*VLOOKUP('Données projet'!$B$12,Paramètres!$A$1:$I$89,5,0)</f>
        <v>96.071485714285657</v>
      </c>
      <c r="CA37" s="13">
        <f t="shared" si="39"/>
        <v>26.023911372427328</v>
      </c>
      <c r="CB37" s="20">
        <f t="shared" si="10"/>
        <v>212.64948325935845</v>
      </c>
      <c r="CC37" s="59">
        <f t="shared" si="11"/>
        <v>505.98281659269173</v>
      </c>
      <c r="CD37" s="59">
        <f ca="1">AVERAGE(OFFSET($CC$3,0,0,'Données projet'!$E$12+1,1))-AVERAGE(OFFSET($H$3,0,0,'Données projet'!$E$12+1,1))</f>
        <v>268.71706840132384</v>
      </c>
      <c r="CE37" s="59">
        <f t="shared" si="40"/>
        <v>199.92519498289477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13.111125071462476</v>
      </c>
      <c r="CM37" s="21">
        <f>EXP(-LN(2)/2)*CM36+(1-EXP(-LN(2)/2))/(LN(2)/2)*CG37*CJ37*VLOOKUP('Données projet'!$B$12,Paramètres!$A$1:$I$89,3,0)*0.475*44/12</f>
        <v>1.8574772938140416</v>
      </c>
      <c r="CN37" s="22">
        <f t="shared" si="12"/>
        <v>14.968602365276517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162.16666666666669</v>
      </c>
      <c r="L38" s="12">
        <f>VLOOKUP(A38,'Données projet'!$A$35:$I$55,9,0)</f>
        <v>8.0564102564102633</v>
      </c>
      <c r="M38" s="12">
        <f t="array" ref="M38">INDEX(L:L,MIN(IF(ISNUMBER(L38:L234),ROW(L38:L234),"")))</f>
        <v>8.0564102564102633</v>
      </c>
      <c r="N38" s="13">
        <f>IF('Données projet'!$A$36&gt;35,N37+M38-V37,IF(A38&lt;'Données projet'!$A$36,$K$205^A38,IF(A38='Données projet'!$A$36,'Données projet'!$B$36,N37+M38-V37)))</f>
        <v>162.16666666666669</v>
      </c>
      <c r="O38" s="13">
        <f>N38*VLOOKUP('Données projet'!$B$9,Paramètres!$A$1:$I$89,3,0)*VLOOKUP('Données projet'!$B$9,Paramètres!$A$1:$I$89,5,0)</f>
        <v>146.72840000000002</v>
      </c>
      <c r="P38" s="13">
        <f t="shared" si="33"/>
        <v>37.834151268675086</v>
      </c>
      <c r="Q38" s="20">
        <f t="shared" si="53"/>
        <v>321.44644345960916</v>
      </c>
      <c r="R38" s="59">
        <f t="shared" si="0"/>
        <v>614.77977679294247</v>
      </c>
      <c r="S38" s="59">
        <f ca="1">AVERAGE(OFFSET($R$3,0,0,'Données projet'!$E$9+1,1))-AVERAGE(OFFSET($H$3,0,0,'Données projet'!$E$9+1,1))</f>
        <v>384.05928630855732</v>
      </c>
      <c r="T38" s="59">
        <f t="shared" si="34"/>
        <v>279.93992813630513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60.602564102564102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22.884615384615397</v>
      </c>
      <c r="AI38" s="13">
        <f>IF('Données projet'!$A$62&gt;35,AI37+AH38-AQ37,IF(A38&lt;'Données projet'!$A$62,$AF$205^A38,IF(A38='Données projet'!$A$62,'Données projet'!$B$62,AI37+AH38-AQ37)))</f>
        <v>380.62307692307695</v>
      </c>
      <c r="AJ38" s="13">
        <f>AI38*VLOOKUP('Données projet'!$B$10,Paramètres!$A$1:$I$89,3,0)*VLOOKUP('Données projet'!$B$10,Paramètres!$A$1:$I$89,5,0)</f>
        <v>212.76830000000001</v>
      </c>
      <c r="AK38" s="13">
        <f t="shared" si="35"/>
        <v>52.540067037520508</v>
      </c>
      <c r="AL38" s="20">
        <f t="shared" si="4"/>
        <v>462.07873925701483</v>
      </c>
      <c r="AM38" s="59">
        <f t="shared" si="5"/>
        <v>755.41207259034809</v>
      </c>
      <c r="AN38" s="59">
        <f ca="1">AVERAGE(OFFSET($AM$3,0,0,'Données projet'!$E$10+1,1))-AVERAGE(OFFSET($H$3,0,0,'Données projet'!$E$10+1,1))</f>
        <v>335.04906256888819</v>
      </c>
      <c r="AO38" s="59">
        <f t="shared" si="36"/>
        <v>440.84111898279554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26.776346200655233</v>
      </c>
      <c r="AV38" s="21">
        <f>EXP(-LN(2)/25)*AV37+(1-EXP(-LN(2)/25))/(LN(2)/25)*Calculateur!AQ38*Calculateur!AS38*VLOOKUP('Données projet'!$B$10,Paramètres!$A$1:$I$89,3,0)*0.475*44/12</f>
        <v>15.886127547825641</v>
      </c>
      <c r="AW38" s="21">
        <f>EXP(-LN(2)/2)*AW37+(1-EXP(-LN(2)/2))/(LN(2)/2)*AQ38*AT38*VLOOKUP('Données projet'!$B$10,Paramètres!$A$1:$I$89,3,0)*0.475*44/12</f>
        <v>1.1019102448972871</v>
      </c>
      <c r="AX38" s="21">
        <f t="shared" si="6"/>
        <v>43.764383993378168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305.49230769230769</v>
      </c>
      <c r="BB38" s="12">
        <f>VLOOKUP(A38,'Données projet'!$A$87:$I$107,9,0)</f>
        <v>18.099999999999998</v>
      </c>
      <c r="BC38" s="12">
        <f t="array" ref="BC38">INDEX(BB:BB,MIN(IF(ISNUMBER(BB38:BB234),ROW(BB38:BB234),"")))</f>
        <v>18.099999999999998</v>
      </c>
      <c r="BD38" s="12">
        <f>IF('Données projet'!$A$88&gt;35,BD37+BC38-BL37,IF(A38&lt;'Données projet'!$A$88,$BA$205^A38,IF(A38='Données projet'!$A$88,'Données projet'!$B$88,BD37+BC38-BL37)))</f>
        <v>305.49230769230763</v>
      </c>
      <c r="BE38" s="13">
        <f>BD38*VLOOKUP('Données projet'!$B$11,Paramètres!$A$1:$I$89,3,0)*VLOOKUP('Données projet'!$B$11,Paramètres!$A$1:$I$89,5,0)</f>
        <v>135.02760000000001</v>
      </c>
      <c r="BF38" s="13">
        <f t="shared" si="37"/>
        <v>35.155512114509101</v>
      </c>
      <c r="BG38" s="20">
        <f t="shared" si="7"/>
        <v>296.40225359943668</v>
      </c>
      <c r="BH38" s="59">
        <f t="shared" si="8"/>
        <v>589.73558693277005</v>
      </c>
      <c r="BI38" s="59">
        <f ca="1">AVERAGE(OFFSET($BH$3,0,0,'Données projet'!$E$11+1,1))-AVERAGE(OFFSET($H$3,0,0,'Données projet'!$E$11+1,1))</f>
        <v>261.20475283925128</v>
      </c>
      <c r="BJ38" s="59">
        <f t="shared" si="38"/>
        <v>247.06045079522403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70.5</v>
      </c>
      <c r="BM38" s="16">
        <f>IF(ISNA(VLOOKUP(A38,'Données projet'!$A$87:$I$107,5,0)),0%,VLOOKUP(A38,'Données projet'!$A$87:$I$107,5,0)*VLOOKUP('Données projet'!$B$11,Paramètres!$A$1:$I$89,7,0))</f>
        <v>0.38500000000000001</v>
      </c>
      <c r="BN38" s="16">
        <f>IF(ISNA(VLOOKUP(A38,'Données projet'!$A$87:$I$107,6,0)),0%,VLOOKUP(A38,'Données projet'!$A$87:$I$107,6,0)*VLOOKUP('Données projet'!$B$11,Paramètres!$A$1:$I$89,7,0))</f>
        <v>9.240000000000001E-2</v>
      </c>
      <c r="BO38" s="16">
        <f>IF(ISNA(VLOOKUP(A38,'Données projet'!$A$87:$I$107,7,0)),0%,VLOOKUP(A38,'Données projet'!$A$87:$I$107,7,0))</f>
        <v>0.13200000000000001</v>
      </c>
      <c r="BP38" s="21">
        <f>EXP(-LN(2)/35)*BP37+(1-EXP(-LN(2)/35))/(LN(2)/35)*BL38*BM38*VLOOKUP('Données projet'!$B$11,Paramètres!$A$1:$I$89,3,0)*0.475*44/12</f>
        <v>15.914773873441334</v>
      </c>
      <c r="BQ38" s="21">
        <f>EXP(-LN(2)/25)*BQ37+(1-EXP(-LN(2)/25))/(LN(2)/25)*Calculateur!BL38*Calculateur!BN38*VLOOKUP('Données projet'!$B$11,Paramètres!$A$1:$I$89,3,0)*0.475*44/12</f>
        <v>19.700009428544298</v>
      </c>
      <c r="BR38" s="21">
        <f>EXP(-LN(2)/2)*BR37+(1-EXP(-LN(2)/2))/(LN(2)/2)*BL38*BO38*VLOOKUP('Données projet'!$B$11,Paramètres!$A$1:$I$89,3,0)*0.475*44/12</f>
        <v>5.8701185075055147</v>
      </c>
      <c r="BS38" s="22">
        <f t="shared" si="9"/>
        <v>41.484901809491149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9.9714285714285715</v>
      </c>
      <c r="BY38" s="12">
        <f>IF('Données projet'!$A$114&gt;35,BY37+BX38-CG37,IF(A38&lt;'Données projet'!$A$114,$BV$205^A38,IF(A38='Données projet'!$A$114,'Données projet'!$B$114,BY37+BX38-CG37)))</f>
        <v>177.92857142857133</v>
      </c>
      <c r="BZ38" s="13">
        <f>BY38*VLOOKUP('Données projet'!$B$12,Paramètres!$A$1:$I$89,3,0)*VLOOKUP('Données projet'!$B$12,Paramètres!$A$1:$I$89,5,0)</f>
        <v>101.77514285714281</v>
      </c>
      <c r="CA38" s="13">
        <f t="shared" si="39"/>
        <v>27.384466799428093</v>
      </c>
      <c r="CB38" s="20">
        <f t="shared" si="10"/>
        <v>224.95298681852762</v>
      </c>
      <c r="CC38" s="59">
        <f t="shared" si="11"/>
        <v>518.28632015186099</v>
      </c>
      <c r="CD38" s="59">
        <f ca="1">AVERAGE(OFFSET($CC$3,0,0,'Données projet'!$E$12+1,1))-AVERAGE(OFFSET($H$3,0,0,'Données projet'!$E$12+1,1))</f>
        <v>268.71706840132384</v>
      </c>
      <c r="CE38" s="59">
        <f t="shared" si="40"/>
        <v>199.92519498289477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12.752600666899234</v>
      </c>
      <c r="CM38" s="21">
        <f>EXP(-LN(2)/2)*CM37+(1-EXP(-LN(2)/2))/(LN(2)/2)*CG38*CJ38*VLOOKUP('Données projet'!$B$12,Paramètres!$A$1:$I$89,3,0)*0.475*44/12</f>
        <v>1.313434790355946</v>
      </c>
      <c r="CN38" s="22">
        <f t="shared" si="12"/>
        <v>14.066035457255179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9.3141025641025621</v>
      </c>
      <c r="N39" s="13">
        <f>IF('Données projet'!$A$36&gt;35,N38+M39-V38,IF(A39&lt;'Données projet'!$A$36,$K$205^A39,IF(A39='Données projet'!$A$36,'Données projet'!$B$36,N38+M39-V38)))</f>
        <v>110.87820512820515</v>
      </c>
      <c r="O39" s="13">
        <f>N39*VLOOKUP('Données projet'!$B$9,Paramètres!$A$1:$I$89,3,0)*VLOOKUP('Données projet'!$B$9,Paramètres!$A$1:$I$89,5,0)</f>
        <v>100.32260000000002</v>
      </c>
      <c r="P39" s="13">
        <f t="shared" si="33"/>
        <v>27.038838137326771</v>
      </c>
      <c r="Q39" s="20">
        <f t="shared" si="53"/>
        <v>221.82117142251082</v>
      </c>
      <c r="R39" s="59">
        <f t="shared" si="0"/>
        <v>515.15450475584407</v>
      </c>
      <c r="S39" s="59">
        <f ca="1">AVERAGE(OFFSET($R$3,0,0,'Données projet'!$E$9+1,1))-AVERAGE(OFFSET($H$3,0,0,'Données projet'!$E$9+1,1))</f>
        <v>384.05928630855732</v>
      </c>
      <c r="T39" s="59">
        <f t="shared" si="34"/>
        <v>279.93992813630513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403.50769230769237</v>
      </c>
      <c r="AG39" s="12">
        <f>VLOOKUP(A39,'Données projet'!$A$61:$I$81,9,0)</f>
        <v>22.884615384615397</v>
      </c>
      <c r="AH39" s="12">
        <f t="array" ref="AH39">INDEX(AG:AG,MIN(IF(ISNUMBER(AG39:AG235),ROW(AG39:AG235),"")))</f>
        <v>22.884615384615397</v>
      </c>
      <c r="AI39" s="13">
        <f>IF('Données projet'!$A$62&gt;35,AI38+AH39-AQ38,IF(A39&lt;'Données projet'!$A$62,$AF$205^A39,IF(A39='Données projet'!$A$62,'Données projet'!$B$62,AI38+AH39-AQ38)))</f>
        <v>403.50769230769237</v>
      </c>
      <c r="AJ39" s="13">
        <f>AI39*VLOOKUP('Données projet'!$B$10,Paramètres!$A$1:$I$89,3,0)*VLOOKUP('Données projet'!$B$10,Paramètres!$A$1:$I$89,5,0)</f>
        <v>225.56080000000003</v>
      </c>
      <c r="AK39" s="13">
        <f t="shared" si="35"/>
        <v>55.321736658663667</v>
      </c>
      <c r="AL39" s="20">
        <f t="shared" si="4"/>
        <v>489.20375134717256</v>
      </c>
      <c r="AM39" s="59">
        <f t="shared" si="5"/>
        <v>782.53708468050581</v>
      </c>
      <c r="AN39" s="59">
        <f ca="1">AVERAGE(OFFSET($AM$3,0,0,'Données projet'!$E$10+1,1))-AVERAGE(OFFSET($H$3,0,0,'Données projet'!$E$10+1,1))</f>
        <v>335.04906256888819</v>
      </c>
      <c r="AO39" s="59">
        <f t="shared" si="36"/>
        <v>440.84111898279554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69.3</v>
      </c>
      <c r="AR39" s="16">
        <f>IF(ISNA(VLOOKUP(A39,'Données projet'!$A$61:$I$81,5,0)),0%,VLOOKUP(A39,'Données projet'!$A$61:$I$81,5,0)*VLOOKUP('Données projet'!$B$10,Paramètres!$A$1:$I$89,7,0))</f>
        <v>0.38500000000000001</v>
      </c>
      <c r="AS39" s="16">
        <f>IF(ISNA(VLOOKUP(A39,'Données projet'!$A$61:$I$81,6,0)),0%,VLOOKUP(A39,'Données projet'!$A$61:$I$81,6,0)*VLOOKUP('Données projet'!$B$10,Paramètres!$A$1:$I$89,7,0))</f>
        <v>9.240000000000001E-2</v>
      </c>
      <c r="AT39" s="16">
        <f>IF(ISNA(VLOOKUP(A39,'Données projet'!$A$61:$I$81,7,0)),0%,VLOOKUP(A39,'Données projet'!$A$61:$I$81,7,0))</f>
        <v>0.13200000000000001</v>
      </c>
      <c r="AU39" s="21">
        <f>EXP(-LN(2)/35)*AU38+(1-EXP(-LN(2)/35))/(LN(2)/35)*AQ39*AR39*VLOOKUP('Données projet'!$B$10,Paramètres!$A$1:$I$89,3,0)*0.475*44/12</f>
        <v>46.036190634544177</v>
      </c>
      <c r="AV39" s="21">
        <f>EXP(-LN(2)/25)*AV38+(1-EXP(-LN(2)/25))/(LN(2)/25)*Calculateur!AQ39*Calculateur!AS39*VLOOKUP('Données projet'!$B$10,Paramètres!$A$1:$I$89,3,0)*0.475*44/12</f>
        <v>20.181403317675393</v>
      </c>
      <c r="AW39" s="21">
        <f>EXP(-LN(2)/2)*AW38+(1-EXP(-LN(2)/2))/(LN(2)/2)*AQ39*AT39*VLOOKUP('Données projet'!$B$10,Paramètres!$A$1:$I$89,3,0)*0.475*44/12</f>
        <v>6.5688475705786837</v>
      </c>
      <c r="AX39" s="21">
        <f t="shared" si="6"/>
        <v>72.786441522798256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18.229670329670324</v>
      </c>
      <c r="BD39" s="12">
        <f>IF('Données projet'!$A$88&gt;35,BD38+BC39-BL38,IF(A39&lt;'Données projet'!$A$88,$BA$205^A39,IF(A39='Données projet'!$A$88,'Données projet'!$B$88,BD38+BC39-BL38)))</f>
        <v>253.22197802197798</v>
      </c>
      <c r="BE39" s="13">
        <f>BD39*VLOOKUP('Données projet'!$B$11,Paramètres!$A$1:$I$89,3,0)*VLOOKUP('Données projet'!$B$11,Paramètres!$A$1:$I$89,5,0)</f>
        <v>111.92411428571428</v>
      </c>
      <c r="BF39" s="13">
        <f t="shared" si="37"/>
        <v>29.783862371823506</v>
      </c>
      <c r="BG39" s="20">
        <f t="shared" si="7"/>
        <v>246.80805934521163</v>
      </c>
      <c r="BH39" s="59">
        <f t="shared" si="8"/>
        <v>540.14139267854489</v>
      </c>
      <c r="BI39" s="59">
        <f ca="1">AVERAGE(OFFSET($BH$3,0,0,'Données projet'!$E$11+1,1))-AVERAGE(OFFSET($H$3,0,0,'Données projet'!$E$11+1,1))</f>
        <v>261.20475283925128</v>
      </c>
      <c r="BJ39" s="59">
        <f t="shared" si="38"/>
        <v>247.06045079522403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15.602694864836719</v>
      </c>
      <c r="BQ39" s="21">
        <f>EXP(-LN(2)/25)*BQ38+(1-EXP(-LN(2)/25))/(LN(2)/25)*Calculateur!BL39*Calculateur!BN39*VLOOKUP('Données projet'!$B$11,Paramètres!$A$1:$I$89,3,0)*0.475*44/12</f>
        <v>19.161311634742283</v>
      </c>
      <c r="BR39" s="21">
        <f>EXP(-LN(2)/2)*BR38+(1-EXP(-LN(2)/2))/(LN(2)/2)*BL39*BO39*VLOOKUP('Données projet'!$B$11,Paramètres!$A$1:$I$89,3,0)*0.475*44/12</f>
        <v>4.1508006030258056</v>
      </c>
      <c r="BS39" s="22">
        <f t="shared" si="9"/>
        <v>38.914807102604811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>
        <f>VLOOKUP(A39,'Données projet'!$A$113:$I$133,2,0)</f>
        <v>187.9</v>
      </c>
      <c r="BW39" s="12">
        <f>VLOOKUP(A39,'Données projet'!$A$113:$I$133,9,0)</f>
        <v>9.9714285714285715</v>
      </c>
      <c r="BX39" s="12">
        <f t="array" ref="BX39">INDEX(BW:BW,MIN(IF(ISNUMBER(BW39:BW235),ROW(BW39:BW235),"")))</f>
        <v>9.9714285714285715</v>
      </c>
      <c r="BY39" s="12">
        <f>IF('Données projet'!$A$114&gt;35,BY38+BX39-CG38,IF(A39&lt;'Données projet'!$A$114,$BV$205^A39,IF(A39='Données projet'!$A$114,'Données projet'!$B$114,BY38+BX39-CG38)))</f>
        <v>187.89999999999989</v>
      </c>
      <c r="BZ39" s="13">
        <f>BY39*VLOOKUP('Données projet'!$B$12,Paramètres!$A$1:$I$89,3,0)*VLOOKUP('Données projet'!$B$12,Paramètres!$A$1:$I$89,5,0)</f>
        <v>107.47879999999995</v>
      </c>
      <c r="CA39" s="13">
        <f t="shared" si="39"/>
        <v>28.736170964391803</v>
      </c>
      <c r="CB39" s="20">
        <f t="shared" si="10"/>
        <v>237.24107442964893</v>
      </c>
      <c r="CC39" s="59">
        <f t="shared" si="11"/>
        <v>530.57440776298222</v>
      </c>
      <c r="CD39" s="59">
        <f ca="1">AVERAGE(OFFSET($CC$3,0,0,'Données projet'!$E$12+1,1))-AVERAGE(OFFSET($H$3,0,0,'Données projet'!$E$12+1,1))</f>
        <v>268.71706840132384</v>
      </c>
      <c r="CE39" s="59">
        <f t="shared" si="40"/>
        <v>199.92519498289477</v>
      </c>
      <c r="CF39" s="15">
        <f>IF(ISNA(VLOOKUP(A39,'Données projet'!$A$113:$I$133,3,0)),0,VLOOKUP(A39,'Données projet'!$A$113:$I$133,3,0))</f>
        <v>3</v>
      </c>
      <c r="CG39" s="15">
        <f>IF(ISNA(VLOOKUP(A39,'Données projet'!$A$113:$I$133,4,0)),0,VLOOKUP(A39,'Données projet'!$A$113:$I$133,4,0))</f>
        <v>40.200000000000003</v>
      </c>
      <c r="CH39" s="16">
        <f>IF(ISNA(VLOOKUP(A39,'Données projet'!$A$113:$I$133,5,0)),0%,VLOOKUP(A39,'Données projet'!$A$113:$I$133,5,0)*VLOOKUP('Données projet'!$B$12,Paramètres!$A$1:$I$89,7,0))</f>
        <v>0.315</v>
      </c>
      <c r="CI39" s="16">
        <f>IF(ISNA(VLOOKUP(A39,'Données projet'!$A$113:$I$133,6,0)),0%,VLOOKUP(A39,'Données projet'!$A$113:$I$133,6,0)*VLOOKUP('Données projet'!$B$12,Paramètres!$A$1:$I$89,7,0))</f>
        <v>7.6500000000000012E-2</v>
      </c>
      <c r="CJ39" s="16">
        <f>IF(ISNA(VLOOKUP(A39,'Données projet'!$A$113:$I$133,7,0)),0%,VLOOKUP(A39,'Données projet'!$A$113:$I$133,7,0))</f>
        <v>0.13</v>
      </c>
      <c r="CK39" s="21">
        <f>EXP(-LN(2)/35)*CK38+(1-EXP(-LN(2)/35))/(LN(2)/35)*CG39*CH39*VLOOKUP('Données projet'!$B$12,Paramètres!$A$1:$I$89,3,0)*0.475*44/12</f>
        <v>9.6086194199600747</v>
      </c>
      <c r="CL39" s="21">
        <f>EXP(-LN(2)/25)*CL38+(1-EXP(-LN(2)/25))/(LN(2)/25)*Calculateur!CG39*Calculateur!CI39*VLOOKUP('Données projet'!$B$12,Paramètres!$A$1:$I$89,3,0)*0.475*44/12</f>
        <v>14.72821402546497</v>
      </c>
      <c r="CM39" s="21">
        <f>EXP(-LN(2)/2)*CM38+(1-EXP(-LN(2)/2))/(LN(2)/2)*CG39*CJ39*VLOOKUP('Données projet'!$B$12,Paramètres!$A$1:$I$89,3,0)*0.475*44/12</f>
        <v>4.3132889513985546</v>
      </c>
      <c r="CN39" s="22">
        <f t="shared" si="12"/>
        <v>28.650122396823598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9.3141025641025621</v>
      </c>
      <c r="N40" s="13">
        <f>IF('Données projet'!$A$36&gt;35,N39+M40-V39,IF(A40&lt;'Données projet'!$A$36,$K$205^A40,IF(A40='Données projet'!$A$36,'Données projet'!$B$36,N39+M40-V39)))</f>
        <v>120.19230769230771</v>
      </c>
      <c r="O40" s="13">
        <f>N40*VLOOKUP('Données projet'!$B$9,Paramètres!$A$1:$I$89,3,0)*VLOOKUP('Données projet'!$B$9,Paramètres!$A$1:$I$89,5,0)</f>
        <v>108.75000000000001</v>
      </c>
      <c r="P40" s="13">
        <f t="shared" si="33"/>
        <v>29.036279216217448</v>
      </c>
      <c r="Q40" s="20">
        <f t="shared" si="53"/>
        <v>239.97776963491205</v>
      </c>
      <c r="R40" s="59">
        <f t="shared" si="0"/>
        <v>533.31110296824534</v>
      </c>
      <c r="S40" s="59">
        <f ca="1">AVERAGE(OFFSET($R$3,0,0,'Données projet'!$E$9+1,1))-AVERAGE(OFFSET($H$3,0,0,'Données projet'!$E$9+1,1))</f>
        <v>384.05928630855732</v>
      </c>
      <c r="T40" s="59">
        <f t="shared" si="34"/>
        <v>279.93992813630513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22.419230769230751</v>
      </c>
      <c r="AI40" s="13">
        <f>IF('Données projet'!$A$62&gt;35,AI39+AH40-AQ39,IF(A40&lt;'Données projet'!$A$62,$AF$205^A40,IF(A40='Données projet'!$A$62,'Données projet'!$B$62,AI39+AH40-AQ39)))</f>
        <v>356.62692307692311</v>
      </c>
      <c r="AJ40" s="13">
        <f>AI40*VLOOKUP('Données projet'!$B$10,Paramètres!$A$1:$I$89,3,0)*VLOOKUP('Données projet'!$B$10,Paramètres!$A$1:$I$89,5,0)</f>
        <v>199.35445000000001</v>
      </c>
      <c r="AK40" s="13">
        <f t="shared" si="35"/>
        <v>49.60226869073324</v>
      </c>
      <c r="AL40" s="20">
        <f t="shared" si="4"/>
        <v>433.59961838636042</v>
      </c>
      <c r="AM40" s="59">
        <f t="shared" si="5"/>
        <v>726.93295171969373</v>
      </c>
      <c r="AN40" s="59">
        <f ca="1">AVERAGE(OFFSET($AM$3,0,0,'Données projet'!$E$10+1,1))-AVERAGE(OFFSET($H$3,0,0,'Données projet'!$E$10+1,1))</f>
        <v>335.04906256888819</v>
      </c>
      <c r="AO40" s="59">
        <f t="shared" si="36"/>
        <v>440.84111898279554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45.133449015504453</v>
      </c>
      <c r="AV40" s="21">
        <f>EXP(-LN(2)/25)*AV39+(1-EXP(-LN(2)/25))/(LN(2)/25)*Calculateur!AQ40*Calculateur!AS40*VLOOKUP('Données projet'!$B$10,Paramètres!$A$1:$I$89,3,0)*0.475*44/12</f>
        <v>19.629541782659683</v>
      </c>
      <c r="AW40" s="21">
        <f>EXP(-LN(2)/2)*AW39+(1-EXP(-LN(2)/2))/(LN(2)/2)*AQ40*AT40*VLOOKUP('Données projet'!$B$10,Paramètres!$A$1:$I$89,3,0)*0.475*44/12</f>
        <v>4.6448766617369657</v>
      </c>
      <c r="AX40" s="21">
        <f t="shared" si="6"/>
        <v>69.407867459901098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18.229670329670324</v>
      </c>
      <c r="BD40" s="12">
        <f>IF('Données projet'!$A$88&gt;35,BD39+BC40-BL39,IF(A40&lt;'Données projet'!$A$88,$BA$205^A40,IF(A40='Données projet'!$A$88,'Données projet'!$B$88,BD39+BC40-BL39)))</f>
        <v>271.45164835164832</v>
      </c>
      <c r="BE40" s="13">
        <f>BD40*VLOOKUP('Données projet'!$B$11,Paramètres!$A$1:$I$89,3,0)*VLOOKUP('Données projet'!$B$11,Paramètres!$A$1:$I$89,5,0)</f>
        <v>119.98162857142857</v>
      </c>
      <c r="BF40" s="13">
        <f t="shared" si="37"/>
        <v>31.6707144219212</v>
      </c>
      <c r="BG40" s="20">
        <f t="shared" si="7"/>
        <v>264.1278307134175</v>
      </c>
      <c r="BH40" s="59">
        <f t="shared" si="8"/>
        <v>557.46116404675081</v>
      </c>
      <c r="BI40" s="59">
        <f ca="1">AVERAGE(OFFSET($BH$3,0,0,'Données projet'!$E$11+1,1))-AVERAGE(OFFSET($H$3,0,0,'Données projet'!$E$11+1,1))</f>
        <v>261.20475283925128</v>
      </c>
      <c r="BJ40" s="59">
        <f t="shared" si="38"/>
        <v>247.06045079522403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15.296735535241442</v>
      </c>
      <c r="BQ40" s="21">
        <f>EXP(-LN(2)/25)*BQ39+(1-EXP(-LN(2)/25))/(LN(2)/25)*Calculateur!BL40*Calculateur!BN40*VLOOKUP('Données projet'!$B$11,Paramètres!$A$1:$I$89,3,0)*0.475*44/12</f>
        <v>18.63734456044067</v>
      </c>
      <c r="BR40" s="21">
        <f>EXP(-LN(2)/2)*BR39+(1-EXP(-LN(2)/2))/(LN(2)/2)*BL40*BO40*VLOOKUP('Données projet'!$B$11,Paramètres!$A$1:$I$89,3,0)*0.475*44/12</f>
        <v>2.9350592537527582</v>
      </c>
      <c r="BS40" s="22">
        <f t="shared" si="9"/>
        <v>36.869139349434874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9.25</v>
      </c>
      <c r="BY40" s="12">
        <f>IF('Données projet'!$A$114&gt;35,BY39+BX40-CG39,IF(A40&lt;'Données projet'!$A$114,$BV$205^A40,IF(A40='Données projet'!$A$114,'Données projet'!$B$114,BY39+BX40-CG39)))</f>
        <v>156.94999999999987</v>
      </c>
      <c r="BZ40" s="13">
        <f>BY40*VLOOKUP('Données projet'!$B$12,Paramètres!$A$1:$I$89,3,0)*VLOOKUP('Données projet'!$B$12,Paramètres!$A$1:$I$89,5,0)</f>
        <v>89.775399999999934</v>
      </c>
      <c r="CA40" s="13">
        <f t="shared" si="39"/>
        <v>24.511049007501128</v>
      </c>
      <c r="CB40" s="20">
        <f t="shared" si="10"/>
        <v>199.04889868806433</v>
      </c>
      <c r="CC40" s="59">
        <f t="shared" si="11"/>
        <v>492.38223202139761</v>
      </c>
      <c r="CD40" s="59">
        <f ca="1">AVERAGE(OFFSET($CC$3,0,0,'Données projet'!$E$12+1,1))-AVERAGE(OFFSET($H$3,0,0,'Données projet'!$E$12+1,1))</f>
        <v>268.71706840132384</v>
      </c>
      <c r="CE40" s="59">
        <f t="shared" si="40"/>
        <v>199.92519498289477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9.4202002538138103</v>
      </c>
      <c r="CL40" s="21">
        <f>EXP(-LN(2)/25)*CL39+(1-EXP(-LN(2)/25))/(LN(2)/25)*Calculateur!CG40*Calculateur!CI40*VLOOKUP('Données projet'!$B$12,Paramètres!$A$1:$I$89,3,0)*0.475*44/12</f>
        <v>14.325470238415516</v>
      </c>
      <c r="CM40" s="21">
        <f>EXP(-LN(2)/2)*CM39+(1-EXP(-LN(2)/2))/(LN(2)/2)*CG40*CJ40*VLOOKUP('Données projet'!$B$12,Paramètres!$A$1:$I$89,3,0)*0.475*44/12</f>
        <v>3.0499558667509308</v>
      </c>
      <c r="CN40" s="22">
        <f t="shared" si="12"/>
        <v>26.795626358980257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9.3141025641025621</v>
      </c>
      <c r="N41" s="13">
        <f>IF('Données projet'!$A$36&gt;35,N40+M41-V40,IF(A41&lt;'Données projet'!$A$36,$K$205^A41,IF(A41='Données projet'!$A$36,'Données projet'!$B$36,N40+M41-V40)))</f>
        <v>129.50641025641028</v>
      </c>
      <c r="O41" s="13">
        <f>N41*VLOOKUP('Données projet'!$B$9,Paramètres!$A$1:$I$89,3,0)*VLOOKUP('Données projet'!$B$9,Paramètres!$A$1:$I$89,5,0)</f>
        <v>117.17740000000002</v>
      </c>
      <c r="P41" s="13">
        <f t="shared" si="33"/>
        <v>31.015764986886897</v>
      </c>
      <c r="Q41" s="20">
        <f t="shared" si="53"/>
        <v>258.10309568549474</v>
      </c>
      <c r="R41" s="59">
        <f t="shared" si="0"/>
        <v>551.43642901882799</v>
      </c>
      <c r="S41" s="59">
        <f ca="1">AVERAGE(OFFSET($R$3,0,0,'Données projet'!$E$9+1,1))-AVERAGE(OFFSET($H$3,0,0,'Données projet'!$E$9+1,1))</f>
        <v>384.05928630855732</v>
      </c>
      <c r="T41" s="59">
        <f t="shared" si="34"/>
        <v>279.93992813630513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22.419230769230751</v>
      </c>
      <c r="AI41" s="13">
        <f>IF('Données projet'!$A$62&gt;35,AI40+AH41-AQ40,IF(A41&lt;'Données projet'!$A$62,$AF$205^A41,IF(A41='Données projet'!$A$62,'Données projet'!$B$62,AI40+AH41-AQ40)))</f>
        <v>379.04615384615386</v>
      </c>
      <c r="AJ41" s="13">
        <f>AI41*VLOOKUP('Données projet'!$B$10,Paramètres!$A$1:$I$89,3,0)*VLOOKUP('Données projet'!$B$10,Paramètres!$A$1:$I$89,5,0)</f>
        <v>211.88679999999999</v>
      </c>
      <c r="AK41" s="13">
        <f t="shared" si="35"/>
        <v>52.347684082939317</v>
      </c>
      <c r="AL41" s="20">
        <f t="shared" si="4"/>
        <v>460.20839311111928</v>
      </c>
      <c r="AM41" s="59">
        <f t="shared" si="5"/>
        <v>753.54172644445259</v>
      </c>
      <c r="AN41" s="59">
        <f ca="1">AVERAGE(OFFSET($AM$3,0,0,'Données projet'!$E$10+1,1))-AVERAGE(OFFSET($H$3,0,0,'Données projet'!$E$10+1,1))</f>
        <v>335.04906256888819</v>
      </c>
      <c r="AO41" s="59">
        <f t="shared" si="36"/>
        <v>440.84111898279554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44.248409608996077</v>
      </c>
      <c r="AV41" s="21">
        <f>EXP(-LN(2)/25)*AV40+(1-EXP(-LN(2)/25))/(LN(2)/25)*Calculateur!AQ41*Calculateur!AS41*VLOOKUP('Données projet'!$B$10,Paramètres!$A$1:$I$89,3,0)*0.475*44/12</f>
        <v>19.092770930340116</v>
      </c>
      <c r="AW41" s="21">
        <f>EXP(-LN(2)/2)*AW40+(1-EXP(-LN(2)/2))/(LN(2)/2)*AQ41*AT41*VLOOKUP('Données projet'!$B$10,Paramètres!$A$1:$I$89,3,0)*0.475*44/12</f>
        <v>3.2844237852893423</v>
      </c>
      <c r="AX41" s="21">
        <f t="shared" si="6"/>
        <v>66.625604324625542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18.229670329670324</v>
      </c>
      <c r="BD41" s="12">
        <f>IF('Données projet'!$A$88&gt;35,BD40+BC41-BL40,IF(A41&lt;'Données projet'!$A$88,$BA$205^A41,IF(A41='Données projet'!$A$88,'Données projet'!$B$88,BD40+BC41-BL40)))</f>
        <v>289.68131868131866</v>
      </c>
      <c r="BE41" s="13">
        <f>BD41*VLOOKUP('Données projet'!$B$11,Paramètres!$A$1:$I$89,3,0)*VLOOKUP('Données projet'!$B$11,Paramètres!$A$1:$I$89,5,0)</f>
        <v>128.03914285714285</v>
      </c>
      <c r="BF41" s="13">
        <f t="shared" si="37"/>
        <v>33.542862812593</v>
      </c>
      <c r="BG41" s="20">
        <f t="shared" si="7"/>
        <v>281.42199320812324</v>
      </c>
      <c r="BH41" s="59">
        <f t="shared" si="8"/>
        <v>574.7553265414565</v>
      </c>
      <c r="BI41" s="59">
        <f ca="1">AVERAGE(OFFSET($BH$3,0,0,'Données projet'!$E$11+1,1))-AVERAGE(OFFSET($H$3,0,0,'Données projet'!$E$11+1,1))</f>
        <v>261.20475283925128</v>
      </c>
      <c r="BJ41" s="59">
        <f t="shared" si="38"/>
        <v>247.06045079522403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14.996775881482764</v>
      </c>
      <c r="BQ41" s="21">
        <f>EXP(-LN(2)/25)*BQ40+(1-EXP(-LN(2)/25))/(LN(2)/25)*Calculateur!BL41*Calculateur!BN41*VLOOKUP('Données projet'!$B$11,Paramètres!$A$1:$I$89,3,0)*0.475*44/12</f>
        <v>18.127705393340065</v>
      </c>
      <c r="BR41" s="21">
        <f>EXP(-LN(2)/2)*BR40+(1-EXP(-LN(2)/2))/(LN(2)/2)*BL41*BO41*VLOOKUP('Données projet'!$B$11,Paramètres!$A$1:$I$89,3,0)*0.475*44/12</f>
        <v>2.0754003015129032</v>
      </c>
      <c r="BS41" s="22">
        <f t="shared" si="9"/>
        <v>35.199881576335727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9.25</v>
      </c>
      <c r="BY41" s="12">
        <f>IF('Données projet'!$A$114&gt;35,BY40+BX41-CG40,IF(A41&lt;'Données projet'!$A$114,$BV$205^A41,IF(A41='Données projet'!$A$114,'Données projet'!$B$114,BY40+BX41-CG40)))</f>
        <v>166.19999999999987</v>
      </c>
      <c r="BZ41" s="13">
        <f>BY41*VLOOKUP('Données projet'!$B$12,Paramètres!$A$1:$I$89,3,0)*VLOOKUP('Données projet'!$B$12,Paramètres!$A$1:$I$89,5,0)</f>
        <v>95.066399999999931</v>
      </c>
      <c r="CA41" s="13">
        <f t="shared" si="39"/>
        <v>25.783196868469933</v>
      </c>
      <c r="CB41" s="20">
        <f t="shared" si="10"/>
        <v>210.47971454591834</v>
      </c>
      <c r="CC41" s="59">
        <f t="shared" si="11"/>
        <v>503.81304787925166</v>
      </c>
      <c r="CD41" s="59">
        <f ca="1">AVERAGE(OFFSET($CC$3,0,0,'Données projet'!$E$12+1,1))-AVERAGE(OFFSET($H$3,0,0,'Données projet'!$E$12+1,1))</f>
        <v>268.71706840132384</v>
      </c>
      <c r="CE41" s="59">
        <f t="shared" si="40"/>
        <v>199.92519498289477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9.23547587259133</v>
      </c>
      <c r="CL41" s="21">
        <f>EXP(-LN(2)/25)*CL40+(1-EXP(-LN(2)/25))/(LN(2)/25)*Calculateur!CG41*Calculateur!CI41*VLOOKUP('Données projet'!$B$12,Paramètres!$A$1:$I$89,3,0)*0.475*44/12</f>
        <v>13.933739501402306</v>
      </c>
      <c r="CM41" s="21">
        <f>EXP(-LN(2)/2)*CM40+(1-EXP(-LN(2)/2))/(LN(2)/2)*CG41*CJ41*VLOOKUP('Données projet'!$B$12,Paramètres!$A$1:$I$89,3,0)*0.475*44/12</f>
        <v>2.1566444756992773</v>
      </c>
      <c r="CN41" s="22">
        <f t="shared" si="12"/>
        <v>25.325859849692915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9.3141025641025621</v>
      </c>
      <c r="N42" s="13">
        <f>IF('Données projet'!$A$36&gt;35,N41+M42-V41,IF(A42&lt;'Données projet'!$A$36,$K$205^A42,IF(A42='Données projet'!$A$36,'Données projet'!$B$36,N41+M42-V41)))</f>
        <v>138.82051282051285</v>
      </c>
      <c r="O42" s="13">
        <f>N42*VLOOKUP('Données projet'!$B$9,Paramètres!$A$1:$I$89,3,0)*VLOOKUP('Données projet'!$B$9,Paramètres!$A$1:$I$89,5,0)</f>
        <v>125.60480000000001</v>
      </c>
      <c r="P42" s="13">
        <f t="shared" si="33"/>
        <v>32.978733659615138</v>
      </c>
      <c r="Q42" s="20">
        <f t="shared" si="53"/>
        <v>276.19965445716304</v>
      </c>
      <c r="R42" s="59">
        <f t="shared" si="0"/>
        <v>569.53298779049635</v>
      </c>
      <c r="S42" s="59">
        <f ca="1">AVERAGE(OFFSET($R$3,0,0,'Données projet'!$E$9+1,1))-AVERAGE(OFFSET($H$3,0,0,'Données projet'!$E$9+1,1))</f>
        <v>384.05928630855732</v>
      </c>
      <c r="T42" s="59">
        <f t="shared" si="34"/>
        <v>279.93992813630513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22.419230769230751</v>
      </c>
      <c r="AI42" s="13">
        <f>IF('Données projet'!$A$62&gt;35,AI41+AH42-AQ41,IF(A42&lt;'Données projet'!$A$62,$AF$205^A42,IF(A42='Données projet'!$A$62,'Données projet'!$B$62,AI41+AH42-AQ41)))</f>
        <v>401.46538461538461</v>
      </c>
      <c r="AJ42" s="13">
        <f>AI42*VLOOKUP('Données projet'!$B$10,Paramètres!$A$1:$I$89,3,0)*VLOOKUP('Données projet'!$B$10,Paramètres!$A$1:$I$89,5,0)</f>
        <v>224.41915</v>
      </c>
      <c r="AK42" s="13">
        <f t="shared" si="35"/>
        <v>55.074251579267461</v>
      </c>
      <c r="AL42" s="20">
        <f t="shared" si="4"/>
        <v>486.78434108389075</v>
      </c>
      <c r="AM42" s="59">
        <f t="shared" si="5"/>
        <v>780.11767441722407</v>
      </c>
      <c r="AN42" s="59">
        <f ca="1">AVERAGE(OFFSET($AM$3,0,0,'Données projet'!$E$10+1,1))-AVERAGE(OFFSET($H$3,0,0,'Données projet'!$E$10+1,1))</f>
        <v>335.04906256888819</v>
      </c>
      <c r="AO42" s="59">
        <f t="shared" si="36"/>
        <v>440.84111898279554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43.380725285428596</v>
      </c>
      <c r="AV42" s="21">
        <f>EXP(-LN(2)/25)*AV41+(1-EXP(-LN(2)/25))/(LN(2)/25)*Calculateur!AQ42*Calculateur!AS42*VLOOKUP('Données projet'!$B$10,Paramètres!$A$1:$I$89,3,0)*0.475*44/12</f>
        <v>18.570678105204781</v>
      </c>
      <c r="AW42" s="21">
        <f>EXP(-LN(2)/2)*AW41+(1-EXP(-LN(2)/2))/(LN(2)/2)*AQ42*AT42*VLOOKUP('Données projet'!$B$10,Paramètres!$A$1:$I$89,3,0)*0.475*44/12</f>
        <v>2.3224383308684833</v>
      </c>
      <c r="AX42" s="21">
        <f t="shared" si="6"/>
        <v>64.273841721501853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18.229670329670324</v>
      </c>
      <c r="BD42" s="12">
        <f>IF('Données projet'!$A$88&gt;35,BD41+BC42-BL41,IF(A42&lt;'Données projet'!$A$88,$BA$205^A42,IF(A42='Données projet'!$A$88,'Données projet'!$B$88,BD41+BC42-BL41)))</f>
        <v>307.910989010989</v>
      </c>
      <c r="BE42" s="13">
        <f>BD42*VLOOKUP('Données projet'!$B$11,Paramètres!$A$1:$I$89,3,0)*VLOOKUP('Données projet'!$B$11,Paramètres!$A$1:$I$89,5,0)</f>
        <v>136.09665714285714</v>
      </c>
      <c r="BF42" s="13">
        <f t="shared" si="37"/>
        <v>35.401338180177596</v>
      </c>
      <c r="BG42" s="20">
        <f t="shared" si="7"/>
        <v>298.69234185428553</v>
      </c>
      <c r="BH42" s="59">
        <f t="shared" si="8"/>
        <v>592.02567518761884</v>
      </c>
      <c r="BI42" s="59">
        <f ca="1">AVERAGE(OFFSET($BH$3,0,0,'Données projet'!$E$11+1,1))-AVERAGE(OFFSET($H$3,0,0,'Données projet'!$E$11+1,1))</f>
        <v>261.20475283925128</v>
      </c>
      <c r="BJ42" s="59">
        <f t="shared" si="38"/>
        <v>247.06045079522403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14.702698253576971</v>
      </c>
      <c r="BQ42" s="21">
        <f>EXP(-LN(2)/25)*BQ41+(1-EXP(-LN(2)/25))/(LN(2)/25)*Calculateur!BL42*Calculateur!BN42*VLOOKUP('Données projet'!$B$11,Paramètres!$A$1:$I$89,3,0)*0.475*44/12</f>
        <v>17.632002336064584</v>
      </c>
      <c r="BR42" s="21">
        <f>EXP(-LN(2)/2)*BR41+(1-EXP(-LN(2)/2))/(LN(2)/2)*BL42*BO42*VLOOKUP('Données projet'!$B$11,Paramètres!$A$1:$I$89,3,0)*0.475*44/12</f>
        <v>1.4675296268763793</v>
      </c>
      <c r="BS42" s="22">
        <f t="shared" si="9"/>
        <v>33.802230216517934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9.25</v>
      </c>
      <c r="BY42" s="12">
        <f>IF('Données projet'!$A$114&gt;35,BY41+BX42-CG41,IF(A42&lt;'Données projet'!$A$114,$BV$205^A42,IF(A42='Données projet'!$A$114,'Données projet'!$B$114,BY41+BX42-CG41)))</f>
        <v>175.44999999999987</v>
      </c>
      <c r="BZ42" s="13">
        <f>BY42*VLOOKUP('Données projet'!$B$12,Paramètres!$A$1:$I$89,3,0)*VLOOKUP('Données projet'!$B$12,Paramètres!$A$1:$I$89,5,0)</f>
        <v>100.35739999999994</v>
      </c>
      <c r="CA42" s="13">
        <f t="shared" si="39"/>
        <v>27.047125482568308</v>
      </c>
      <c r="CB42" s="20">
        <f t="shared" si="10"/>
        <v>221.89621521547303</v>
      </c>
      <c r="CC42" s="59">
        <f t="shared" si="11"/>
        <v>515.22954854880641</v>
      </c>
      <c r="CD42" s="59">
        <f ca="1">AVERAGE(OFFSET($CC$3,0,0,'Données projet'!$E$12+1,1))-AVERAGE(OFFSET($H$3,0,0,'Données projet'!$E$12+1,1))</f>
        <v>268.71706840132384</v>
      </c>
      <c r="CE42" s="59">
        <f t="shared" si="40"/>
        <v>199.92519498289477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9.0543738238138758</v>
      </c>
      <c r="CL42" s="21">
        <f>EXP(-LN(2)/25)*CL41+(1-EXP(-LN(2)/25))/(LN(2)/25)*Calculateur!CG42*Calculateur!CI42*VLOOKUP('Données projet'!$B$12,Paramètres!$A$1:$I$89,3,0)*0.475*44/12</f>
        <v>13.552720661992945</v>
      </c>
      <c r="CM42" s="21">
        <f>EXP(-LN(2)/2)*CM41+(1-EXP(-LN(2)/2))/(LN(2)/2)*CG42*CJ42*VLOOKUP('Données projet'!$B$12,Paramètres!$A$1:$I$89,3,0)*0.475*44/12</f>
        <v>1.5249779333754654</v>
      </c>
      <c r="CN42" s="22">
        <f t="shared" si="12"/>
        <v>24.132072419182283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9.3141025641025621</v>
      </c>
      <c r="N43" s="13">
        <f>IF('Données projet'!$A$36&gt;35,N42+M43-V42,IF(A43&lt;'Données projet'!$A$36,$K$205^A43,IF(A43='Données projet'!$A$36,'Données projet'!$B$36,N42+M43-V42)))</f>
        <v>148.13461538461542</v>
      </c>
      <c r="O43" s="13">
        <f>N43*VLOOKUP('Données projet'!$B$9,Paramètres!$A$1:$I$89,3,0)*VLOOKUP('Données projet'!$B$9,Paramètres!$A$1:$I$89,5,0)</f>
        <v>134.03220000000002</v>
      </c>
      <c r="P43" s="13">
        <f t="shared" si="33"/>
        <v>34.926419532696755</v>
      </c>
      <c r="Q43" s="20">
        <f t="shared" si="53"/>
        <v>294.26959568611358</v>
      </c>
      <c r="R43" s="59">
        <f t="shared" si="0"/>
        <v>587.60292901944695</v>
      </c>
      <c r="S43" s="59">
        <f ca="1">AVERAGE(OFFSET($R$3,0,0,'Données projet'!$E$9+1,1))-AVERAGE(OFFSET($H$3,0,0,'Données projet'!$E$9+1,1))</f>
        <v>384.05928630855732</v>
      </c>
      <c r="T43" s="59">
        <f t="shared" si="34"/>
        <v>279.93992813630513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22.419230769230751</v>
      </c>
      <c r="AI43" s="13">
        <f>IF('Données projet'!$A$62&gt;35,AI42+AH43-AQ42,IF(A43&lt;'Données projet'!$A$62,$AF$205^A43,IF(A43='Données projet'!$A$62,'Données projet'!$B$62,AI42+AH43-AQ42)))</f>
        <v>423.88461538461536</v>
      </c>
      <c r="AJ43" s="13">
        <f>AI43*VLOOKUP('Données projet'!$B$10,Paramètres!$A$1:$I$89,3,0)*VLOOKUP('Données projet'!$B$10,Paramètres!$A$1:$I$89,5,0)</f>
        <v>236.95150000000001</v>
      </c>
      <c r="AK43" s="13">
        <f t="shared" si="35"/>
        <v>57.783143668102753</v>
      </c>
      <c r="AL43" s="20">
        <f t="shared" si="4"/>
        <v>513.32950438861235</v>
      </c>
      <c r="AM43" s="59">
        <f t="shared" si="5"/>
        <v>806.66283772194561</v>
      </c>
      <c r="AN43" s="59">
        <f ca="1">AVERAGE(OFFSET($AM$3,0,0,'Données projet'!$E$10+1,1))-AVERAGE(OFFSET($H$3,0,0,'Données projet'!$E$10+1,1))</f>
        <v>335.04906256888819</v>
      </c>
      <c r="AO43" s="59">
        <f t="shared" si="36"/>
        <v>440.84111898279554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42.530055722211095</v>
      </c>
      <c r="AV43" s="21">
        <f>EXP(-LN(2)/25)*AV42+(1-EXP(-LN(2)/25))/(LN(2)/25)*Calculateur!AQ43*Calculateur!AS43*VLOOKUP('Données projet'!$B$10,Paramètres!$A$1:$I$89,3,0)*0.475*44/12</f>
        <v>18.062861935828437</v>
      </c>
      <c r="AW43" s="21">
        <f>EXP(-LN(2)/2)*AW42+(1-EXP(-LN(2)/2))/(LN(2)/2)*AQ43*AT43*VLOOKUP('Données projet'!$B$10,Paramètres!$A$1:$I$89,3,0)*0.475*44/12</f>
        <v>1.6422118926446714</v>
      </c>
      <c r="AX43" s="21">
        <f t="shared" si="6"/>
        <v>62.235129550684206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18.229670329670324</v>
      </c>
      <c r="BD43" s="12">
        <f>IF('Données projet'!$A$88&gt;35,BD42+BC43-BL42,IF(A43&lt;'Données projet'!$A$88,$BA$205^A43,IF(A43='Données projet'!$A$88,'Données projet'!$B$88,BD42+BC43-BL42)))</f>
        <v>326.14065934065934</v>
      </c>
      <c r="BE43" s="13">
        <f>BD43*VLOOKUP('Données projet'!$B$11,Paramètres!$A$1:$I$89,3,0)*VLOOKUP('Données projet'!$B$11,Paramètres!$A$1:$I$89,5,0)</f>
        <v>144.15417142857143</v>
      </c>
      <c r="BF43" s="13">
        <f t="shared" si="37"/>
        <v>37.24704223050739</v>
      </c>
      <c r="BG43" s="20">
        <f t="shared" si="7"/>
        <v>315.94044712289559</v>
      </c>
      <c r="BH43" s="59">
        <f t="shared" si="8"/>
        <v>609.27378045622891</v>
      </c>
      <c r="BI43" s="59">
        <f ca="1">AVERAGE(OFFSET($BH$3,0,0,'Données projet'!$E$11+1,1))-AVERAGE(OFFSET($H$3,0,0,'Données projet'!$E$11+1,1))</f>
        <v>261.20475283925128</v>
      </c>
      <c r="BJ43" s="59">
        <f t="shared" si="38"/>
        <v>247.06045079522403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14.414387308584768</v>
      </c>
      <c r="BQ43" s="21">
        <f>EXP(-LN(2)/25)*BQ42+(1-EXP(-LN(2)/25))/(LN(2)/25)*Calculateur!BL43*Calculateur!BN43*VLOOKUP('Données projet'!$B$11,Paramètres!$A$1:$I$89,3,0)*0.475*44/12</f>
        <v>17.149854304958193</v>
      </c>
      <c r="BR43" s="21">
        <f>EXP(-LN(2)/2)*BR42+(1-EXP(-LN(2)/2))/(LN(2)/2)*BL43*BO43*VLOOKUP('Données projet'!$B$11,Paramètres!$A$1:$I$89,3,0)*0.475*44/12</f>
        <v>1.0377001507564518</v>
      </c>
      <c r="BS43" s="22">
        <f t="shared" si="9"/>
        <v>32.601941764299411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9.25</v>
      </c>
      <c r="BY43" s="12">
        <f>IF('Données projet'!$A$114&gt;35,BY42+BX43-CG42,IF(A43&lt;'Données projet'!$A$114,$BV$205^A43,IF(A43='Données projet'!$A$114,'Données projet'!$B$114,BY42+BX43-CG42)))</f>
        <v>184.69999999999987</v>
      </c>
      <c r="BZ43" s="13">
        <f>BY43*VLOOKUP('Données projet'!$B$12,Paramètres!$A$1:$I$89,3,0)*VLOOKUP('Données projet'!$B$12,Paramètres!$A$1:$I$89,5,0)</f>
        <v>105.64839999999992</v>
      </c>
      <c r="CA43" s="13">
        <f t="shared" si="39"/>
        <v>28.303317598550137</v>
      </c>
      <c r="CB43" s="20">
        <f t="shared" si="10"/>
        <v>233.29924148414133</v>
      </c>
      <c r="CC43" s="59">
        <f t="shared" si="11"/>
        <v>526.63257481747462</v>
      </c>
      <c r="CD43" s="59">
        <f ca="1">AVERAGE(OFFSET($CC$3,0,0,'Données projet'!$E$12+1,1))-AVERAGE(OFFSET($H$3,0,0,'Données projet'!$E$12+1,1))</f>
        <v>268.71706840132384</v>
      </c>
      <c r="CE43" s="59">
        <f t="shared" si="40"/>
        <v>199.92519498289477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8.876823075751604</v>
      </c>
      <c r="CL43" s="21">
        <f>EXP(-LN(2)/25)*CL42+(1-EXP(-LN(2)/25))/(LN(2)/25)*Calculateur!CG43*Calculateur!CI43*VLOOKUP('Données projet'!$B$12,Paramètres!$A$1:$I$89,3,0)*0.475*44/12</f>
        <v>13.182120802784143</v>
      </c>
      <c r="CM43" s="21">
        <f>EXP(-LN(2)/2)*CM42+(1-EXP(-LN(2)/2))/(LN(2)/2)*CG43*CJ43*VLOOKUP('Données projet'!$B$12,Paramètres!$A$1:$I$89,3,0)*0.475*44/12</f>
        <v>1.0783222378496387</v>
      </c>
      <c r="CN43" s="22">
        <f t="shared" si="12"/>
        <v>23.137266116385383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157.44871794871796</v>
      </c>
      <c r="L44" s="12">
        <f>VLOOKUP(A44,'Données projet'!$A$35:$I$55,9,0)</f>
        <v>9.3141025641025621</v>
      </c>
      <c r="M44" s="12">
        <f t="array" ref="M44">INDEX(L:L,MIN(IF(ISNUMBER(L44:L240),ROW(L44:L240),"")))</f>
        <v>9.3141025641025621</v>
      </c>
      <c r="N44" s="13">
        <f>IF('Données projet'!$A$36&gt;35,N43+M44-V43,IF(A44&lt;'Données projet'!$A$36,$K$205^A44,IF(A44='Données projet'!$A$36,'Données projet'!$B$36,N43+M44-V43)))</f>
        <v>157.44871794871798</v>
      </c>
      <c r="O44" s="13">
        <f>N44*VLOOKUP('Données projet'!$B$9,Paramètres!$A$1:$I$89,3,0)*VLOOKUP('Données projet'!$B$9,Paramètres!$A$1:$I$89,5,0)</f>
        <v>142.45960000000002</v>
      </c>
      <c r="P44" s="13">
        <f t="shared" si="33"/>
        <v>36.859892915688405</v>
      </c>
      <c r="Q44" s="20">
        <f t="shared" si="53"/>
        <v>312.31478349482404</v>
      </c>
      <c r="R44" s="59">
        <f t="shared" si="0"/>
        <v>605.6481168281573</v>
      </c>
      <c r="S44" s="59">
        <f ca="1">AVERAGE(OFFSET($R$3,0,0,'Données projet'!$E$9+1,1))-AVERAGE(OFFSET($H$3,0,0,'Données projet'!$E$9+1,1))</f>
        <v>384.05928630855732</v>
      </c>
      <c r="T44" s="59">
        <f t="shared" si="34"/>
        <v>279.93992813630513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38.512820512820511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22.419230769230751</v>
      </c>
      <c r="AI44" s="13">
        <f>IF('Données projet'!$A$62&gt;35,AI43+AH44-AQ43,IF(A44&lt;'Données projet'!$A$62,$AF$205^A44,IF(A44='Données projet'!$A$62,'Données projet'!$B$62,AI43+AH44-AQ43)))</f>
        <v>446.30384615384611</v>
      </c>
      <c r="AJ44" s="13">
        <f>AI44*VLOOKUP('Données projet'!$B$10,Paramètres!$A$1:$I$89,3,0)*VLOOKUP('Données projet'!$B$10,Paramètres!$A$1:$I$89,5,0)</f>
        <v>249.48384999999996</v>
      </c>
      <c r="AK44" s="13">
        <f t="shared" si="35"/>
        <v>60.475401807280001</v>
      </c>
      <c r="AL44" s="20">
        <f t="shared" si="4"/>
        <v>539.8456968976792</v>
      </c>
      <c r="AM44" s="59">
        <f t="shared" si="5"/>
        <v>833.17903023101258</v>
      </c>
      <c r="AN44" s="59">
        <f ca="1">AVERAGE(OFFSET($AM$3,0,0,'Données projet'!$E$10+1,1))-AVERAGE(OFFSET($H$3,0,0,'Données projet'!$E$10+1,1))</f>
        <v>335.04906256888819</v>
      </c>
      <c r="AO44" s="59">
        <f t="shared" si="36"/>
        <v>440.84111898279554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41.696067270271087</v>
      </c>
      <c r="AV44" s="21">
        <f>EXP(-LN(2)/25)*AV43+(1-EXP(-LN(2)/25))/(LN(2)/25)*Calculateur!AQ44*Calculateur!AS44*VLOOKUP('Données projet'!$B$10,Paramètres!$A$1:$I$89,3,0)*0.475*44/12</f>
        <v>17.568932026308584</v>
      </c>
      <c r="AW44" s="21">
        <f>EXP(-LN(2)/2)*AW43+(1-EXP(-LN(2)/2))/(LN(2)/2)*AQ44*AT44*VLOOKUP('Données projet'!$B$10,Paramètres!$A$1:$I$89,3,0)*0.475*44/12</f>
        <v>1.1612191654342419</v>
      </c>
      <c r="AX44" s="21">
        <f t="shared" si="6"/>
        <v>60.426218462013914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18.229670329670324</v>
      </c>
      <c r="BD44" s="12">
        <f>IF('Données projet'!$A$88&gt;35,BD43+BC44-BL43,IF(A44&lt;'Données projet'!$A$88,$BA$205^A44,IF(A44='Données projet'!$A$88,'Données projet'!$B$88,BD43+BC44-BL43)))</f>
        <v>344.37032967032968</v>
      </c>
      <c r="BE44" s="13">
        <f>BD44*VLOOKUP('Données projet'!$B$11,Paramètres!$A$1:$I$89,3,0)*VLOOKUP('Données projet'!$B$11,Paramètres!$A$1:$I$89,5,0)</f>
        <v>152.21168571428575</v>
      </c>
      <c r="BF44" s="13">
        <f t="shared" si="37"/>
        <v>39.08077017426276</v>
      </c>
      <c r="BG44" s="20">
        <f t="shared" si="7"/>
        <v>333.16769400588868</v>
      </c>
      <c r="BH44" s="59">
        <f t="shared" si="8"/>
        <v>626.50102733922199</v>
      </c>
      <c r="BI44" s="59">
        <f ca="1">AVERAGE(OFFSET($BH$3,0,0,'Données projet'!$E$11+1,1))-AVERAGE(OFFSET($H$3,0,0,'Données projet'!$E$11+1,1))</f>
        <v>261.20475283925128</v>
      </c>
      <c r="BJ44" s="59">
        <f t="shared" si="38"/>
        <v>247.06045079522403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14.13172996537155</v>
      </c>
      <c r="BQ44" s="21">
        <f>EXP(-LN(2)/25)*BQ43+(1-EXP(-LN(2)/25))/(LN(2)/25)*Calculateur!BL44*Calculateur!BN44*VLOOKUP('Données projet'!$B$11,Paramètres!$A$1:$I$89,3,0)*0.475*44/12</f>
        <v>16.680890637117471</v>
      </c>
      <c r="BR44" s="21">
        <f>EXP(-LN(2)/2)*BR43+(1-EXP(-LN(2)/2))/(LN(2)/2)*BL44*BO44*VLOOKUP('Données projet'!$B$11,Paramètres!$A$1:$I$89,3,0)*0.475*44/12</f>
        <v>0.73376481343818978</v>
      </c>
      <c r="BS44" s="22">
        <f t="shared" si="9"/>
        <v>31.546385415927208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9.25</v>
      </c>
      <c r="BY44" s="12">
        <f>IF('Données projet'!$A$114&gt;35,BY43+BX44-CG43,IF(A44&lt;'Données projet'!$A$114,$BV$205^A44,IF(A44='Données projet'!$A$114,'Données projet'!$B$114,BY43+BX44-CG43)))</f>
        <v>193.94999999999987</v>
      </c>
      <c r="BZ44" s="13">
        <f>BY44*VLOOKUP('Données projet'!$B$12,Paramètres!$A$1:$I$89,3,0)*VLOOKUP('Données projet'!$B$12,Paramètres!$A$1:$I$89,5,0)</f>
        <v>110.93939999999994</v>
      </c>
      <c r="CA44" s="13">
        <f t="shared" si="39"/>
        <v>29.552204880451107</v>
      </c>
      <c r="CB44" s="20">
        <f t="shared" si="10"/>
        <v>244.68954516678556</v>
      </c>
      <c r="CC44" s="59">
        <f t="shared" si="11"/>
        <v>538.02287850011885</v>
      </c>
      <c r="CD44" s="59">
        <f ca="1">AVERAGE(OFFSET($CC$3,0,0,'Données projet'!$E$12+1,1))-AVERAGE(OFFSET($H$3,0,0,'Données projet'!$E$12+1,1))</f>
        <v>268.71706840132384</v>
      </c>
      <c r="CE44" s="59">
        <f t="shared" si="40"/>
        <v>199.92519498289477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8.7027539895635702</v>
      </c>
      <c r="CL44" s="21">
        <f>EXP(-LN(2)/25)*CL43+(1-EXP(-LN(2)/25))/(LN(2)/25)*Calculateur!CG44*Calculateur!CI44*VLOOKUP('Données projet'!$B$12,Paramètres!$A$1:$I$89,3,0)*0.475*44/12</f>
        <v>12.821655016214406</v>
      </c>
      <c r="CM44" s="21">
        <f>EXP(-LN(2)/2)*CM43+(1-EXP(-LN(2)/2))/(LN(2)/2)*CG44*CJ44*VLOOKUP('Données projet'!$B$12,Paramètres!$A$1:$I$89,3,0)*0.475*44/12</f>
        <v>0.76248896668773269</v>
      </c>
      <c r="CN44" s="22">
        <f t="shared" si="12"/>
        <v>22.286897972465709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9.3452380952380913</v>
      </c>
      <c r="N45" s="13">
        <f>IF('Données projet'!$A$36&gt;35,N44+M45-V44,IF(A45&lt;'Données projet'!$A$36,$K$205^A45,IF(A45='Données projet'!$A$36,'Données projet'!$B$36,N44+M45-V44)))</f>
        <v>128.28113553113559</v>
      </c>
      <c r="O45" s="13">
        <f>N45*VLOOKUP('Données projet'!$B$9,Paramètres!$A$1:$I$89,3,0)*VLOOKUP('Données projet'!$B$9,Paramètres!$A$1:$I$89,5,0)</f>
        <v>116.06877142857148</v>
      </c>
      <c r="P45" s="13">
        <f t="shared" si="33"/>
        <v>30.75633490516044</v>
      </c>
      <c r="Q45" s="20">
        <f t="shared" si="53"/>
        <v>255.72039353124975</v>
      </c>
      <c r="R45" s="59">
        <f t="shared" si="0"/>
        <v>549.05372686458304</v>
      </c>
      <c r="S45" s="59">
        <f ca="1">AVERAGE(OFFSET($R$3,0,0,'Données projet'!$E$9+1,1))-AVERAGE(OFFSET($H$3,0,0,'Données projet'!$E$9+1,1))</f>
        <v>384.05928630855732</v>
      </c>
      <c r="T45" s="59">
        <f t="shared" si="34"/>
        <v>279.93992813630513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468.72307692307686</v>
      </c>
      <c r="AG45" s="12">
        <f>VLOOKUP(A45,'Données projet'!$A$61:$I$81,9,0)</f>
        <v>22.419230769230751</v>
      </c>
      <c r="AH45" s="12">
        <f t="array" ref="AH45">INDEX(AG:AG,MIN(IF(ISNUMBER(AG45:AG241),ROW(AG45:AG241),"")))</f>
        <v>22.419230769230751</v>
      </c>
      <c r="AI45" s="13">
        <f>IF('Données projet'!$A$62&gt;35,AI44+AH45-AQ44,IF(A45&lt;'Données projet'!$A$62,$AF$205^A45,IF(A45='Données projet'!$A$62,'Données projet'!$B$62,AI44+AH45-AQ44)))</f>
        <v>468.72307692307686</v>
      </c>
      <c r="AJ45" s="13">
        <f>AI45*VLOOKUP('Données projet'!$B$10,Paramètres!$A$1:$I$89,3,0)*VLOOKUP('Données projet'!$B$10,Paramètres!$A$1:$I$89,5,0)</f>
        <v>262.01619999999997</v>
      </c>
      <c r="AK45" s="13">
        <f t="shared" si="35"/>
        <v>63.151956912854622</v>
      </c>
      <c r="AL45" s="20">
        <f t="shared" si="4"/>
        <v>566.33453995655509</v>
      </c>
      <c r="AM45" s="59">
        <f t="shared" si="5"/>
        <v>859.66787328988835</v>
      </c>
      <c r="AN45" s="59">
        <f ca="1">AVERAGE(OFFSET($AM$3,0,0,'Données projet'!$E$10+1,1))-AVERAGE(OFFSET($H$3,0,0,'Données projet'!$E$10+1,1))</f>
        <v>335.04906256888819</v>
      </c>
      <c r="AO45" s="59">
        <f t="shared" si="36"/>
        <v>440.84111898279554</v>
      </c>
      <c r="AP45" s="15">
        <f>IF(ISNA(VLOOKUP(A45,'Données projet'!$A$61:$I$81,3,0)),0,VLOOKUP(A45,'Données projet'!$A$61:$I$81,3,0))</f>
        <v>5</v>
      </c>
      <c r="AQ45" s="15">
        <f>IF(ISNA(VLOOKUP(A45,'Données projet'!$A$61:$I$81,4,0)),0,VLOOKUP(A45,'Données projet'!$A$61:$I$81,4,0))</f>
        <v>73.392307692307682</v>
      </c>
      <c r="AR45" s="16">
        <f>IF(ISNA(VLOOKUP(A45,'Données projet'!$A$61:$I$81,5,0)),0%,VLOOKUP(A45,'Données projet'!$A$61:$I$81,5,0)*VLOOKUP('Données projet'!$B$10,Paramètres!$A$1:$I$89,7,0))</f>
        <v>0.38500000000000001</v>
      </c>
      <c r="AS45" s="16">
        <f>IF(ISNA(VLOOKUP(A45,'Données projet'!$A$61:$I$81,6,0)),0%,VLOOKUP(A45,'Données projet'!$A$61:$I$81,6,0)*VLOOKUP('Données projet'!$B$10,Paramètres!$A$1:$I$89,7,0))</f>
        <v>9.240000000000001E-2</v>
      </c>
      <c r="AT45" s="16">
        <f>IF(ISNA(VLOOKUP(A45,'Données projet'!$A$61:$I$81,7,0)),0%,VLOOKUP(A45,'Données projet'!$A$61:$I$81,7,0))</f>
        <v>0.13200000000000001</v>
      </c>
      <c r="AU45" s="21">
        <f>EXP(-LN(2)/35)*AU44+(1-EXP(-LN(2)/35))/(LN(2)/35)*AQ45*AR45*VLOOKUP('Données projet'!$B$10,Paramètres!$A$1:$I$89,3,0)*0.475*44/12</f>
        <v>61.831684880697594</v>
      </c>
      <c r="AV45" s="21">
        <f>EXP(-LN(2)/25)*AV44+(1-EXP(-LN(2)/25))/(LN(2)/25)*Calculateur!AQ45*Calculateur!AS45*VLOOKUP('Données projet'!$B$10,Paramètres!$A$1:$I$89,3,0)*0.475*44/12</f>
        <v>22.097488925021114</v>
      </c>
      <c r="AW45" s="21">
        <f>EXP(-LN(2)/2)*AW44+(1-EXP(-LN(2)/2))/(LN(2)/2)*AQ45*AT45*VLOOKUP('Données projet'!$B$10,Paramètres!$A$1:$I$89,3,0)*0.475*44/12</f>
        <v>6.9526777981796624</v>
      </c>
      <c r="AX45" s="21">
        <f t="shared" si="6"/>
        <v>90.881851603898369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362.59999999999997</v>
      </c>
      <c r="BB45" s="12">
        <f>VLOOKUP(A45,'Données projet'!$A$87:$I$107,9,0)</f>
        <v>18.229670329670324</v>
      </c>
      <c r="BC45" s="12">
        <f t="array" ref="BC45">INDEX(BB:BB,MIN(IF(ISNUMBER(BB45:BB241),ROW(BB45:BB241),"")))</f>
        <v>18.229670329670324</v>
      </c>
      <c r="BD45" s="12">
        <f>IF('Données projet'!$A$88&gt;35,BD44+BC45-BL44,IF(A45&lt;'Données projet'!$A$88,$BA$205^A45,IF(A45='Données projet'!$A$88,'Données projet'!$B$88,BD44+BC45-BL44)))</f>
        <v>362.6</v>
      </c>
      <c r="BE45" s="13">
        <f>BD45*VLOOKUP('Données projet'!$B$11,Paramètres!$A$1:$I$89,3,0)*VLOOKUP('Données projet'!$B$11,Paramètres!$A$1:$I$89,5,0)</f>
        <v>160.26920000000004</v>
      </c>
      <c r="BF45" s="13">
        <f t="shared" si="37"/>
        <v>40.903228276165081</v>
      </c>
      <c r="BG45" s="20">
        <f t="shared" si="7"/>
        <v>350.37531258098761</v>
      </c>
      <c r="BH45" s="59">
        <f t="shared" si="8"/>
        <v>643.70864591432087</v>
      </c>
      <c r="BI45" s="59">
        <f ca="1">AVERAGE(OFFSET($BH$3,0,0,'Données projet'!$E$11+1,1))-AVERAGE(OFFSET($H$3,0,0,'Données projet'!$E$11+1,1))</f>
        <v>261.20475283925128</v>
      </c>
      <c r="BJ45" s="59">
        <f t="shared" si="38"/>
        <v>247.06045079522403</v>
      </c>
      <c r="BK45" s="15">
        <f>IF(ISNA(VLOOKUP(A45,'Données projet'!$A$87:$I$107,3,0)),0,VLOOKUP(A45,'Données projet'!$A$87:$I$107,3,0))</f>
        <v>4</v>
      </c>
      <c r="BL45" s="15">
        <f>IF(ISNA(VLOOKUP(A45,'Données projet'!$A$87:$I$107,4,0)),0,VLOOKUP(A45,'Données projet'!$A$87:$I$107,4,0))</f>
        <v>80.669230769230765</v>
      </c>
      <c r="BM45" s="16">
        <f>IF(ISNA(VLOOKUP(A45,'Données projet'!$A$87:$I$107,5,0)),0%,VLOOKUP(A45,'Données projet'!$A$87:$I$107,5,0)*VLOOKUP('Données projet'!$B$11,Paramètres!$A$1:$I$89,7,0))</f>
        <v>0.38500000000000001</v>
      </c>
      <c r="BN45" s="16">
        <f>IF(ISNA(VLOOKUP(A45,'Données projet'!$A$87:$I$107,6,0)),0%,VLOOKUP(A45,'Données projet'!$A$87:$I$107,6,0)*VLOOKUP('Données projet'!$B$11,Paramètres!$A$1:$I$89,7,0))</f>
        <v>9.240000000000001E-2</v>
      </c>
      <c r="BO45" s="16">
        <f>IF(ISNA(VLOOKUP(A45,'Données projet'!$A$87:$I$107,7,0)),0%,VLOOKUP(A45,'Données projet'!$A$87:$I$107,7,0))</f>
        <v>0.13200000000000001</v>
      </c>
      <c r="BP45" s="21">
        <f>EXP(-LN(2)/35)*BP44+(1-EXP(-LN(2)/35))/(LN(2)/35)*BL45*BM45*VLOOKUP('Données projet'!$B$11,Paramètres!$A$1:$I$89,3,0)*0.475*44/12</f>
        <v>32.065006370705333</v>
      </c>
      <c r="BQ45" s="21">
        <f>EXP(-LN(2)/25)*BQ44+(1-EXP(-LN(2)/25))/(LN(2)/25)*Calculateur!BL45*Calculateur!BN45*VLOOKUP('Données projet'!$B$11,Paramètres!$A$1:$I$89,3,0)*0.475*44/12</f>
        <v>20.578036348397045</v>
      </c>
      <c r="BR45" s="21">
        <f>EXP(-LN(2)/2)*BR44+(1-EXP(-LN(2)/2))/(LN(2)/2)*BL45*BO45*VLOOKUP('Données projet'!$B$11,Paramètres!$A$1:$I$89,3,0)*0.475*44/12</f>
        <v>5.847775658125256</v>
      </c>
      <c r="BS45" s="22">
        <f t="shared" si="9"/>
        <v>58.49081837722764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9.25</v>
      </c>
      <c r="BY45" s="12">
        <f>IF('Données projet'!$A$114&gt;35,BY44+BX45-CG44,IF(A45&lt;'Données projet'!$A$114,$BV$205^A45,IF(A45='Données projet'!$A$114,'Données projet'!$B$114,BY44+BX45-CG44)))</f>
        <v>203.19999999999987</v>
      </c>
      <c r="BZ45" s="13">
        <f>BY45*VLOOKUP('Données projet'!$B$12,Paramètres!$A$1:$I$89,3,0)*VLOOKUP('Données projet'!$B$12,Paramètres!$A$1:$I$89,5,0)</f>
        <v>116.23039999999993</v>
      </c>
      <c r="CA45" s="13">
        <f t="shared" si="39"/>
        <v>30.794175491293089</v>
      </c>
      <c r="CB45" s="20">
        <f t="shared" si="10"/>
        <v>256.06780231400205</v>
      </c>
      <c r="CC45" s="59">
        <f t="shared" si="11"/>
        <v>549.40113564733542</v>
      </c>
      <c r="CD45" s="59">
        <f ca="1">AVERAGE(OFFSET($CC$3,0,0,'Données projet'!$E$12+1,1))-AVERAGE(OFFSET($H$3,0,0,'Données projet'!$E$12+1,1))</f>
        <v>268.71706840132384</v>
      </c>
      <c r="CE45" s="59">
        <f t="shared" si="40"/>
        <v>199.92519498289477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8.5320982919840258</v>
      </c>
      <c r="CL45" s="21">
        <f>EXP(-LN(2)/25)*CL44+(1-EXP(-LN(2)/25))/(LN(2)/25)*Calculateur!CG45*Calculateur!CI45*VLOOKUP('Données projet'!$B$12,Paramètres!$A$1:$I$89,3,0)*0.475*44/12</f>
        <v>12.47104618553449</v>
      </c>
      <c r="CM45" s="21">
        <f>EXP(-LN(2)/2)*CM44+(1-EXP(-LN(2)/2))/(LN(2)/2)*CG45*CJ45*VLOOKUP('Données projet'!$B$12,Paramètres!$A$1:$I$89,3,0)*0.475*44/12</f>
        <v>0.53916111892481933</v>
      </c>
      <c r="CN45" s="22">
        <f t="shared" si="12"/>
        <v>21.542305596443338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9.3452380952380913</v>
      </c>
      <c r="N46" s="13">
        <f>IF('Données projet'!$A$36&gt;35,N45+M46-V45,IF(A46&lt;'Données projet'!$A$36,$K$205^A46,IF(A46='Données projet'!$A$36,'Données projet'!$B$36,N45+M46-V45)))</f>
        <v>137.62637362637369</v>
      </c>
      <c r="O46" s="13">
        <f>N46*VLOOKUP('Données projet'!$B$9,Paramètres!$A$1:$I$89,3,0)*VLOOKUP('Données projet'!$B$9,Paramètres!$A$1:$I$89,5,0)</f>
        <v>124.52434285714291</v>
      </c>
      <c r="P46" s="13">
        <f t="shared" si="33"/>
        <v>32.727944326790649</v>
      </c>
      <c r="Q46" s="20">
        <f t="shared" si="53"/>
        <v>273.88106684535092</v>
      </c>
      <c r="R46" s="59">
        <f t="shared" si="0"/>
        <v>567.21440017868417</v>
      </c>
      <c r="S46" s="59">
        <f ca="1">AVERAGE(OFFSET($R$3,0,0,'Données projet'!$E$9+1,1))-AVERAGE(OFFSET($H$3,0,0,'Données projet'!$E$9+1,1))</f>
        <v>384.05928630855732</v>
      </c>
      <c r="T46" s="59">
        <f t="shared" si="34"/>
        <v>279.93992813630513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21.625641025641034</v>
      </c>
      <c r="AI46" s="13">
        <f>IF('Données projet'!$A$62&gt;35,AI45+AH46-AQ45,IF(A46&lt;'Données projet'!$A$62,$AF$205^A46,IF(A46='Données projet'!$A$62,'Données projet'!$B$62,AI45+AH46-AQ45)))</f>
        <v>416.95641025641021</v>
      </c>
      <c r="AJ46" s="13">
        <f>AI46*VLOOKUP('Données projet'!$B$10,Paramètres!$A$1:$I$89,3,0)*VLOOKUP('Données projet'!$B$10,Paramètres!$A$1:$I$89,5,0)</f>
        <v>233.0786333333333</v>
      </c>
      <c r="AK46" s="13">
        <f t="shared" si="35"/>
        <v>56.947838023653489</v>
      </c>
      <c r="AL46" s="20">
        <f t="shared" si="4"/>
        <v>505.1294376134187</v>
      </c>
      <c r="AM46" s="59">
        <f t="shared" si="5"/>
        <v>798.46277094675202</v>
      </c>
      <c r="AN46" s="59">
        <f ca="1">AVERAGE(OFFSET($AM$3,0,0,'Données projet'!$E$10+1,1))-AVERAGE(OFFSET($H$3,0,0,'Données projet'!$E$10+1,1))</f>
        <v>335.04906256888819</v>
      </c>
      <c r="AO46" s="59">
        <f t="shared" si="36"/>
        <v>440.84111898279554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60.619203253790985</v>
      </c>
      <c r="AV46" s="21">
        <f>EXP(-LN(2)/25)*AV45+(1-EXP(-LN(2)/25))/(LN(2)/25)*Calculateur!AQ46*Calculateur!AS46*VLOOKUP('Données projet'!$B$10,Paramètres!$A$1:$I$89,3,0)*0.475*44/12</f>
        <v>21.493231928309974</v>
      </c>
      <c r="AW46" s="21">
        <f>EXP(-LN(2)/2)*AW45+(1-EXP(-LN(2)/2))/(LN(2)/2)*AQ46*AT46*VLOOKUP('Données projet'!$B$10,Paramètres!$A$1:$I$89,3,0)*0.475*44/12</f>
        <v>4.9162856184979935</v>
      </c>
      <c r="AX46" s="21">
        <f t="shared" si="6"/>
        <v>87.028720800598961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17.519780219780223</v>
      </c>
      <c r="BD46" s="12">
        <f>IF('Données projet'!$A$88&gt;35,BD45+BC46-BL45,IF(A46&lt;'Données projet'!$A$88,$BA$205^A46,IF(A46='Données projet'!$A$88,'Données projet'!$B$88,BD45+BC46-BL45)))</f>
        <v>299.45054945054949</v>
      </c>
      <c r="BE46" s="13">
        <f>BD46*VLOOKUP('Données projet'!$B$11,Paramètres!$A$1:$I$89,3,0)*VLOOKUP('Données projet'!$B$11,Paramètres!$A$1:$I$89,5,0)</f>
        <v>132.35714285714289</v>
      </c>
      <c r="BF46" s="13">
        <f t="shared" si="37"/>
        <v>34.540454907892176</v>
      </c>
      <c r="BG46" s="20">
        <f t="shared" si="7"/>
        <v>290.67998277410271</v>
      </c>
      <c r="BH46" s="59">
        <f t="shared" si="8"/>
        <v>584.01331610743603</v>
      </c>
      <c r="BI46" s="59">
        <f ca="1">AVERAGE(OFFSET($BH$3,0,0,'Données projet'!$E$11+1,1))-AVERAGE(OFFSET($H$3,0,0,'Données projet'!$E$11+1,1))</f>
        <v>261.20475283925128</v>
      </c>
      <c r="BJ46" s="59">
        <f t="shared" si="38"/>
        <v>247.06045079522403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31.436231153498522</v>
      </c>
      <c r="BQ46" s="21">
        <f>EXP(-LN(2)/25)*BQ45+(1-EXP(-LN(2)/25))/(LN(2)/25)*Calculateur!BL46*Calculateur!BN46*VLOOKUP('Données projet'!$B$11,Paramètres!$A$1:$I$89,3,0)*0.475*44/12</f>
        <v>20.015328862298229</v>
      </c>
      <c r="BR46" s="21">
        <f>EXP(-LN(2)/2)*BR45+(1-EXP(-LN(2)/2))/(LN(2)/2)*BL46*BO46*VLOOKUP('Données projet'!$B$11,Paramètres!$A$1:$I$89,3,0)*0.475*44/12</f>
        <v>4.135001822717995</v>
      </c>
      <c r="BS46" s="22">
        <f t="shared" si="9"/>
        <v>55.586561838514747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9.25</v>
      </c>
      <c r="BY46" s="12">
        <f>IF('Données projet'!$A$114&gt;35,BY45+BX46-CG45,IF(A46&lt;'Données projet'!$A$114,$BV$205^A46,IF(A46='Données projet'!$A$114,'Données projet'!$B$114,BY45+BX46-CG45)))</f>
        <v>212.44999999999987</v>
      </c>
      <c r="BZ46" s="13">
        <f>BY46*VLOOKUP('Données projet'!$B$12,Paramètres!$A$1:$I$89,3,0)*VLOOKUP('Données projet'!$B$12,Paramètres!$A$1:$I$89,5,0)</f>
        <v>121.52139999999994</v>
      </c>
      <c r="CA46" s="13">
        <f t="shared" si="39"/>
        <v>32.02958025685983</v>
      </c>
      <c r="CB46" s="20">
        <f t="shared" si="10"/>
        <v>267.43462394736406</v>
      </c>
      <c r="CC46" s="59">
        <f t="shared" si="11"/>
        <v>560.76795728069737</v>
      </c>
      <c r="CD46" s="59">
        <f ca="1">AVERAGE(OFFSET($CC$3,0,0,'Données projet'!$E$12+1,1))-AVERAGE(OFFSET($H$3,0,0,'Données projet'!$E$12+1,1))</f>
        <v>268.71706840132384</v>
      </c>
      <c r="CE46" s="59">
        <f t="shared" si="40"/>
        <v>199.92519498289477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8.3647890485443188</v>
      </c>
      <c r="CL46" s="21">
        <f>EXP(-LN(2)/25)*CL45+(1-EXP(-LN(2)/25))/(LN(2)/25)*Calculateur!CG46*Calculateur!CI46*VLOOKUP('Données projet'!$B$12,Paramètres!$A$1:$I$89,3,0)*0.475*44/12</f>
        <v>12.130024771767234</v>
      </c>
      <c r="CM46" s="21">
        <f>EXP(-LN(2)/2)*CM45+(1-EXP(-LN(2)/2))/(LN(2)/2)*CG46*CJ46*VLOOKUP('Données projet'!$B$12,Paramètres!$A$1:$I$89,3,0)*0.475*44/12</f>
        <v>0.38124448334386635</v>
      </c>
      <c r="CN46" s="22">
        <f t="shared" si="12"/>
        <v>20.876058303655419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9.3452380952380913</v>
      </c>
      <c r="N47" s="13">
        <f>IF('Données projet'!$A$36&gt;35,N46+M47-V46,IF(A47&lt;'Données projet'!$A$36,$K$205^A47,IF(A47='Données projet'!$A$36,'Données projet'!$B$36,N46+M47-V46)))</f>
        <v>146.97161172161179</v>
      </c>
      <c r="O47" s="13">
        <f>N47*VLOOKUP('Données projet'!$B$9,Paramètres!$A$1:$I$89,3,0)*VLOOKUP('Données projet'!$B$9,Paramètres!$A$1:$I$89,5,0)</f>
        <v>132.97991428571436</v>
      </c>
      <c r="P47" s="13">
        <f t="shared" si="33"/>
        <v>34.684019161942608</v>
      </c>
      <c r="Q47" s="20">
        <f t="shared" si="53"/>
        <v>292.01468408800253</v>
      </c>
      <c r="R47" s="59">
        <f t="shared" si="0"/>
        <v>585.34801742133584</v>
      </c>
      <c r="S47" s="59">
        <f ca="1">AVERAGE(OFFSET($R$3,0,0,'Données projet'!$E$9+1,1))-AVERAGE(OFFSET($H$3,0,0,'Données projet'!$E$9+1,1))</f>
        <v>384.05928630855732</v>
      </c>
      <c r="T47" s="59">
        <f t="shared" si="34"/>
        <v>279.93992813630513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21.625641025641034</v>
      </c>
      <c r="AI47" s="13">
        <f>IF('Données projet'!$A$62&gt;35,AI46+AH47-AQ46,IF(A47&lt;'Données projet'!$A$62,$AF$205^A47,IF(A47='Données projet'!$A$62,'Données projet'!$B$62,AI46+AH47-AQ46)))</f>
        <v>438.58205128205122</v>
      </c>
      <c r="AJ47" s="13">
        <f>AI47*VLOOKUP('Données projet'!$B$10,Paramètres!$A$1:$I$89,3,0)*VLOOKUP('Données projet'!$B$10,Paramètres!$A$1:$I$89,5,0)</f>
        <v>245.16736666666665</v>
      </c>
      <c r="AK47" s="13">
        <f t="shared" si="35"/>
        <v>59.549932468183236</v>
      </c>
      <c r="AL47" s="20">
        <f t="shared" si="4"/>
        <v>530.71596265986352</v>
      </c>
      <c r="AM47" s="59">
        <f t="shared" si="5"/>
        <v>824.04929599319689</v>
      </c>
      <c r="AN47" s="59">
        <f ca="1">AVERAGE(OFFSET($AM$3,0,0,'Données projet'!$E$10+1,1))-AVERAGE(OFFSET($H$3,0,0,'Données projet'!$E$10+1,1))</f>
        <v>335.04906256888819</v>
      </c>
      <c r="AO47" s="59">
        <f t="shared" si="36"/>
        <v>440.84111898279554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59.430497652047244</v>
      </c>
      <c r="AV47" s="21">
        <f>EXP(-LN(2)/25)*AV46+(1-EXP(-LN(2)/25))/(LN(2)/25)*Calculateur!AQ47*Calculateur!AS47*VLOOKUP('Données projet'!$B$10,Paramètres!$A$1:$I$89,3,0)*0.475*44/12</f>
        <v>20.905498370950394</v>
      </c>
      <c r="AW47" s="21">
        <f>EXP(-LN(2)/2)*AW46+(1-EXP(-LN(2)/2))/(LN(2)/2)*AQ47*AT47*VLOOKUP('Données projet'!$B$10,Paramètres!$A$1:$I$89,3,0)*0.475*44/12</f>
        <v>3.4763388990898312</v>
      </c>
      <c r="AX47" s="21">
        <f t="shared" si="6"/>
        <v>83.812334922087459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17.519780219780223</v>
      </c>
      <c r="BD47" s="12">
        <f>IF('Données projet'!$A$88&gt;35,BD46+BC47-BL46,IF(A47&lt;'Données projet'!$A$88,$BA$205^A47,IF(A47='Données projet'!$A$88,'Données projet'!$B$88,BD46+BC47-BL46)))</f>
        <v>316.9703296703297</v>
      </c>
      <c r="BE47" s="13">
        <f>BD47*VLOOKUP('Données projet'!$B$11,Paramètres!$A$1:$I$89,3,0)*VLOOKUP('Données projet'!$B$11,Paramètres!$A$1:$I$89,5,0)</f>
        <v>140.10088571428574</v>
      </c>
      <c r="BF47" s="13">
        <f t="shared" si="37"/>
        <v>36.320116026439095</v>
      </c>
      <c r="BG47" s="20">
        <f t="shared" si="7"/>
        <v>307.26657803176238</v>
      </c>
      <c r="BH47" s="59">
        <f t="shared" si="8"/>
        <v>600.59991136509575</v>
      </c>
      <c r="BI47" s="59">
        <f ca="1">AVERAGE(OFFSET($BH$3,0,0,'Données projet'!$E$11+1,1))-AVERAGE(OFFSET($H$3,0,0,'Données projet'!$E$11+1,1))</f>
        <v>261.20475283925128</v>
      </c>
      <c r="BJ47" s="59">
        <f t="shared" si="38"/>
        <v>247.06045079522403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30.819785834786124</v>
      </c>
      <c r="BQ47" s="21">
        <f>EXP(-LN(2)/25)*BQ46+(1-EXP(-LN(2)/25))/(LN(2)/25)*Calculateur!BL47*Calculateur!BN47*VLOOKUP('Données projet'!$B$11,Paramètres!$A$1:$I$89,3,0)*0.475*44/12</f>
        <v>19.468008641998285</v>
      </c>
      <c r="BR47" s="21">
        <f>EXP(-LN(2)/2)*BR46+(1-EXP(-LN(2)/2))/(LN(2)/2)*BL47*BO47*VLOOKUP('Données projet'!$B$11,Paramètres!$A$1:$I$89,3,0)*0.475*44/12</f>
        <v>2.9238878290626285</v>
      </c>
      <c r="BS47" s="22">
        <f t="shared" si="9"/>
        <v>53.211682305847042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221.7</v>
      </c>
      <c r="BW47" s="12">
        <f>VLOOKUP(A47,'Données projet'!$A$113:$I$133,9,0)</f>
        <v>9.25</v>
      </c>
      <c r="BX47" s="12">
        <f t="array" ref="BX47">INDEX(BW:BW,MIN(IF(ISNUMBER(BW47:BW243),ROW(BW47:BW243),"")))</f>
        <v>9.25</v>
      </c>
      <c r="BY47" s="12">
        <f>IF('Données projet'!$A$114&gt;35,BY46+BX47-CG46,IF(A47&lt;'Données projet'!$A$114,$BV$205^A47,IF(A47='Données projet'!$A$114,'Données projet'!$B$114,BY46+BX47-CG46)))</f>
        <v>221.69999999999987</v>
      </c>
      <c r="BZ47" s="13">
        <f>BY47*VLOOKUP('Données projet'!$B$12,Paramètres!$A$1:$I$89,3,0)*VLOOKUP('Données projet'!$B$12,Paramètres!$A$1:$I$89,5,0)</f>
        <v>126.81239999999994</v>
      </c>
      <c r="CA47" s="13">
        <f t="shared" si="39"/>
        <v>33.258737725706673</v>
      </c>
      <c r="CB47" s="20">
        <f t="shared" si="10"/>
        <v>278.79056487227234</v>
      </c>
      <c r="CC47" s="59">
        <f t="shared" si="11"/>
        <v>572.12389820560566</v>
      </c>
      <c r="CD47" s="59">
        <f ca="1">AVERAGE(OFFSET($CC$3,0,0,'Données projet'!$E$12+1,1))-AVERAGE(OFFSET($H$3,0,0,'Données projet'!$E$12+1,1))</f>
        <v>268.71706840132384</v>
      </c>
      <c r="CE47" s="59">
        <f t="shared" si="40"/>
        <v>199.92519498289477</v>
      </c>
      <c r="CF47" s="15">
        <f>IF(ISNA(VLOOKUP(A47,'Données projet'!$A$113:$I$133,3,0)),0,VLOOKUP(A47,'Données projet'!$A$113:$I$133,3,0))</f>
        <v>4</v>
      </c>
      <c r="CG47" s="15">
        <f>IF(ISNA(VLOOKUP(A47,'Données projet'!$A$113:$I$133,4,0)),0,VLOOKUP(A47,'Données projet'!$A$113:$I$133,4,0))</f>
        <v>39.5</v>
      </c>
      <c r="CH47" s="16">
        <f>IF(ISNA(VLOOKUP(A47,'Données projet'!$A$113:$I$133,5,0)),0%,VLOOKUP(A47,'Données projet'!$A$113:$I$133,5,0)*VLOOKUP('Données projet'!$B$12,Paramètres!$A$1:$I$89,7,0))</f>
        <v>0.315</v>
      </c>
      <c r="CI47" s="16">
        <f>IF(ISNA(VLOOKUP(A47,'Données projet'!$A$113:$I$133,6,0)),0%,VLOOKUP(A47,'Données projet'!$A$113:$I$133,6,0)*VLOOKUP('Données projet'!$B$12,Paramètres!$A$1:$I$89,7,0))</f>
        <v>7.6500000000000012E-2</v>
      </c>
      <c r="CJ47" s="16">
        <f>IF(ISNA(VLOOKUP(A47,'Données projet'!$A$113:$I$133,7,0)),0%,VLOOKUP(A47,'Données projet'!$A$113:$I$133,7,0))</f>
        <v>0.13</v>
      </c>
      <c r="CK47" s="21">
        <f>EXP(-LN(2)/35)*CK46+(1-EXP(-LN(2)/35))/(LN(2)/35)*CG47*CH47*VLOOKUP('Données projet'!$B$12,Paramètres!$A$1:$I$89,3,0)*0.475*44/12</f>
        <v>17.642065788773209</v>
      </c>
      <c r="CL47" s="21">
        <f>EXP(-LN(2)/25)*CL46+(1-EXP(-LN(2)/25))/(LN(2)/25)*Calculateur!CG47*Calculateur!CI47*VLOOKUP('Données projet'!$B$12,Paramètres!$A$1:$I$89,3,0)*0.475*44/12</f>
        <v>14.082189025151502</v>
      </c>
      <c r="CM47" s="21">
        <f>EXP(-LN(2)/2)*CM46+(1-EXP(-LN(2)/2))/(LN(2)/2)*CG47*CJ47*VLOOKUP('Données projet'!$B$12,Paramètres!$A$1:$I$89,3,0)*0.475*44/12</f>
        <v>3.5951959084030953</v>
      </c>
      <c r="CN47" s="22">
        <f t="shared" si="12"/>
        <v>35.319450722327801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9.3452380952380913</v>
      </c>
      <c r="N48" s="13">
        <f>IF('Données projet'!$A$36&gt;35,N47+M48-V47,IF(A48&lt;'Données projet'!$A$36,$K$205^A48,IF(A48='Données projet'!$A$36,'Données projet'!$B$36,N47+M48-V47)))</f>
        <v>156.3168498168499</v>
      </c>
      <c r="O48" s="13">
        <f>N48*VLOOKUP('Données projet'!$B$9,Paramètres!$A$1:$I$89,3,0)*VLOOKUP('Données projet'!$B$9,Paramètres!$A$1:$I$89,5,0)</f>
        <v>141.43548571428576</v>
      </c>
      <c r="P48" s="13">
        <f t="shared" si="33"/>
        <v>36.625659617511197</v>
      </c>
      <c r="Q48" s="20">
        <f t="shared" si="53"/>
        <v>310.12316145287969</v>
      </c>
      <c r="R48" s="59">
        <f t="shared" si="0"/>
        <v>603.45649478621294</v>
      </c>
      <c r="S48" s="59">
        <f ca="1">AVERAGE(OFFSET($R$3,0,0,'Données projet'!$E$9+1,1))-AVERAGE(OFFSET($H$3,0,0,'Données projet'!$E$9+1,1))</f>
        <v>384.05928630855732</v>
      </c>
      <c r="T48" s="59">
        <f t="shared" si="34"/>
        <v>279.93992813630513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21.625641025641034</v>
      </c>
      <c r="AI48" s="13">
        <f>IF('Données projet'!$A$62&gt;35,AI47+AH48-AQ47,IF(A48&lt;'Données projet'!$A$62,$AF$205^A48,IF(A48='Données projet'!$A$62,'Données projet'!$B$62,AI47+AH48-AQ47)))</f>
        <v>460.20769230769224</v>
      </c>
      <c r="AJ48" s="13">
        <f>AI48*VLOOKUP('Données projet'!$B$10,Paramètres!$A$1:$I$89,3,0)*VLOOKUP('Données projet'!$B$10,Paramètres!$A$1:$I$89,5,0)</f>
        <v>257.25609999999995</v>
      </c>
      <c r="AK48" s="13">
        <f t="shared" si="35"/>
        <v>62.137128695600659</v>
      </c>
      <c r="AL48" s="20">
        <f t="shared" si="4"/>
        <v>556.27653997817106</v>
      </c>
      <c r="AM48" s="59">
        <f t="shared" si="5"/>
        <v>849.60987331150432</v>
      </c>
      <c r="AN48" s="59">
        <f ca="1">AVERAGE(OFFSET($AM$3,0,0,'Données projet'!$E$10+1,1))-AVERAGE(OFFSET($H$3,0,0,'Données projet'!$E$10+1,1))</f>
        <v>335.04906256888819</v>
      </c>
      <c r="AO48" s="59">
        <f t="shared" si="36"/>
        <v>440.84111898279554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58.265101842114873</v>
      </c>
      <c r="AV48" s="21">
        <f>EXP(-LN(2)/25)*AV47+(1-EXP(-LN(2)/25))/(LN(2)/25)*Calculateur!AQ48*Calculateur!AS48*VLOOKUP('Données projet'!$B$10,Paramètres!$A$1:$I$89,3,0)*0.475*44/12</f>
        <v>20.333836418624376</v>
      </c>
      <c r="AW48" s="21">
        <f>EXP(-LN(2)/2)*AW47+(1-EXP(-LN(2)/2))/(LN(2)/2)*AQ48*AT48*VLOOKUP('Données projet'!$B$10,Paramètres!$A$1:$I$89,3,0)*0.475*44/12</f>
        <v>2.4581428092489968</v>
      </c>
      <c r="AX48" s="21">
        <f t="shared" si="6"/>
        <v>81.057081069988243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17.519780219780223</v>
      </c>
      <c r="BD48" s="12">
        <f>IF('Données projet'!$A$88&gt;35,BD47+BC48-BL47,IF(A48&lt;'Données projet'!$A$88,$BA$205^A48,IF(A48='Données projet'!$A$88,'Données projet'!$B$88,BD47+BC48-BL47)))</f>
        <v>334.49010989010992</v>
      </c>
      <c r="BE48" s="13">
        <f>BD48*VLOOKUP('Données projet'!$B$11,Paramètres!$A$1:$I$89,3,0)*VLOOKUP('Données projet'!$B$11,Paramètres!$A$1:$I$89,5,0)</f>
        <v>147.84462857142859</v>
      </c>
      <c r="BF48" s="13">
        <f t="shared" si="37"/>
        <v>38.088357897038236</v>
      </c>
      <c r="BG48" s="20">
        <f t="shared" si="7"/>
        <v>323.83328476591305</v>
      </c>
      <c r="BH48" s="59">
        <f t="shared" si="8"/>
        <v>617.16661809924631</v>
      </c>
      <c r="BI48" s="59">
        <f ca="1">AVERAGE(OFFSET($BH$3,0,0,'Données projet'!$E$11+1,1))-AVERAGE(OFFSET($H$3,0,0,'Données projet'!$E$11+1,1))</f>
        <v>261.20475283925128</v>
      </c>
      <c r="BJ48" s="59">
        <f t="shared" si="38"/>
        <v>247.06045079522403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30.215428632779158</v>
      </c>
      <c r="BQ48" s="21">
        <f>EXP(-LN(2)/25)*BQ47+(1-EXP(-LN(2)/25))/(LN(2)/25)*Calculateur!BL48*Calculateur!BN48*VLOOKUP('Données projet'!$B$11,Paramètres!$A$1:$I$89,3,0)*0.475*44/12</f>
        <v>18.935654921904764</v>
      </c>
      <c r="BR48" s="21">
        <f>EXP(-LN(2)/2)*BR47+(1-EXP(-LN(2)/2))/(LN(2)/2)*BL48*BO48*VLOOKUP('Données projet'!$B$11,Paramètres!$A$1:$I$89,3,0)*0.475*44/12</f>
        <v>2.0675009113589975</v>
      </c>
      <c r="BS48" s="22">
        <f t="shared" si="9"/>
        <v>51.21858446604292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8.3500000000000014</v>
      </c>
      <c r="BY48" s="12">
        <f>IF('Données projet'!$A$114&gt;35,BY47+BX48-CG47,IF(A48&lt;'Données projet'!$A$114,$BV$205^A48,IF(A48='Données projet'!$A$114,'Données projet'!$B$114,BY47+BX48-CG47)))</f>
        <v>190.54999999999987</v>
      </c>
      <c r="BZ48" s="13">
        <f>BY48*VLOOKUP('Données projet'!$B$12,Paramètres!$A$1:$I$89,3,0)*VLOOKUP('Données projet'!$B$12,Paramètres!$A$1:$I$89,5,0)</f>
        <v>108.99459999999993</v>
      </c>
      <c r="CA48" s="13">
        <f t="shared" si="39"/>
        <v>29.093978052167888</v>
      </c>
      <c r="CB48" s="20">
        <f t="shared" si="10"/>
        <v>240.50427344085895</v>
      </c>
      <c r="CC48" s="59">
        <f t="shared" si="11"/>
        <v>533.8376067741923</v>
      </c>
      <c r="CD48" s="59">
        <f ca="1">AVERAGE(OFFSET($CC$3,0,0,'Données projet'!$E$12+1,1))-AVERAGE(OFFSET($H$3,0,0,'Données projet'!$E$12+1,1))</f>
        <v>268.71706840132384</v>
      </c>
      <c r="CE48" s="59">
        <f t="shared" si="40"/>
        <v>199.92519498289477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17.296115639252978</v>
      </c>
      <c r="CL48" s="21">
        <f>EXP(-LN(2)/25)*CL47+(1-EXP(-LN(2)/25))/(LN(2)/25)*Calculateur!CG48*Calculateur!CI48*VLOOKUP('Données projet'!$B$12,Paramètres!$A$1:$I$89,3,0)*0.475*44/12</f>
        <v>13.697110825708599</v>
      </c>
      <c r="CM48" s="21">
        <f>EXP(-LN(2)/2)*CM47+(1-EXP(-LN(2)/2))/(LN(2)/2)*CG48*CJ48*VLOOKUP('Données projet'!$B$12,Paramètres!$A$1:$I$89,3,0)*0.475*44/12</f>
        <v>2.5421874065259589</v>
      </c>
      <c r="CN48" s="22">
        <f t="shared" si="12"/>
        <v>33.535413871487535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9.3452380952380913</v>
      </c>
      <c r="N49" s="13">
        <f>IF('Données projet'!$A$36&gt;35,N48+M49-V48,IF(A49&lt;'Données projet'!$A$36,$K$205^A49,IF(A49='Données projet'!$A$36,'Données projet'!$B$36,N48+M49-V48)))</f>
        <v>165.662087912088</v>
      </c>
      <c r="O49" s="13">
        <f>N49*VLOOKUP('Données projet'!$B$9,Paramètres!$A$1:$I$89,3,0)*VLOOKUP('Données projet'!$B$9,Paramètres!$A$1:$I$89,5,0)</f>
        <v>149.89105714285722</v>
      </c>
      <c r="P49" s="13">
        <f t="shared" si="33"/>
        <v>38.553826918856579</v>
      </c>
      <c r="Q49" s="20">
        <f t="shared" si="53"/>
        <v>328.20817307415149</v>
      </c>
      <c r="R49" s="59">
        <f t="shared" si="0"/>
        <v>621.5415064074848</v>
      </c>
      <c r="S49" s="59">
        <f ca="1">AVERAGE(OFFSET($R$3,0,0,'Données projet'!$E$9+1,1))-AVERAGE(OFFSET($H$3,0,0,'Données projet'!$E$9+1,1))</f>
        <v>384.05928630855732</v>
      </c>
      <c r="T49" s="59">
        <f t="shared" si="34"/>
        <v>279.93992813630513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21.625641025641034</v>
      </c>
      <c r="AI49" s="13">
        <f>IF('Données projet'!$A$62&gt;35,AI48+AH49-AQ48,IF(A49&lt;'Données projet'!$A$62,$AF$205^A49,IF(A49='Données projet'!$A$62,'Données projet'!$B$62,AI48+AH49-AQ48)))</f>
        <v>481.83333333333326</v>
      </c>
      <c r="AJ49" s="13">
        <f>AI49*VLOOKUP('Données projet'!$B$10,Paramètres!$A$1:$I$89,3,0)*VLOOKUP('Données projet'!$B$10,Paramètres!$A$1:$I$89,5,0)</f>
        <v>269.34483333333333</v>
      </c>
      <c r="AK49" s="13">
        <f t="shared" si="35"/>
        <v>64.710206731812576</v>
      </c>
      <c r="AL49" s="20">
        <f t="shared" si="4"/>
        <v>581.81252811346246</v>
      </c>
      <c r="AM49" s="59">
        <f t="shared" si="5"/>
        <v>875.14586144679583</v>
      </c>
      <c r="AN49" s="59">
        <f ca="1">AVERAGE(OFFSET($AM$3,0,0,'Données projet'!$E$10+1,1))-AVERAGE(OFFSET($H$3,0,0,'Données projet'!$E$10+1,1))</f>
        <v>335.04906256888819</v>
      </c>
      <c r="AO49" s="59">
        <f t="shared" si="36"/>
        <v>440.84111898279554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57.122558733194019</v>
      </c>
      <c r="AV49" s="21">
        <f>EXP(-LN(2)/25)*AV48+(1-EXP(-LN(2)/25))/(LN(2)/25)*Calculateur!AQ49*Calculateur!AS49*VLOOKUP('Données projet'!$B$10,Paramètres!$A$1:$I$89,3,0)*0.475*44/12</f>
        <v>19.77780659244711</v>
      </c>
      <c r="AW49" s="21">
        <f>EXP(-LN(2)/2)*AW48+(1-EXP(-LN(2)/2))/(LN(2)/2)*AQ49*AT49*VLOOKUP('Données projet'!$B$10,Paramètres!$A$1:$I$89,3,0)*0.475*44/12</f>
        <v>1.7381694495449156</v>
      </c>
      <c r="AX49" s="21">
        <f t="shared" si="6"/>
        <v>78.638534775186045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17.519780219780223</v>
      </c>
      <c r="BD49" s="12">
        <f>IF('Données projet'!$A$88&gt;35,BD48+BC49-BL48,IF(A49&lt;'Données projet'!$A$88,$BA$205^A49,IF(A49='Données projet'!$A$88,'Données projet'!$B$88,BD48+BC49-BL48)))</f>
        <v>352.00989010989014</v>
      </c>
      <c r="BE49" s="13">
        <f>BD49*VLOOKUP('Données projet'!$B$11,Paramètres!$A$1:$I$89,3,0)*VLOOKUP('Données projet'!$B$11,Paramètres!$A$1:$I$89,5,0)</f>
        <v>155.58837142857143</v>
      </c>
      <c r="BF49" s="13">
        <f t="shared" si="37"/>
        <v>39.845846845893483</v>
      </c>
      <c r="BG49" s="20">
        <f t="shared" si="7"/>
        <v>340.38126349469303</v>
      </c>
      <c r="BH49" s="59">
        <f t="shared" si="8"/>
        <v>633.71459682802629</v>
      </c>
      <c r="BI49" s="59">
        <f ca="1">AVERAGE(OFFSET($BH$3,0,0,'Données projet'!$E$11+1,1))-AVERAGE(OFFSET($H$3,0,0,'Données projet'!$E$11+1,1))</f>
        <v>261.20475283925128</v>
      </c>
      <c r="BJ49" s="59">
        <f t="shared" si="38"/>
        <v>247.06045079522403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29.622922506882055</v>
      </c>
      <c r="BQ49" s="21">
        <f>EXP(-LN(2)/25)*BQ48+(1-EXP(-LN(2)/25))/(LN(2)/25)*Calculateur!BL49*Calculateur!BN49*VLOOKUP('Données projet'!$B$11,Paramètres!$A$1:$I$89,3,0)*0.475*44/12</f>
        <v>18.417858442282462</v>
      </c>
      <c r="BR49" s="21">
        <f>EXP(-LN(2)/2)*BR48+(1-EXP(-LN(2)/2))/(LN(2)/2)*BL49*BO49*VLOOKUP('Données projet'!$B$11,Paramètres!$A$1:$I$89,3,0)*0.475*44/12</f>
        <v>1.4619439145313142</v>
      </c>
      <c r="BS49" s="22">
        <f t="shared" si="9"/>
        <v>49.502724863695825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8.3500000000000014</v>
      </c>
      <c r="BY49" s="12">
        <f>IF('Données projet'!$A$114&gt;35,BY48+BX49-CG48,IF(A49&lt;'Données projet'!$A$114,$BV$205^A49,IF(A49='Données projet'!$A$114,'Données projet'!$B$114,BY48+BX49-CG48)))</f>
        <v>198.89999999999986</v>
      </c>
      <c r="BZ49" s="13">
        <f>BY49*VLOOKUP('Données projet'!$B$12,Paramètres!$A$1:$I$89,3,0)*VLOOKUP('Données projet'!$B$12,Paramètres!$A$1:$I$89,5,0)</f>
        <v>113.77079999999992</v>
      </c>
      <c r="CA49" s="13">
        <f t="shared" si="39"/>
        <v>30.217664170580228</v>
      </c>
      <c r="CB49" s="20">
        <f t="shared" si="10"/>
        <v>250.77990843042707</v>
      </c>
      <c r="CC49" s="59">
        <f t="shared" si="11"/>
        <v>544.11324176376036</v>
      </c>
      <c r="CD49" s="59">
        <f ca="1">AVERAGE(OFFSET($CC$3,0,0,'Données projet'!$E$12+1,1))-AVERAGE(OFFSET($H$3,0,0,'Données projet'!$E$12+1,1))</f>
        <v>268.71706840132384</v>
      </c>
      <c r="CE49" s="59">
        <f t="shared" si="40"/>
        <v>199.92519498289477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16.956949361156081</v>
      </c>
      <c r="CL49" s="21">
        <f>EXP(-LN(2)/25)*CL48+(1-EXP(-LN(2)/25))/(LN(2)/25)*Calculateur!CG49*Calculateur!CI49*VLOOKUP('Données projet'!$B$12,Paramètres!$A$1:$I$89,3,0)*0.475*44/12</f>
        <v>13.322562609879844</v>
      </c>
      <c r="CM49" s="21">
        <f>EXP(-LN(2)/2)*CM48+(1-EXP(-LN(2)/2))/(LN(2)/2)*CG49*CJ49*VLOOKUP('Données projet'!$B$12,Paramètres!$A$1:$I$89,3,0)*0.475*44/12</f>
        <v>1.7975979542015481</v>
      </c>
      <c r="CN49" s="22">
        <f t="shared" si="12"/>
        <v>32.077109925237473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9.3452380952380913</v>
      </c>
      <c r="N50" s="13">
        <f>IF('Données projet'!$A$36&gt;35,N49+M50-V49,IF(A50&lt;'Données projet'!$A$36,$K$205^A50,IF(A50='Données projet'!$A$36,'Données projet'!$B$36,N49+M50-V49)))</f>
        <v>175.0073260073261</v>
      </c>
      <c r="O50" s="13">
        <f>N50*VLOOKUP('Données projet'!$B$9,Paramètres!$A$1:$I$89,3,0)*VLOOKUP('Données projet'!$B$9,Paramètres!$A$1:$I$89,5,0)</f>
        <v>158.34662857142865</v>
      </c>
      <c r="P50" s="13">
        <f t="shared" si="33"/>
        <v>40.469367717876509</v>
      </c>
      <c r="Q50" s="20">
        <f t="shared" si="53"/>
        <v>346.2711935372065</v>
      </c>
      <c r="R50" s="59">
        <f t="shared" si="0"/>
        <v>639.60452687053976</v>
      </c>
      <c r="S50" s="59">
        <f ca="1">AVERAGE(OFFSET($R$3,0,0,'Données projet'!$E$9+1,1))-AVERAGE(OFFSET($H$3,0,0,'Données projet'!$E$9+1,1))</f>
        <v>384.05928630855732</v>
      </c>
      <c r="T50" s="59">
        <f t="shared" si="34"/>
        <v>279.93992813630513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21.625641025641034</v>
      </c>
      <c r="AI50" s="13">
        <f>IF('Données projet'!$A$62&gt;35,AI49+AH50-AQ49,IF(A50&lt;'Données projet'!$A$62,$AF$205^A50,IF(A50='Données projet'!$A$62,'Données projet'!$B$62,AI49+AH50-AQ49)))</f>
        <v>503.45897435897427</v>
      </c>
      <c r="AJ50" s="13">
        <f>AI50*VLOOKUP('Données projet'!$B$10,Paramètres!$A$1:$I$89,3,0)*VLOOKUP('Données projet'!$B$10,Paramètres!$A$1:$I$89,5,0)</f>
        <v>281.43356666666659</v>
      </c>
      <c r="AK50" s="13">
        <f t="shared" si="35"/>
        <v>67.26987262617007</v>
      </c>
      <c r="AL50" s="20">
        <f t="shared" si="4"/>
        <v>607.32515676835726</v>
      </c>
      <c r="AM50" s="59">
        <f t="shared" si="5"/>
        <v>900.65849010169063</v>
      </c>
      <c r="AN50" s="59">
        <f ca="1">AVERAGE(OFFSET($AM$3,0,0,'Données projet'!$E$10+1,1))-AVERAGE(OFFSET($H$3,0,0,'Données projet'!$E$10+1,1))</f>
        <v>335.04906256888819</v>
      </c>
      <c r="AO50" s="59">
        <f t="shared" si="36"/>
        <v>440.84111898279554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56.002420197756614</v>
      </c>
      <c r="AV50" s="21">
        <f>EXP(-LN(2)/25)*AV49+(1-EXP(-LN(2)/25))/(LN(2)/25)*Calculateur!AQ50*Calculateur!AS50*VLOOKUP('Données projet'!$B$10,Paramètres!$A$1:$I$89,3,0)*0.475*44/12</f>
        <v>19.236981431106997</v>
      </c>
      <c r="AW50" s="21">
        <f>EXP(-LN(2)/2)*AW49+(1-EXP(-LN(2)/2))/(LN(2)/2)*AQ50*AT50*VLOOKUP('Données projet'!$B$10,Paramètres!$A$1:$I$89,3,0)*0.475*44/12</f>
        <v>1.2290714046244984</v>
      </c>
      <c r="AX50" s="21">
        <f t="shared" si="6"/>
        <v>76.46847303348811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17.519780219780223</v>
      </c>
      <c r="BD50" s="12">
        <f>IF('Données projet'!$A$88&gt;35,BD49+BC50-BL49,IF(A50&lt;'Données projet'!$A$88,$BA$205^A50,IF(A50='Données projet'!$A$88,'Données projet'!$B$88,BD49+BC50-BL49)))</f>
        <v>369.52967032967035</v>
      </c>
      <c r="BE50" s="13">
        <f>BD50*VLOOKUP('Données projet'!$B$11,Paramètres!$A$1:$I$89,3,0)*VLOOKUP('Données projet'!$B$11,Paramètres!$A$1:$I$89,5,0)</f>
        <v>163.33211428571431</v>
      </c>
      <c r="BF50" s="13">
        <f t="shared" si="37"/>
        <v>41.593179125294846</v>
      </c>
      <c r="BG50" s="20">
        <f t="shared" si="7"/>
        <v>356.91155269084101</v>
      </c>
      <c r="BH50" s="59">
        <f t="shared" si="8"/>
        <v>650.24488602417432</v>
      </c>
      <c r="BI50" s="59">
        <f ca="1">AVERAGE(OFFSET($BH$3,0,0,'Données projet'!$E$11+1,1))-AVERAGE(OFFSET($H$3,0,0,'Données projet'!$E$11+1,1))</f>
        <v>261.20475283925128</v>
      </c>
      <c r="BJ50" s="59">
        <f t="shared" si="38"/>
        <v>247.06045079522403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29.042035064720743</v>
      </c>
      <c r="BQ50" s="21">
        <f>EXP(-LN(2)/25)*BQ49+(1-EXP(-LN(2)/25))/(LN(2)/25)*Calculateur!BL50*Calculateur!BN50*VLOOKUP('Données projet'!$B$11,Paramètres!$A$1:$I$89,3,0)*0.475*44/12</f>
        <v>17.914221134625166</v>
      </c>
      <c r="BR50" s="21">
        <f>EXP(-LN(2)/2)*BR49+(1-EXP(-LN(2)/2))/(LN(2)/2)*BL50*BO50*VLOOKUP('Données projet'!$B$11,Paramètres!$A$1:$I$89,3,0)*0.475*44/12</f>
        <v>1.0337504556794987</v>
      </c>
      <c r="BS50" s="22">
        <f t="shared" si="9"/>
        <v>47.990006655025404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8.3500000000000014</v>
      </c>
      <c r="BY50" s="12">
        <f>IF('Données projet'!$A$114&gt;35,BY49+BX50-CG49,IF(A50&lt;'Données projet'!$A$114,$BV$205^A50,IF(A50='Données projet'!$A$114,'Données projet'!$B$114,BY49+BX50-CG49)))</f>
        <v>207.24999999999986</v>
      </c>
      <c r="BZ50" s="13">
        <f>BY50*VLOOKUP('Données projet'!$B$12,Paramètres!$A$1:$I$89,3,0)*VLOOKUP('Données projet'!$B$12,Paramètres!$A$1:$I$89,5,0)</f>
        <v>118.54699999999993</v>
      </c>
      <c r="CA50" s="13">
        <f t="shared" si="39"/>
        <v>31.335871005717191</v>
      </c>
      <c r="CB50" s="20">
        <f t="shared" si="10"/>
        <v>261.04600033495728</v>
      </c>
      <c r="CC50" s="59">
        <f t="shared" si="11"/>
        <v>554.37933366829066</v>
      </c>
      <c r="CD50" s="59">
        <f ca="1">AVERAGE(OFFSET($CC$3,0,0,'Données projet'!$E$12+1,1))-AVERAGE(OFFSET($H$3,0,0,'Données projet'!$E$12+1,1))</f>
        <v>268.71706840132384</v>
      </c>
      <c r="CE50" s="59">
        <f t="shared" si="40"/>
        <v>199.92519498289477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16.624433926901663</v>
      </c>
      <c r="CL50" s="21">
        <f>EXP(-LN(2)/25)*CL49+(1-EXP(-LN(2)/25))/(LN(2)/25)*Calculateur!CG50*Calculateur!CI50*VLOOKUP('Données projet'!$B$12,Paramètres!$A$1:$I$89,3,0)*0.475*44/12</f>
        <v>12.958256434709561</v>
      </c>
      <c r="CM50" s="21">
        <f>EXP(-LN(2)/2)*CM49+(1-EXP(-LN(2)/2))/(LN(2)/2)*CG50*CJ50*VLOOKUP('Données projet'!$B$12,Paramètres!$A$1:$I$89,3,0)*0.475*44/12</f>
        <v>1.2710937032629797</v>
      </c>
      <c r="CN50" s="22">
        <f t="shared" si="12"/>
        <v>30.853784064874205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184.35256410256409</v>
      </c>
      <c r="L51" s="12">
        <f>VLOOKUP(A51,'Données projet'!$A$35:$I$55,9,0)</f>
        <v>9.3452380952380913</v>
      </c>
      <c r="M51" s="12">
        <f t="array" ref="M51">INDEX(L:L,MIN(IF(ISNUMBER(L51:L247),ROW(L51:L247),"")))</f>
        <v>9.3452380952380913</v>
      </c>
      <c r="N51" s="13">
        <f>IF('Données projet'!$A$36&gt;35,N50+M51-V50,IF(A51&lt;'Données projet'!$A$36,$K$205^A51,IF(A51='Données projet'!$A$36,'Données projet'!$B$36,N50+M51-V50)))</f>
        <v>184.3525641025642</v>
      </c>
      <c r="O51" s="13">
        <f>N51*VLOOKUP('Données projet'!$B$9,Paramètres!$A$1:$I$89,3,0)*VLOOKUP('Données projet'!$B$9,Paramètres!$A$1:$I$89,5,0)</f>
        <v>166.80220000000008</v>
      </c>
      <c r="P51" s="13">
        <f t="shared" si="33"/>
        <v>42.373033138688463</v>
      </c>
      <c r="Q51" s="20">
        <f t="shared" si="53"/>
        <v>364.31353104988256</v>
      </c>
      <c r="R51" s="59">
        <f t="shared" si="0"/>
        <v>657.64686438321587</v>
      </c>
      <c r="S51" s="59">
        <f ca="1">AVERAGE(OFFSET($R$3,0,0,'Données projet'!$E$9+1,1))-AVERAGE(OFFSET($H$3,0,0,'Données projet'!$E$9+1,1))</f>
        <v>384.05928630855732</v>
      </c>
      <c r="T51" s="59">
        <f t="shared" si="34"/>
        <v>279.93992813630513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48.025641025641022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525.0846153846154</v>
      </c>
      <c r="AG51" s="12">
        <f>VLOOKUP(A51,'Données projet'!$A$61:$I$81,9,0)</f>
        <v>21.625641025641034</v>
      </c>
      <c r="AH51" s="12">
        <f t="array" ref="AH51">INDEX(AG:AG,MIN(IF(ISNUMBER(AG51:AG247),ROW(AG51:AG247),"")))</f>
        <v>21.625641025641034</v>
      </c>
      <c r="AI51" s="13">
        <f>IF('Données projet'!$A$62&gt;35,AI50+AH51-AQ50,IF(A51&lt;'Données projet'!$A$62,$AF$205^A51,IF(A51='Données projet'!$A$62,'Données projet'!$B$62,AI50+AH51-AQ50)))</f>
        <v>525.08461538461529</v>
      </c>
      <c r="AJ51" s="13">
        <f>AI51*VLOOKUP('Données projet'!$B$10,Paramètres!$A$1:$I$89,3,0)*VLOOKUP('Données projet'!$B$10,Paramètres!$A$1:$I$89,5,0)</f>
        <v>293.52229999999997</v>
      </c>
      <c r="AK51" s="13">
        <f t="shared" si="35"/>
        <v>69.816768342057628</v>
      </c>
      <c r="AL51" s="20">
        <f t="shared" si="4"/>
        <v>632.81554402908364</v>
      </c>
      <c r="AM51" s="59">
        <f t="shared" si="5"/>
        <v>926.1488773624169</v>
      </c>
      <c r="AN51" s="59">
        <f ca="1">AVERAGE(OFFSET($AM$3,0,0,'Données projet'!$E$10+1,1))-AVERAGE(OFFSET($H$3,0,0,'Données projet'!$E$10+1,1))</f>
        <v>335.04906256888819</v>
      </c>
      <c r="AO51" s="59">
        <f t="shared" si="36"/>
        <v>440.84111898279554</v>
      </c>
      <c r="AP51" s="15">
        <f>IF(ISNA(VLOOKUP(A51,'Données projet'!$A$61:$I$81,3,0)),0,VLOOKUP(A51,'Données projet'!$A$61:$I$81,3,0))</f>
        <v>6</v>
      </c>
      <c r="AQ51" s="15">
        <f>IF(ISNA(VLOOKUP(A51,'Données projet'!$A$61:$I$81,4,0)),0,VLOOKUP(A51,'Données projet'!$A$61:$I$81,4,0))</f>
        <v>81.330769230769235</v>
      </c>
      <c r="AR51" s="16">
        <f>IF(ISNA(VLOOKUP(A51,'Données projet'!$A$61:$I$81,5,0)),0%,VLOOKUP(A51,'Données projet'!$A$61:$I$81,5,0)*VLOOKUP('Données projet'!$B$10,Paramètres!$A$1:$I$89,7,0))</f>
        <v>0.38500000000000001</v>
      </c>
      <c r="AS51" s="16">
        <f>IF(ISNA(VLOOKUP(A51,'Données projet'!$A$61:$I$81,6,0)),0%,VLOOKUP(A51,'Données projet'!$A$61:$I$81,6,0)*VLOOKUP('Données projet'!$B$10,Paramètres!$A$1:$I$89,7,0))</f>
        <v>9.240000000000001E-2</v>
      </c>
      <c r="AT51" s="16">
        <f>IF(ISNA(VLOOKUP(A51,'Données projet'!$A$61:$I$81,7,0)),0%,VLOOKUP(A51,'Données projet'!$A$61:$I$81,7,0))</f>
        <v>0.13200000000000001</v>
      </c>
      <c r="AU51" s="21">
        <f>EXP(-LN(2)/35)*AU50+(1-EXP(-LN(2)/35))/(LN(2)/35)*AQ51*AR51*VLOOKUP('Données projet'!$B$10,Paramètres!$A$1:$I$89,3,0)*0.475*44/12</f>
        <v>78.12390248786032</v>
      </c>
      <c r="AV51" s="21">
        <f>EXP(-LN(2)/25)*AV50+(1-EXP(-LN(2)/25))/(LN(2)/25)*Calculateur!AQ51*Calculateur!AS51*VLOOKUP('Données projet'!$B$10,Paramètres!$A$1:$I$89,3,0)*0.475*44/12</f>
        <v>24.261720592795644</v>
      </c>
      <c r="AW51" s="21">
        <f>EXP(-LN(2)/2)*AW50+(1-EXP(-LN(2)/2))/(LN(2)/2)*AQ51*AT51*VLOOKUP('Données projet'!$B$10,Paramètres!$A$1:$I$89,3,0)*0.475*44/12</f>
        <v>7.6638765903722392</v>
      </c>
      <c r="AX51" s="21">
        <f t="shared" si="6"/>
        <v>110.0494996710282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17.519780219780223</v>
      </c>
      <c r="BD51" s="12">
        <f>IF('Données projet'!$A$88&gt;35,BD50+BC51-BL50,IF(A51&lt;'Données projet'!$A$88,$BA$205^A51,IF(A51='Données projet'!$A$88,'Données projet'!$B$88,BD50+BC51-BL50)))</f>
        <v>387.04945054945057</v>
      </c>
      <c r="BE51" s="13">
        <f>BD51*VLOOKUP('Données projet'!$B$11,Paramètres!$A$1:$I$89,3,0)*VLOOKUP('Données projet'!$B$11,Paramètres!$A$1:$I$89,5,0)</f>
        <v>171.07585714285716</v>
      </c>
      <c r="BF51" s="13">
        <f t="shared" si="37"/>
        <v>43.330891254862777</v>
      </c>
      <c r="BG51" s="20">
        <f t="shared" si="7"/>
        <v>373.42508679269554</v>
      </c>
      <c r="BH51" s="59">
        <f t="shared" si="8"/>
        <v>666.7584201260288</v>
      </c>
      <c r="BI51" s="59">
        <f ca="1">AVERAGE(OFFSET($BH$3,0,0,'Données projet'!$E$11+1,1))-AVERAGE(OFFSET($H$3,0,0,'Données projet'!$E$11+1,1))</f>
        <v>261.20475283925128</v>
      </c>
      <c r="BJ51" s="59">
        <f t="shared" si="38"/>
        <v>247.06045079522403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28.472538470993857</v>
      </c>
      <c r="BQ51" s="21">
        <f>EXP(-LN(2)/25)*BQ50+(1-EXP(-LN(2)/25))/(LN(2)/25)*Calculateur!BL51*Calculateur!BN51*VLOOKUP('Données projet'!$B$11,Paramètres!$A$1:$I$89,3,0)*0.475*44/12</f>
        <v>17.424355815630893</v>
      </c>
      <c r="BR51" s="21">
        <f>EXP(-LN(2)/2)*BR50+(1-EXP(-LN(2)/2))/(LN(2)/2)*BL51*BO51*VLOOKUP('Données projet'!$B$11,Paramètres!$A$1:$I$89,3,0)*0.475*44/12</f>
        <v>0.73097195726565711</v>
      </c>
      <c r="BS51" s="22">
        <f t="shared" si="9"/>
        <v>46.627866243890409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8.3500000000000014</v>
      </c>
      <c r="BY51" s="12">
        <f>IF('Données projet'!$A$114&gt;35,BY50+BX51-CG50,IF(A51&lt;'Données projet'!$A$114,$BV$205^A51,IF(A51='Données projet'!$A$114,'Données projet'!$B$114,BY50+BX51-CG50)))</f>
        <v>215.59999999999985</v>
      </c>
      <c r="BZ51" s="13">
        <f>BY51*VLOOKUP('Données projet'!$B$12,Paramètres!$A$1:$I$89,3,0)*VLOOKUP('Données projet'!$B$12,Paramètres!$A$1:$I$89,5,0)</f>
        <v>123.32319999999991</v>
      </c>
      <c r="CA51" s="13">
        <f t="shared" si="39"/>
        <v>32.448844570035057</v>
      </c>
      <c r="CB51" s="20">
        <f t="shared" si="10"/>
        <v>271.30297762614424</v>
      </c>
      <c r="CC51" s="59">
        <f t="shared" si="11"/>
        <v>564.63631095947756</v>
      </c>
      <c r="CD51" s="59">
        <f ca="1">AVERAGE(OFFSET($CC$3,0,0,'Données projet'!$E$12+1,1))-AVERAGE(OFFSET($H$3,0,0,'Données projet'!$E$12+1,1))</f>
        <v>268.71706840132384</v>
      </c>
      <c r="CE51" s="59">
        <f t="shared" si="40"/>
        <v>199.92519498289477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16.298438917498583</v>
      </c>
      <c r="CL51" s="21">
        <f>EXP(-LN(2)/25)*CL50+(1-EXP(-LN(2)/25))/(LN(2)/25)*Calculateur!CG51*Calculateur!CI51*VLOOKUP('Données projet'!$B$12,Paramètres!$A$1:$I$89,3,0)*0.475*44/12</f>
        <v>12.60391223105734</v>
      </c>
      <c r="CM51" s="21">
        <f>EXP(-LN(2)/2)*CM50+(1-EXP(-LN(2)/2))/(LN(2)/2)*CG51*CJ51*VLOOKUP('Données projet'!$B$12,Paramètres!$A$1:$I$89,3,0)*0.475*44/12</f>
        <v>0.89879897710077417</v>
      </c>
      <c r="CN51" s="22">
        <f t="shared" si="12"/>
        <v>29.801150125656697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8.8736263736263741</v>
      </c>
      <c r="N52" s="13">
        <f>IF('Données projet'!$A$36&gt;35,N51+M52-V51,IF(A52&lt;'Données projet'!$A$36,$K$205^A52,IF(A52='Données projet'!$A$36,'Données projet'!$B$36,N51+M52-V51)))</f>
        <v>145.20054945054954</v>
      </c>
      <c r="O52" s="13">
        <f>N52*VLOOKUP('Données projet'!$B$9,Paramètres!$A$1:$I$89,3,0)*VLOOKUP('Données projet'!$B$9,Paramètres!$A$1:$I$89,5,0)</f>
        <v>131.37745714285722</v>
      </c>
      <c r="P52" s="13">
        <f t="shared" si="33"/>
        <v>34.314453722516539</v>
      </c>
      <c r="Q52" s="20">
        <f t="shared" si="53"/>
        <v>288.58007809052594</v>
      </c>
      <c r="R52" s="59">
        <f t="shared" si="0"/>
        <v>581.91341142385932</v>
      </c>
      <c r="S52" s="59">
        <f ca="1">AVERAGE(OFFSET($R$3,0,0,'Données projet'!$E$9+1,1))-AVERAGE(OFFSET($H$3,0,0,'Données projet'!$E$9+1,1))</f>
        <v>384.05928630855732</v>
      </c>
      <c r="T52" s="59">
        <f t="shared" si="34"/>
        <v>279.93992813630513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20.507692307692299</v>
      </c>
      <c r="AI52" s="13">
        <f>IF('Données projet'!$A$62&gt;35,AI51+AH52-AQ51,IF(A52&lt;'Données projet'!$A$62,$AF$205^A52,IF(A52='Données projet'!$A$62,'Données projet'!$B$62,AI51+AH52-AQ51)))</f>
        <v>464.26153846153835</v>
      </c>
      <c r="AJ52" s="13">
        <f>AI52*VLOOKUP('Données projet'!$B$10,Paramètres!$A$1:$I$89,3,0)*VLOOKUP('Données projet'!$B$10,Paramètres!$A$1:$I$89,5,0)</f>
        <v>259.52219999999994</v>
      </c>
      <c r="AK52" s="13">
        <f t="shared" si="35"/>
        <v>62.620519404058925</v>
      </c>
      <c r="AL52" s="20">
        <f t="shared" si="4"/>
        <v>561.06523629540254</v>
      </c>
      <c r="AM52" s="59">
        <f t="shared" si="5"/>
        <v>854.39856962873591</v>
      </c>
      <c r="AN52" s="59">
        <f ca="1">AVERAGE(OFFSET($AM$3,0,0,'Données projet'!$E$10+1,1))-AVERAGE(OFFSET($H$3,0,0,'Données projet'!$E$10+1,1))</f>
        <v>335.04906256888819</v>
      </c>
      <c r="AO52" s="59">
        <f t="shared" si="36"/>
        <v>440.84111898279554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76.591940410948766</v>
      </c>
      <c r="AV52" s="21">
        <f>EXP(-LN(2)/25)*AV51+(1-EXP(-LN(2)/25))/(LN(2)/25)*Calculateur!AQ52*Calculateur!AS52*VLOOKUP('Données projet'!$B$10,Paramètres!$A$1:$I$89,3,0)*0.475*44/12</f>
        <v>23.598282567317213</v>
      </c>
      <c r="AW52" s="21">
        <f>EXP(-LN(2)/2)*AW51+(1-EXP(-LN(2)/2))/(LN(2)/2)*AQ52*AT52*VLOOKUP('Données projet'!$B$10,Paramètres!$A$1:$I$89,3,0)*0.475*44/12</f>
        <v>5.4191791072290476</v>
      </c>
      <c r="AX52" s="21">
        <f t="shared" si="6"/>
        <v>105.60940208549502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>
        <f>VLOOKUP(A52,'Données projet'!$A$87:$I$107,2,0)</f>
        <v>404.56923076923078</v>
      </c>
      <c r="BB52" s="12">
        <f>VLOOKUP(A52,'Données projet'!$A$87:$I$107,9,0)</f>
        <v>17.519780219780223</v>
      </c>
      <c r="BC52" s="12">
        <f t="array" ref="BC52">INDEX(BB:BB,MIN(IF(ISNUMBER(BB52:BB248),ROW(BB52:BB248),"")))</f>
        <v>17.519780219780223</v>
      </c>
      <c r="BD52" s="12">
        <f>IF('Données projet'!$A$88&gt;35,BD51+BC52-BL51,IF(A52&lt;'Données projet'!$A$88,$BA$205^A52,IF(A52='Données projet'!$A$88,'Données projet'!$B$88,BD51+BC52-BL51)))</f>
        <v>404.56923076923078</v>
      </c>
      <c r="BE52" s="13">
        <f>BD52*VLOOKUP('Données projet'!$B$11,Paramètres!$A$1:$I$89,3,0)*VLOOKUP('Données projet'!$B$11,Paramètres!$A$1:$I$89,5,0)</f>
        <v>178.81960000000001</v>
      </c>
      <c r="BF52" s="13">
        <f t="shared" si="37"/>
        <v>45.059468437489592</v>
      </c>
      <c r="BG52" s="20">
        <f t="shared" si="7"/>
        <v>389.92271086196098</v>
      </c>
      <c r="BH52" s="59">
        <f t="shared" si="8"/>
        <v>683.25604419529429</v>
      </c>
      <c r="BI52" s="59">
        <f ca="1">AVERAGE(OFFSET($BH$3,0,0,'Données projet'!$E$11+1,1))-AVERAGE(OFFSET($H$3,0,0,'Données projet'!$E$11+1,1))</f>
        <v>261.20475283925128</v>
      </c>
      <c r="BJ52" s="59">
        <f t="shared" si="38"/>
        <v>247.06045079522403</v>
      </c>
      <c r="BK52" s="15">
        <f>IF(ISNA(VLOOKUP(A52,'Données projet'!$A$87:$I$107,3,0)),0,VLOOKUP(A52,'Données projet'!$A$87:$I$107,3,0))</f>
        <v>5</v>
      </c>
      <c r="BL52" s="15">
        <f>IF(ISNA(VLOOKUP(A52,'Données projet'!$A$87:$I$107,4,0)),0,VLOOKUP(A52,'Données projet'!$A$87:$I$107,4,0))</f>
        <v>90.453846153846158</v>
      </c>
      <c r="BM52" s="16">
        <f>IF(ISNA(VLOOKUP(A52,'Données projet'!$A$87:$I$107,5,0)),0%,VLOOKUP(A52,'Données projet'!$A$87:$I$107,5,0)*VLOOKUP('Données projet'!$B$11,Paramètres!$A$1:$I$89,7,0))</f>
        <v>0.38500000000000001</v>
      </c>
      <c r="BN52" s="16">
        <f>IF(ISNA(VLOOKUP(A52,'Données projet'!$A$87:$I$107,6,0)),0%,VLOOKUP(A52,'Données projet'!$A$87:$I$107,6,0)*VLOOKUP('Données projet'!$B$11,Paramètres!$A$1:$I$89,7,0))</f>
        <v>9.240000000000001E-2</v>
      </c>
      <c r="BO52" s="16">
        <f>IF(ISNA(VLOOKUP(A52,'Données projet'!$A$87:$I$107,7,0)),0%,VLOOKUP(A52,'Données projet'!$A$87:$I$107,7,0))</f>
        <v>0.13200000000000001</v>
      </c>
      <c r="BP52" s="21">
        <f>EXP(-LN(2)/35)*BP51+(1-EXP(-LN(2)/35))/(LN(2)/35)*BL52*BM52*VLOOKUP('Données projet'!$B$11,Paramètres!$A$1:$I$89,3,0)*0.475*44/12</f>
        <v>48.333393861962577</v>
      </c>
      <c r="BQ52" s="21">
        <f>EXP(-LN(2)/25)*BQ51+(1-EXP(-LN(2)/25))/(LN(2)/25)*Calculateur!BL52*Calculateur!BN52*VLOOKUP('Données projet'!$B$11,Paramètres!$A$1:$I$89,3,0)*0.475*44/12</f>
        <v>21.829194624139095</v>
      </c>
      <c r="BR52" s="21">
        <f>EXP(-LN(2)/2)*BR51+(1-EXP(-LN(2)/2))/(LN(2)/2)*BL52*BO52*VLOOKUP('Données projet'!$B$11,Paramètres!$A$1:$I$89,3,0)*0.475*44/12</f>
        <v>6.4921623383119842</v>
      </c>
      <c r="BS52" s="22">
        <f t="shared" si="9"/>
        <v>76.654750824413654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8.3500000000000014</v>
      </c>
      <c r="BY52" s="12">
        <f>IF('Données projet'!$A$114&gt;35,BY51+BX52-CG51,IF(A52&lt;'Données projet'!$A$114,$BV$205^A52,IF(A52='Données projet'!$A$114,'Données projet'!$B$114,BY51+BX52-CG51)))</f>
        <v>223.94999999999985</v>
      </c>
      <c r="BZ52" s="13">
        <f>BY52*VLOOKUP('Données projet'!$B$12,Paramètres!$A$1:$I$89,3,0)*VLOOKUP('Données projet'!$B$12,Paramètres!$A$1:$I$89,5,0)</f>
        <v>128.09939999999992</v>
      </c>
      <c r="CA52" s="13">
        <f t="shared" si="39"/>
        <v>33.556810741242892</v>
      </c>
      <c r="CB52" s="20">
        <f t="shared" si="10"/>
        <v>281.55123370766449</v>
      </c>
      <c r="CC52" s="59">
        <f t="shared" si="11"/>
        <v>574.88456704099781</v>
      </c>
      <c r="CD52" s="59">
        <f ca="1">AVERAGE(OFFSET($CC$3,0,0,'Données projet'!$E$12+1,1))-AVERAGE(OFFSET($H$3,0,0,'Données projet'!$E$12+1,1))</f>
        <v>268.71706840132384</v>
      </c>
      <c r="CE52" s="59">
        <f t="shared" si="40"/>
        <v>199.92519498289477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15.978836471392576</v>
      </c>
      <c r="CL52" s="21">
        <f>EXP(-LN(2)/25)*CL51+(1-EXP(-LN(2)/25))/(LN(2)/25)*Calculateur!CG52*Calculateur!CI52*VLOOKUP('Données projet'!$B$12,Paramètres!$A$1:$I$89,3,0)*0.475*44/12</f>
        <v>12.25925758828814</v>
      </c>
      <c r="CM52" s="21">
        <f>EXP(-LN(2)/2)*CM51+(1-EXP(-LN(2)/2))/(LN(2)/2)*CG52*CJ52*VLOOKUP('Données projet'!$B$12,Paramètres!$A$1:$I$89,3,0)*0.475*44/12</f>
        <v>0.63554685163148994</v>
      </c>
      <c r="CN52" s="22">
        <f t="shared" si="12"/>
        <v>28.873640911312204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8.8736263736263741</v>
      </c>
      <c r="N53" s="13">
        <f>IF('Données projet'!$A$36&gt;35,N52+M53-V52,IF(A53&lt;'Données projet'!$A$36,$K$205^A53,IF(A53='Données projet'!$A$36,'Données projet'!$B$36,N52+M53-V52)))</f>
        <v>154.07417582417591</v>
      </c>
      <c r="O53" s="13">
        <f>N53*VLOOKUP('Données projet'!$B$9,Paramètres!$A$1:$I$89,3,0)*VLOOKUP('Données projet'!$B$9,Paramètres!$A$1:$I$89,5,0)</f>
        <v>139.40631428571436</v>
      </c>
      <c r="P53" s="13">
        <f t="shared" si="33"/>
        <v>36.160966815041384</v>
      </c>
      <c r="Q53" s="20">
        <f t="shared" si="53"/>
        <v>305.77968125048289</v>
      </c>
      <c r="R53" s="59">
        <f t="shared" si="0"/>
        <v>599.11301458381627</v>
      </c>
      <c r="S53" s="59">
        <f ca="1">AVERAGE(OFFSET($R$3,0,0,'Données projet'!$E$9+1,1))-AVERAGE(OFFSET($H$3,0,0,'Données projet'!$E$9+1,1))</f>
        <v>384.05928630855732</v>
      </c>
      <c r="T53" s="59">
        <f t="shared" si="34"/>
        <v>279.93992813630513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20.507692307692299</v>
      </c>
      <c r="AI53" s="13">
        <f>IF('Données projet'!$A$62&gt;35,AI52+AH53-AQ52,IF(A53&lt;'Données projet'!$A$62,$AF$205^A53,IF(A53='Données projet'!$A$62,'Données projet'!$B$62,AI52+AH53-AQ52)))</f>
        <v>484.76923076923066</v>
      </c>
      <c r="AJ53" s="13">
        <f>AI53*VLOOKUP('Données projet'!$B$10,Paramètres!$A$1:$I$89,3,0)*VLOOKUP('Données projet'!$B$10,Paramètres!$A$1:$I$89,5,0)</f>
        <v>270.98599999999993</v>
      </c>
      <c r="AK53" s="13">
        <f t="shared" si="35"/>
        <v>65.058478958733772</v>
      </c>
      <c r="AL53" s="20">
        <f t="shared" si="4"/>
        <v>585.27746751979453</v>
      </c>
      <c r="AM53" s="59">
        <f t="shared" si="5"/>
        <v>878.61080085312778</v>
      </c>
      <c r="AN53" s="59">
        <f ca="1">AVERAGE(OFFSET($AM$3,0,0,'Données projet'!$E$10+1,1))-AVERAGE(OFFSET($H$3,0,0,'Données projet'!$E$10+1,1))</f>
        <v>335.04906256888819</v>
      </c>
      <c r="AO53" s="59">
        <f t="shared" si="36"/>
        <v>440.84111898279554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75.090019175960848</v>
      </c>
      <c r="AV53" s="21">
        <f>EXP(-LN(2)/25)*AV52+(1-EXP(-LN(2)/25))/(LN(2)/25)*Calculateur!AQ53*Calculateur!AS53*VLOOKUP('Données projet'!$B$10,Paramètres!$A$1:$I$89,3,0)*0.475*44/12</f>
        <v>22.952986289534177</v>
      </c>
      <c r="AW53" s="21">
        <f>EXP(-LN(2)/2)*AW52+(1-EXP(-LN(2)/2))/(LN(2)/2)*AQ53*AT53*VLOOKUP('Données projet'!$B$10,Paramètres!$A$1:$I$89,3,0)*0.475*44/12</f>
        <v>3.8319382951861205</v>
      </c>
      <c r="AX53" s="21">
        <f t="shared" si="6"/>
        <v>101.87494376068115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16.227472527472521</v>
      </c>
      <c r="BD53" s="12">
        <f>IF('Données projet'!$A$88&gt;35,BD52+BC53-BL52,IF(A53&lt;'Données projet'!$A$88,$BA$205^A53,IF(A53='Données projet'!$A$88,'Données projet'!$B$88,BD52+BC53-BL52)))</f>
        <v>330.34285714285716</v>
      </c>
      <c r="BE53" s="13">
        <f>BD53*VLOOKUP('Données projet'!$B$11,Paramètres!$A$1:$I$89,3,0)*VLOOKUP('Données projet'!$B$11,Paramètres!$A$1:$I$89,5,0)</f>
        <v>146.01154285714287</v>
      </c>
      <c r="BF53" s="13">
        <f t="shared" si="37"/>
        <v>37.670777685592256</v>
      </c>
      <c r="BG53" s="20">
        <f t="shared" si="7"/>
        <v>319.91337494526368</v>
      </c>
      <c r="BH53" s="59">
        <f t="shared" si="8"/>
        <v>613.246708278597</v>
      </c>
      <c r="BI53" s="59">
        <f ca="1">AVERAGE(OFFSET($BH$3,0,0,'Données projet'!$E$11+1,1))-AVERAGE(OFFSET($H$3,0,0,'Données projet'!$E$11+1,1))</f>
        <v>261.20475283925128</v>
      </c>
      <c r="BJ53" s="59">
        <f t="shared" si="38"/>
        <v>247.06045079522403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47.385605488788791</v>
      </c>
      <c r="BQ53" s="21">
        <f>EXP(-LN(2)/25)*BQ52+(1-EXP(-LN(2)/25))/(LN(2)/25)*Calculateur!BL53*Calculateur!BN53*VLOOKUP('Données projet'!$B$11,Paramètres!$A$1:$I$89,3,0)*0.475*44/12</f>
        <v>21.232274149194559</v>
      </c>
      <c r="BR53" s="21">
        <f>EXP(-LN(2)/2)*BR52+(1-EXP(-LN(2)/2))/(LN(2)/2)*BL53*BO53*VLOOKUP('Données projet'!$B$11,Paramètres!$A$1:$I$89,3,0)*0.475*44/12</f>
        <v>4.5906520139843172</v>
      </c>
      <c r="BS53" s="22">
        <f t="shared" si="9"/>
        <v>73.208531651967661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8.3500000000000014</v>
      </c>
      <c r="BY53" s="12">
        <f>IF('Données projet'!$A$114&gt;35,BY52+BX53-CG52,IF(A53&lt;'Données projet'!$A$114,$BV$205^A53,IF(A53='Données projet'!$A$114,'Données projet'!$B$114,BY52+BX53-CG52)))</f>
        <v>232.29999999999984</v>
      </c>
      <c r="BZ53" s="13">
        <f>BY53*VLOOKUP('Données projet'!$B$12,Paramètres!$A$1:$I$89,3,0)*VLOOKUP('Données projet'!$B$12,Paramètres!$A$1:$I$89,5,0)</f>
        <v>132.87559999999991</v>
      </c>
      <c r="CA53" s="13">
        <f t="shared" si="39"/>
        <v>34.659977599024209</v>
      </c>
      <c r="CB53" s="20">
        <f t="shared" si="10"/>
        <v>291.79113098496697</v>
      </c>
      <c r="CC53" s="59">
        <f t="shared" si="11"/>
        <v>585.12446431830028</v>
      </c>
      <c r="CD53" s="59">
        <f ca="1">AVERAGE(OFFSET($CC$3,0,0,'Données projet'!$E$12+1,1))-AVERAGE(OFFSET($H$3,0,0,'Données projet'!$E$12+1,1))</f>
        <v>268.71706840132384</v>
      </c>
      <c r="CE53" s="59">
        <f t="shared" si="40"/>
        <v>199.92519498289477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15.665501234316466</v>
      </c>
      <c r="CL53" s="21">
        <f>EXP(-LN(2)/25)*CL52+(1-EXP(-LN(2)/25))/(LN(2)/25)*Calculateur!CG53*Calculateur!CI53*VLOOKUP('Données projet'!$B$12,Paramètres!$A$1:$I$89,3,0)*0.475*44/12</f>
        <v>11.924027544850063</v>
      </c>
      <c r="CM53" s="21">
        <f>EXP(-LN(2)/2)*CM52+(1-EXP(-LN(2)/2))/(LN(2)/2)*CG53*CJ53*VLOOKUP('Données projet'!$B$12,Paramètres!$A$1:$I$89,3,0)*0.475*44/12</f>
        <v>0.44939948855038719</v>
      </c>
      <c r="CN53" s="22">
        <f t="shared" si="12"/>
        <v>28.038928267716916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8.8736263736263741</v>
      </c>
      <c r="N54" s="13">
        <f>IF('Données projet'!$A$36&gt;35,N53+M54-V53,IF(A54&lt;'Données projet'!$A$36,$K$205^A54,IF(A54='Données projet'!$A$36,'Données projet'!$B$36,N53+M54-V53)))</f>
        <v>162.94780219780228</v>
      </c>
      <c r="O54" s="13">
        <f>N54*VLOOKUP('Données projet'!$B$9,Paramètres!$A$1:$I$89,3,0)*VLOOKUP('Données projet'!$B$9,Paramètres!$A$1:$I$89,5,0)</f>
        <v>147.43517142857149</v>
      </c>
      <c r="P54" s="13">
        <f t="shared" si="33"/>
        <v>37.995135358244994</v>
      </c>
      <c r="Q54" s="20">
        <f t="shared" si="53"/>
        <v>322.95778432037201</v>
      </c>
      <c r="R54" s="59">
        <f t="shared" si="0"/>
        <v>616.29111765370533</v>
      </c>
      <c r="S54" s="59">
        <f ca="1">AVERAGE(OFFSET($R$3,0,0,'Données projet'!$E$9+1,1))-AVERAGE(OFFSET($H$3,0,0,'Données projet'!$E$9+1,1))</f>
        <v>384.05928630855732</v>
      </c>
      <c r="T54" s="59">
        <f t="shared" si="34"/>
        <v>279.93992813630513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20.507692307692299</v>
      </c>
      <c r="AI54" s="13">
        <f>IF('Données projet'!$A$62&gt;35,AI53+AH54-AQ53,IF(A54&lt;'Données projet'!$A$62,$AF$205^A54,IF(A54='Données projet'!$A$62,'Données projet'!$B$62,AI53+AH54-AQ53)))</f>
        <v>505.27692307692297</v>
      </c>
      <c r="AJ54" s="13">
        <f>AI54*VLOOKUP('Données projet'!$B$10,Paramètres!$A$1:$I$89,3,0)*VLOOKUP('Données projet'!$B$10,Paramètres!$A$1:$I$89,5,0)</f>
        <v>282.44979999999998</v>
      </c>
      <c r="AK54" s="13">
        <f t="shared" si="35"/>
        <v>67.484459274997945</v>
      </c>
      <c r="AL54" s="20">
        <f t="shared" si="4"/>
        <v>609.46883490395464</v>
      </c>
      <c r="AM54" s="59">
        <f t="shared" si="5"/>
        <v>902.80216823728802</v>
      </c>
      <c r="AN54" s="59">
        <f ca="1">AVERAGE(OFFSET($AM$3,0,0,'Données projet'!$E$10+1,1))-AVERAGE(OFFSET($H$3,0,0,'Données projet'!$E$10+1,1))</f>
        <v>335.04906256888819</v>
      </c>
      <c r="AO54" s="59">
        <f t="shared" si="36"/>
        <v>440.84111898279554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73.617549700309539</v>
      </c>
      <c r="AV54" s="21">
        <f>EXP(-LN(2)/25)*AV53+(1-EXP(-LN(2)/25))/(LN(2)/25)*Calculateur!AQ54*Calculateur!AS54*VLOOKUP('Données projet'!$B$10,Paramètres!$A$1:$I$89,3,0)*0.475*44/12</f>
        <v>22.325335672401774</v>
      </c>
      <c r="AW54" s="21">
        <f>EXP(-LN(2)/2)*AW53+(1-EXP(-LN(2)/2))/(LN(2)/2)*AQ54*AT54*VLOOKUP('Données projet'!$B$10,Paramètres!$A$1:$I$89,3,0)*0.475*44/12</f>
        <v>2.7095895536145242</v>
      </c>
      <c r="AX54" s="21">
        <f t="shared" si="6"/>
        <v>98.652474926325837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16.227472527472521</v>
      </c>
      <c r="BD54" s="12">
        <f>IF('Données projet'!$A$88&gt;35,BD53+BC54-BL53,IF(A54&lt;'Données projet'!$A$88,$BA$205^A54,IF(A54='Données projet'!$A$88,'Données projet'!$B$88,BD53+BC54-BL53)))</f>
        <v>346.57032967032967</v>
      </c>
      <c r="BE54" s="13">
        <f>BD54*VLOOKUP('Données projet'!$B$11,Paramètres!$A$1:$I$89,3,0)*VLOOKUP('Données projet'!$B$11,Paramètres!$A$1:$I$89,5,0)</f>
        <v>153.18408571428574</v>
      </c>
      <c r="BF54" s="13">
        <f t="shared" si="37"/>
        <v>39.301293561000776</v>
      </c>
      <c r="BG54" s="20">
        <f t="shared" si="7"/>
        <v>335.24536890445728</v>
      </c>
      <c r="BH54" s="59">
        <f t="shared" si="8"/>
        <v>628.57870223779059</v>
      </c>
      <c r="BI54" s="59">
        <f ca="1">AVERAGE(OFFSET($BH$3,0,0,'Données projet'!$E$11+1,1))-AVERAGE(OFFSET($H$3,0,0,'Données projet'!$E$11+1,1))</f>
        <v>261.20475283925128</v>
      </c>
      <c r="BJ54" s="59">
        <f t="shared" si="38"/>
        <v>247.06045079522403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46.456402667519122</v>
      </c>
      <c r="BQ54" s="21">
        <f>EXP(-LN(2)/25)*BQ53+(1-EXP(-LN(2)/25))/(LN(2)/25)*Calculateur!BL54*Calculateur!BN54*VLOOKUP('Données projet'!$B$11,Paramètres!$A$1:$I$89,3,0)*0.475*44/12</f>
        <v>20.651676496028063</v>
      </c>
      <c r="BR54" s="21">
        <f>EXP(-LN(2)/2)*BR53+(1-EXP(-LN(2)/2))/(LN(2)/2)*BL54*BO54*VLOOKUP('Données projet'!$B$11,Paramètres!$A$1:$I$89,3,0)*0.475*44/12</f>
        <v>3.2460811691559925</v>
      </c>
      <c r="BS54" s="22">
        <f t="shared" si="9"/>
        <v>70.354160332703174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8.3500000000000014</v>
      </c>
      <c r="BY54" s="12">
        <f>IF('Données projet'!$A$114&gt;35,BY53+BX54-CG53,IF(A54&lt;'Données projet'!$A$114,$BV$205^A54,IF(A54='Données projet'!$A$114,'Données projet'!$B$114,BY53+BX54-CG53)))</f>
        <v>240.64999999999984</v>
      </c>
      <c r="BZ54" s="13">
        <f>BY54*VLOOKUP('Données projet'!$B$12,Paramètres!$A$1:$I$89,3,0)*VLOOKUP('Données projet'!$B$12,Paramètres!$A$1:$I$89,5,0)</f>
        <v>137.65179999999989</v>
      </c>
      <c r="CA54" s="13">
        <f t="shared" si="39"/>
        <v>35.75853741634355</v>
      </c>
      <c r="CB54" s="20">
        <f t="shared" si="10"/>
        <v>302.02300433346483</v>
      </c>
      <c r="CC54" s="59">
        <f t="shared" si="11"/>
        <v>595.35633766679814</v>
      </c>
      <c r="CD54" s="59">
        <f ca="1">AVERAGE(OFFSET($CC$3,0,0,'Données projet'!$E$12+1,1))-AVERAGE(OFFSET($H$3,0,0,'Données projet'!$E$12+1,1))</f>
        <v>268.71706840132384</v>
      </c>
      <c r="CE54" s="59">
        <f t="shared" si="40"/>
        <v>199.92519498289477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15.358310310123793</v>
      </c>
      <c r="CL54" s="21">
        <f>EXP(-LN(2)/25)*CL53+(1-EXP(-LN(2)/25))/(LN(2)/25)*Calculateur!CG54*Calculateur!CI54*VLOOKUP('Données projet'!$B$12,Paramètres!$A$1:$I$89,3,0)*0.475*44/12</f>
        <v>11.597964384578782</v>
      </c>
      <c r="CM54" s="21">
        <f>EXP(-LN(2)/2)*CM53+(1-EXP(-LN(2)/2))/(LN(2)/2)*CG54*CJ54*VLOOKUP('Données projet'!$B$12,Paramètres!$A$1:$I$89,3,0)*0.475*44/12</f>
        <v>0.31777342581574503</v>
      </c>
      <c r="CN54" s="22">
        <f t="shared" si="12"/>
        <v>27.274048120518319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8.8736263736263741</v>
      </c>
      <c r="N55" s="13">
        <f>IF('Données projet'!$A$36&gt;35,N54+M55-V54,IF(A55&lt;'Données projet'!$A$36,$K$205^A55,IF(A55='Données projet'!$A$36,'Données projet'!$B$36,N54+M55-V54)))</f>
        <v>171.82142857142864</v>
      </c>
      <c r="O55" s="13">
        <f>N55*VLOOKUP('Données projet'!$B$9,Paramètres!$A$1:$I$89,3,0)*VLOOKUP('Données projet'!$B$9,Paramètres!$A$1:$I$89,5,0)</f>
        <v>155.46402857142863</v>
      </c>
      <c r="P55" s="13">
        <f t="shared" si="33"/>
        <v>39.817708233223598</v>
      </c>
      <c r="Q55" s="20">
        <f t="shared" si="53"/>
        <v>340.11569160143591</v>
      </c>
      <c r="R55" s="59">
        <f t="shared" si="0"/>
        <v>633.44902493476923</v>
      </c>
      <c r="S55" s="59">
        <f ca="1">AVERAGE(OFFSET($R$3,0,0,'Données projet'!$E$9+1,1))-AVERAGE(OFFSET($H$3,0,0,'Données projet'!$E$9+1,1))</f>
        <v>384.05928630855732</v>
      </c>
      <c r="T55" s="59">
        <f t="shared" si="34"/>
        <v>279.93992813630513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20.507692307692299</v>
      </c>
      <c r="AI55" s="13">
        <f>IF('Données projet'!$A$62&gt;35,AI54+AH55-AQ54,IF(A55&lt;'Données projet'!$A$62,$AF$205^A55,IF(A55='Données projet'!$A$62,'Données projet'!$B$62,AI54+AH55-AQ54)))</f>
        <v>525.78461538461522</v>
      </c>
      <c r="AJ55" s="13">
        <f>AI55*VLOOKUP('Données projet'!$B$10,Paramètres!$A$1:$I$89,3,0)*VLOOKUP('Données projet'!$B$10,Paramètres!$A$1:$I$89,5,0)</f>
        <v>293.91359999999992</v>
      </c>
      <c r="AK55" s="13">
        <f t="shared" si="35"/>
        <v>69.899002171586702</v>
      </c>
      <c r="AL55" s="20">
        <f t="shared" si="4"/>
        <v>633.64028211551329</v>
      </c>
      <c r="AM55" s="59">
        <f t="shared" si="5"/>
        <v>926.97361544884666</v>
      </c>
      <c r="AN55" s="59">
        <f ca="1">AVERAGE(OFFSET($AM$3,0,0,'Données projet'!$E$10+1,1))-AVERAGE(OFFSET($H$3,0,0,'Données projet'!$E$10+1,1))</f>
        <v>335.04906256888819</v>
      </c>
      <c r="AO55" s="59">
        <f t="shared" si="36"/>
        <v>440.84111898279554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72.173954452958057</v>
      </c>
      <c r="AV55" s="21">
        <f>EXP(-LN(2)/25)*AV54+(1-EXP(-LN(2)/25))/(LN(2)/25)*Calculateur!AQ55*Calculateur!AS55*VLOOKUP('Données projet'!$B$10,Paramètres!$A$1:$I$89,3,0)*0.475*44/12</f>
        <v>21.714848194401569</v>
      </c>
      <c r="AW55" s="21">
        <f>EXP(-LN(2)/2)*AW54+(1-EXP(-LN(2)/2))/(LN(2)/2)*AQ55*AT55*VLOOKUP('Données projet'!$B$10,Paramètres!$A$1:$I$89,3,0)*0.475*44/12</f>
        <v>1.9159691475930605</v>
      </c>
      <c r="AX55" s="21">
        <f t="shared" si="6"/>
        <v>95.804771794952686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16.227472527472521</v>
      </c>
      <c r="BD55" s="12">
        <f>IF('Données projet'!$A$88&gt;35,BD54+BC55-BL54,IF(A55&lt;'Données projet'!$A$88,$BA$205^A55,IF(A55='Données projet'!$A$88,'Données projet'!$B$88,BD54+BC55-BL54)))</f>
        <v>362.79780219780218</v>
      </c>
      <c r="BE55" s="13">
        <f>BD55*VLOOKUP('Données projet'!$B$11,Paramètres!$A$1:$I$89,3,0)*VLOOKUP('Données projet'!$B$11,Paramètres!$A$1:$I$89,5,0)</f>
        <v>160.35662857142859</v>
      </c>
      <c r="BF55" s="13">
        <f t="shared" si="37"/>
        <v>40.922943550311551</v>
      </c>
      <c r="BG55" s="20">
        <f t="shared" si="7"/>
        <v>350.56192144536408</v>
      </c>
      <c r="BH55" s="59">
        <f t="shared" si="8"/>
        <v>643.89525477869734</v>
      </c>
      <c r="BI55" s="59">
        <f ca="1">AVERAGE(OFFSET($BH$3,0,0,'Données projet'!$E$11+1,1))-AVERAGE(OFFSET($H$3,0,0,'Données projet'!$E$11+1,1))</f>
        <v>261.20475283925128</v>
      </c>
      <c r="BJ55" s="59">
        <f t="shared" si="38"/>
        <v>247.06045079522403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45.54542094681679</v>
      </c>
      <c r="BQ55" s="21">
        <f>EXP(-LN(2)/25)*BQ54+(1-EXP(-LN(2)/25))/(LN(2)/25)*Calculateur!BL55*Calculateur!BN55*VLOOKUP('Données projet'!$B$11,Paramètres!$A$1:$I$89,3,0)*0.475*44/12</f>
        <v>20.086955316219708</v>
      </c>
      <c r="BR55" s="21">
        <f>EXP(-LN(2)/2)*BR54+(1-EXP(-LN(2)/2))/(LN(2)/2)*BL55*BO55*VLOOKUP('Données projet'!$B$11,Paramètres!$A$1:$I$89,3,0)*0.475*44/12</f>
        <v>2.2953260069921591</v>
      </c>
      <c r="BS55" s="22">
        <f t="shared" si="9"/>
        <v>67.927702270028647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249</v>
      </c>
      <c r="BW55" s="12">
        <f>VLOOKUP(A55,'Données projet'!$A$113:$I$133,9,0)</f>
        <v>8.3500000000000014</v>
      </c>
      <c r="BX55" s="12">
        <f t="array" ref="BX55">INDEX(BW:BW,MIN(IF(ISNUMBER(BW55:BW251),ROW(BW55:BW251),"")))</f>
        <v>8.3500000000000014</v>
      </c>
      <c r="BY55" s="12">
        <f>IF('Données projet'!$A$114&gt;35,BY54+BX55-CG54,IF(A55&lt;'Données projet'!$A$114,$BV$205^A55,IF(A55='Données projet'!$A$114,'Données projet'!$B$114,BY54+BX55-CG54)))</f>
        <v>248.99999999999983</v>
      </c>
      <c r="BZ55" s="13">
        <f>BY55*VLOOKUP('Données projet'!$B$12,Paramètres!$A$1:$I$89,3,0)*VLOOKUP('Données projet'!$B$12,Paramètres!$A$1:$I$89,5,0)</f>
        <v>142.42799999999991</v>
      </c>
      <c r="CA55" s="13">
        <f t="shared" si="39"/>
        <v>36.852668366613713</v>
      </c>
      <c r="CB55" s="20">
        <f t="shared" si="10"/>
        <v>312.24716407185201</v>
      </c>
      <c r="CC55" s="59">
        <f t="shared" si="11"/>
        <v>605.58049740518527</v>
      </c>
      <c r="CD55" s="59">
        <f ca="1">AVERAGE(OFFSET($CC$3,0,0,'Données projet'!$E$12+1,1))-AVERAGE(OFFSET($H$3,0,0,'Données projet'!$E$12+1,1))</f>
        <v>268.71706840132384</v>
      </c>
      <c r="CE55" s="59">
        <f t="shared" si="40"/>
        <v>199.92519498289477</v>
      </c>
      <c r="CF55" s="15">
        <f>IF(ISNA(VLOOKUP(A55,'Données projet'!$A$113:$I$133,3,0)),0,VLOOKUP(A55,'Données projet'!$A$113:$I$133,3,0))</f>
        <v>5</v>
      </c>
      <c r="CG55" s="15">
        <f>IF(ISNA(VLOOKUP(A55,'Données projet'!$A$113:$I$133,4,0)),0,VLOOKUP(A55,'Données projet'!$A$113:$I$133,4,0))</f>
        <v>42</v>
      </c>
      <c r="CH55" s="16">
        <f>IF(ISNA(VLOOKUP(A55,'Données projet'!$A$113:$I$133,5,0)),0%,VLOOKUP(A55,'Données projet'!$A$113:$I$133,5,0)*VLOOKUP('Données projet'!$B$12,Paramètres!$A$1:$I$89,7,0))</f>
        <v>0.315</v>
      </c>
      <c r="CI55" s="16">
        <f>IF(ISNA(VLOOKUP(A55,'Données projet'!$A$113:$I$133,6,0)),0%,VLOOKUP(A55,'Données projet'!$A$113:$I$133,6,0)*VLOOKUP('Données projet'!$B$12,Paramètres!$A$1:$I$89,7,0))</f>
        <v>7.6500000000000012E-2</v>
      </c>
      <c r="CJ55" s="16">
        <f>IF(ISNA(VLOOKUP(A55,'Données projet'!$A$113:$I$133,7,0)),0%,VLOOKUP(A55,'Données projet'!$A$113:$I$133,7,0))</f>
        <v>0.13</v>
      </c>
      <c r="CK55" s="21">
        <f>EXP(-LN(2)/35)*CK54+(1-EXP(-LN(2)/35))/(LN(2)/35)*CG55*CH55*VLOOKUP('Données projet'!$B$12,Paramètres!$A$1:$I$89,3,0)*0.475*44/12</f>
        <v>25.095999322992622</v>
      </c>
      <c r="CL55" s="21">
        <f>EXP(-LN(2)/25)*CL54+(1-EXP(-LN(2)/25))/(LN(2)/25)*Calculateur!CG55*Calculateur!CI55*VLOOKUP('Données projet'!$B$12,Paramètres!$A$1:$I$89,3,0)*0.475*44/12</f>
        <v>13.709225984993756</v>
      </c>
      <c r="CM55" s="21">
        <f>EXP(-LN(2)/2)*CM54+(1-EXP(-LN(2)/2))/(LN(2)/2)*CG55*CJ55*VLOOKUP('Données projet'!$B$12,Paramètres!$A$1:$I$89,3,0)*0.475*44/12</f>
        <v>3.7607970773260497</v>
      </c>
      <c r="CN55" s="22">
        <f t="shared" si="12"/>
        <v>42.566022385312422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8.8736263736263741</v>
      </c>
      <c r="N56" s="13">
        <f>IF('Données projet'!$A$36&gt;35,N55+M56-V55,IF(A56&lt;'Données projet'!$A$36,$K$205^A56,IF(A56='Données projet'!$A$36,'Données projet'!$B$36,N55+M56-V55)))</f>
        <v>180.69505494505501</v>
      </c>
      <c r="O56" s="13">
        <f>N56*VLOOKUP('Données projet'!$B$9,Paramètres!$A$1:$I$89,3,0)*VLOOKUP('Données projet'!$B$9,Paramètres!$A$1:$I$89,5,0)</f>
        <v>163.49288571428576</v>
      </c>
      <c r="P56" s="13">
        <f t="shared" si="33"/>
        <v>41.629352600963465</v>
      </c>
      <c r="Q56" s="20">
        <f t="shared" si="53"/>
        <v>357.25456506572573</v>
      </c>
      <c r="R56" s="59">
        <f t="shared" si="0"/>
        <v>650.58789839905899</v>
      </c>
      <c r="S56" s="59">
        <f ca="1">AVERAGE(OFFSET($R$3,0,0,'Données projet'!$E$9+1,1))-AVERAGE(OFFSET($H$3,0,0,'Données projet'!$E$9+1,1))</f>
        <v>384.05928630855732</v>
      </c>
      <c r="T56" s="59">
        <f t="shared" si="34"/>
        <v>279.93992813630513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20.507692307692299</v>
      </c>
      <c r="AI56" s="13">
        <f>IF('Données projet'!$A$62&gt;35,AI55+AH56-AQ55,IF(A56&lt;'Données projet'!$A$62,$AF$205^A56,IF(A56='Données projet'!$A$62,'Données projet'!$B$62,AI55+AH56-AQ55)))</f>
        <v>546.29230769230753</v>
      </c>
      <c r="AJ56" s="13">
        <f>AI56*VLOOKUP('Données projet'!$B$10,Paramètres!$A$1:$I$89,3,0)*VLOOKUP('Données projet'!$B$10,Paramètres!$A$1:$I$89,5,0)</f>
        <v>305.37739999999991</v>
      </c>
      <c r="AK56" s="13">
        <f t="shared" si="35"/>
        <v>72.302604807906476</v>
      </c>
      <c r="AL56" s="20">
        <f t="shared" si="4"/>
        <v>657.79267504043685</v>
      </c>
      <c r="AM56" s="59">
        <f t="shared" si="5"/>
        <v>951.12600837377022</v>
      </c>
      <c r="AN56" s="59">
        <f ca="1">AVERAGE(OFFSET($AM$3,0,0,'Données projet'!$E$10+1,1))-AVERAGE(OFFSET($H$3,0,0,'Données projet'!$E$10+1,1))</f>
        <v>335.04906256888819</v>
      </c>
      <c r="AO56" s="59">
        <f t="shared" si="36"/>
        <v>440.84111898279554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70.758667227900972</v>
      </c>
      <c r="AV56" s="21">
        <f>EXP(-LN(2)/25)*AV55+(1-EXP(-LN(2)/25))/(LN(2)/25)*Calculateur!AQ56*Calculateur!AS56*VLOOKUP('Données projet'!$B$10,Paramètres!$A$1:$I$89,3,0)*0.475*44/12</f>
        <v>21.121054528591422</v>
      </c>
      <c r="AW56" s="21">
        <f>EXP(-LN(2)/2)*AW55+(1-EXP(-LN(2)/2))/(LN(2)/2)*AQ56*AT56*VLOOKUP('Données projet'!$B$10,Paramètres!$A$1:$I$89,3,0)*0.475*44/12</f>
        <v>1.3547947768072623</v>
      </c>
      <c r="AX56" s="21">
        <f t="shared" si="6"/>
        <v>93.234516533299654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16.227472527472521</v>
      </c>
      <c r="BD56" s="12">
        <f>IF('Données projet'!$A$88&gt;35,BD55+BC56-BL55,IF(A56&lt;'Données projet'!$A$88,$BA$205^A56,IF(A56='Données projet'!$A$88,'Données projet'!$B$88,BD55+BC56-BL55)))</f>
        <v>379.0252747252747</v>
      </c>
      <c r="BE56" s="13">
        <f>BD56*VLOOKUP('Données projet'!$B$11,Paramètres!$A$1:$I$89,3,0)*VLOOKUP('Données projet'!$B$11,Paramètres!$A$1:$I$89,5,0)</f>
        <v>167.52917142857146</v>
      </c>
      <c r="BF56" s="13">
        <f t="shared" si="37"/>
        <v>42.536169523048684</v>
      </c>
      <c r="BG56" s="20">
        <f t="shared" si="7"/>
        <v>365.86380215740513</v>
      </c>
      <c r="BH56" s="59">
        <f t="shared" si="8"/>
        <v>659.19713549073845</v>
      </c>
      <c r="BI56" s="59">
        <f ca="1">AVERAGE(OFFSET($BH$3,0,0,'Données projet'!$E$11+1,1))-AVERAGE(OFFSET($H$3,0,0,'Données projet'!$E$11+1,1))</f>
        <v>261.20475283925128</v>
      </c>
      <c r="BJ56" s="59">
        <f t="shared" si="38"/>
        <v>247.06045079522403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44.652303022013449</v>
      </c>
      <c r="BQ56" s="21">
        <f>EXP(-LN(2)/25)*BQ55+(1-EXP(-LN(2)/25))/(LN(2)/25)*Calculateur!BL56*Calculateur!BN56*VLOOKUP('Données projet'!$B$11,Paramètres!$A$1:$I$89,3,0)*0.475*44/12</f>
        <v>19.537676466770609</v>
      </c>
      <c r="BR56" s="21">
        <f>EXP(-LN(2)/2)*BR55+(1-EXP(-LN(2)/2))/(LN(2)/2)*BL56*BO56*VLOOKUP('Données projet'!$B$11,Paramètres!$A$1:$I$89,3,0)*0.475*44/12</f>
        <v>1.6230405845779965</v>
      </c>
      <c r="BS56" s="22">
        <f t="shared" si="9"/>
        <v>65.813020073362054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7.3500000000000014</v>
      </c>
      <c r="BY56" s="12">
        <f>IF('Données projet'!$A$114&gt;35,BY55+BX56-CG55,IF(A56&lt;'Données projet'!$A$114,$BV$205^A56,IF(A56='Données projet'!$A$114,'Données projet'!$B$114,BY55+BX56-CG55)))</f>
        <v>214.34999999999985</v>
      </c>
      <c r="BZ56" s="13">
        <f>BY56*VLOOKUP('Données projet'!$B$12,Paramètres!$A$1:$I$89,3,0)*VLOOKUP('Données projet'!$B$12,Paramètres!$A$1:$I$89,5,0)</f>
        <v>122.60819999999993</v>
      </c>
      <c r="CA56" s="13">
        <f t="shared" si="39"/>
        <v>32.282555755462802</v>
      </c>
      <c r="CB56" s="20">
        <f t="shared" si="10"/>
        <v>269.76806627409758</v>
      </c>
      <c r="CC56" s="59">
        <f t="shared" si="11"/>
        <v>563.10139960743095</v>
      </c>
      <c r="CD56" s="59">
        <f ca="1">AVERAGE(OFFSET($CC$3,0,0,'Données projet'!$E$12+1,1))-AVERAGE(OFFSET($H$3,0,0,'Données projet'!$E$12+1,1))</f>
        <v>268.71706840132384</v>
      </c>
      <c r="CE56" s="59">
        <f t="shared" si="40"/>
        <v>199.92519498289477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24.603882083316879</v>
      </c>
      <c r="CL56" s="21">
        <f>EXP(-LN(2)/25)*CL55+(1-EXP(-LN(2)/25))/(LN(2)/25)*Calculateur!CG56*Calculateur!CI56*VLOOKUP('Données projet'!$B$12,Paramètres!$A$1:$I$89,3,0)*0.475*44/12</f>
        <v>13.33434647949724</v>
      </c>
      <c r="CM56" s="21">
        <f>EXP(-LN(2)/2)*CM55+(1-EXP(-LN(2)/2))/(LN(2)/2)*CG56*CJ56*VLOOKUP('Données projet'!$B$12,Paramètres!$A$1:$I$89,3,0)*0.475*44/12</f>
        <v>2.6592851160437987</v>
      </c>
      <c r="CN56" s="22">
        <f t="shared" si="12"/>
        <v>40.597513678857915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8.8736263736263741</v>
      </c>
      <c r="N57" s="13">
        <f>IF('Données projet'!$A$36&gt;35,N56+M57-V56,IF(A57&lt;'Données projet'!$A$36,$K$205^A57,IF(A57='Données projet'!$A$36,'Données projet'!$B$36,N56+M57-V56)))</f>
        <v>189.56868131868137</v>
      </c>
      <c r="O57" s="13">
        <f>N57*VLOOKUP('Données projet'!$B$9,Paramètres!$A$1:$I$89,3,0)*VLOOKUP('Données projet'!$B$9,Paramètres!$A$1:$I$89,5,0)</f>
        <v>171.5217428571429</v>
      </c>
      <c r="P57" s="13">
        <f t="shared" si="33"/>
        <v>43.430666394282092</v>
      </c>
      <c r="Q57" s="20">
        <f t="shared" si="53"/>
        <v>374.37544611289854</v>
      </c>
      <c r="R57" s="59">
        <f t="shared" si="0"/>
        <v>667.7087794462318</v>
      </c>
      <c r="S57" s="59">
        <f ca="1">AVERAGE(OFFSET($R$3,0,0,'Données projet'!$E$9+1,1))-AVERAGE(OFFSET($H$3,0,0,'Données projet'!$E$9+1,1))</f>
        <v>384.05928630855732</v>
      </c>
      <c r="T57" s="59">
        <f t="shared" si="34"/>
        <v>279.93992813630513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566.79999999999995</v>
      </c>
      <c r="AG57" s="12">
        <f>VLOOKUP(A57,'Données projet'!$A$61:$I$81,9,0)</f>
        <v>20.507692307692299</v>
      </c>
      <c r="AH57" s="12">
        <f t="array" ref="AH57">INDEX(AG:AG,MIN(IF(ISNUMBER(AG57:AG253),ROW(AG57:AG253),"")))</f>
        <v>20.507692307692299</v>
      </c>
      <c r="AI57" s="13">
        <f>IF('Données projet'!$A$62&gt;35,AI56+AH57-AQ56,IF(A57&lt;'Données projet'!$A$62,$AF$205^A57,IF(A57='Données projet'!$A$62,'Données projet'!$B$62,AI56+AH57-AQ56)))</f>
        <v>566.79999999999984</v>
      </c>
      <c r="AJ57" s="13">
        <f>AI57*VLOOKUP('Données projet'!$B$10,Paramètres!$A$1:$I$89,3,0)*VLOOKUP('Données projet'!$B$10,Paramètres!$A$1:$I$89,5,0)</f>
        <v>316.8411999999999</v>
      </c>
      <c r="AK57" s="13">
        <f t="shared" si="35"/>
        <v>74.695724902330795</v>
      </c>
      <c r="AL57" s="20">
        <f t="shared" si="4"/>
        <v>681.92681087155927</v>
      </c>
      <c r="AM57" s="59">
        <f t="shared" si="5"/>
        <v>975.26014420489264</v>
      </c>
      <c r="AN57" s="59">
        <f ca="1">AVERAGE(OFFSET($AM$3,0,0,'Données projet'!$E$10+1,1))-AVERAGE(OFFSET($H$3,0,0,'Données projet'!$E$10+1,1))</f>
        <v>335.04906256888819</v>
      </c>
      <c r="AO57" s="59">
        <f t="shared" si="36"/>
        <v>440.84111898279554</v>
      </c>
      <c r="AP57" s="15">
        <f>IF(ISNA(VLOOKUP(A57,'Données projet'!$A$61:$I$81,3,0)),0,VLOOKUP(A57,'Données projet'!$A$61:$I$81,3,0))</f>
        <v>7</v>
      </c>
      <c r="AQ57" s="15">
        <f>IF(ISNA(VLOOKUP(A57,'Données projet'!$A$61:$I$81,4,0)),0,VLOOKUP(A57,'Données projet'!$A$61:$I$81,4,0))</f>
        <v>566.79999999999995</v>
      </c>
      <c r="AR57" s="16">
        <f>IF(ISNA(VLOOKUP(A57,'Données projet'!$A$61:$I$81,5,0)),0%,VLOOKUP(A57,'Données projet'!$A$61:$I$81,5,0)*VLOOKUP('Données projet'!$B$10,Paramètres!$A$1:$I$89,7,0))</f>
        <v>0.38500000000000001</v>
      </c>
      <c r="AS57" s="16">
        <f>IF(ISNA(VLOOKUP(A57,'Données projet'!$A$61:$I$81,6,0)),0%,VLOOKUP(A57,'Données projet'!$A$61:$I$81,6,0)*VLOOKUP('Données projet'!$B$10,Paramètres!$A$1:$I$89,7,0))</f>
        <v>9.240000000000001E-2</v>
      </c>
      <c r="AT57" s="16">
        <f>IF(ISNA(VLOOKUP(A57,'Données projet'!$A$61:$I$81,7,0)),0%,VLOOKUP(A57,'Données projet'!$A$61:$I$81,7,0))</f>
        <v>0.13200000000000001</v>
      </c>
      <c r="AU57" s="21">
        <f>EXP(-LN(2)/35)*AU56+(1-EXP(-LN(2)/35))/(LN(2)/35)*AQ57*AR57*VLOOKUP('Données projet'!$B$10,Paramètres!$A$1:$I$89,3,0)*0.475*44/12</f>
        <v>231.19058838852931</v>
      </c>
      <c r="AV57" s="21">
        <f>EXP(-LN(2)/25)*AV56+(1-EXP(-LN(2)/25))/(LN(2)/25)*Calculateur!AQ57*Calculateur!AS57*VLOOKUP('Données projet'!$B$10,Paramètres!$A$1:$I$89,3,0)*0.475*44/12</f>
        <v>59.227252728732921</v>
      </c>
      <c r="AW57" s="21">
        <f>EXP(-LN(2)/2)*AW56+(1-EXP(-LN(2)/2))/(LN(2)/2)*AQ57*AT57*VLOOKUP('Données projet'!$B$10,Paramètres!$A$1:$I$89,3,0)*0.475*44/12</f>
        <v>48.311379430966142</v>
      </c>
      <c r="AX57" s="21">
        <f t="shared" si="6"/>
        <v>338.7292205482284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16.227472527472521</v>
      </c>
      <c r="BD57" s="12">
        <f>IF('Données projet'!$A$88&gt;35,BD56+BC57-BL56,IF(A57&lt;'Données projet'!$A$88,$BA$205^A57,IF(A57='Données projet'!$A$88,'Données projet'!$B$88,BD56+BC57-BL56)))</f>
        <v>395.25274725274721</v>
      </c>
      <c r="BE57" s="13">
        <f>BD57*VLOOKUP('Données projet'!$B$11,Paramètres!$A$1:$I$89,3,0)*VLOOKUP('Données projet'!$B$11,Paramètres!$A$1:$I$89,5,0)</f>
        <v>174.7017142857143</v>
      </c>
      <c r="BF57" s="13">
        <f t="shared" si="37"/>
        <v>44.14137337262482</v>
      </c>
      <c r="BG57" s="20">
        <f t="shared" si="7"/>
        <v>381.15171100494064</v>
      </c>
      <c r="BH57" s="59">
        <f t="shared" si="8"/>
        <v>674.48504433827395</v>
      </c>
      <c r="BI57" s="59">
        <f ca="1">AVERAGE(OFFSET($BH$3,0,0,'Données projet'!$E$11+1,1))-AVERAGE(OFFSET($H$3,0,0,'Données projet'!$E$11+1,1))</f>
        <v>261.20475283925128</v>
      </c>
      <c r="BJ57" s="59">
        <f t="shared" si="38"/>
        <v>247.06045079522403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43.776698594967357</v>
      </c>
      <c r="BQ57" s="21">
        <f>EXP(-LN(2)/25)*BQ56+(1-EXP(-LN(2)/25))/(LN(2)/25)*Calculateur!BL57*Calculateur!BN57*VLOOKUP('Données projet'!$B$11,Paramètres!$A$1:$I$89,3,0)*0.475*44/12</f>
        <v>19.003417676345016</v>
      </c>
      <c r="BR57" s="21">
        <f>EXP(-LN(2)/2)*BR56+(1-EXP(-LN(2)/2))/(LN(2)/2)*BL57*BO57*VLOOKUP('Données projet'!$B$11,Paramètres!$A$1:$I$89,3,0)*0.475*44/12</f>
        <v>1.1476630034960795</v>
      </c>
      <c r="BS57" s="22">
        <f t="shared" si="9"/>
        <v>63.927779274808451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7.3500000000000014</v>
      </c>
      <c r="BY57" s="12">
        <f>IF('Données projet'!$A$114&gt;35,BY56+BX57-CG56,IF(A57&lt;'Données projet'!$A$114,$BV$205^A57,IF(A57='Données projet'!$A$114,'Données projet'!$B$114,BY56+BX57-CG56)))</f>
        <v>221.69999999999985</v>
      </c>
      <c r="BZ57" s="13">
        <f>BY57*VLOOKUP('Données projet'!$B$12,Paramètres!$A$1:$I$89,3,0)*VLOOKUP('Données projet'!$B$12,Paramètres!$A$1:$I$89,5,0)</f>
        <v>126.81239999999991</v>
      </c>
      <c r="CA57" s="13">
        <f t="shared" si="39"/>
        <v>33.258737725706645</v>
      </c>
      <c r="CB57" s="20">
        <f t="shared" si="10"/>
        <v>278.79056487227223</v>
      </c>
      <c r="CC57" s="59">
        <f t="shared" si="11"/>
        <v>572.12389820560554</v>
      </c>
      <c r="CD57" s="59">
        <f ca="1">AVERAGE(OFFSET($CC$3,0,0,'Données projet'!$E$12+1,1))-AVERAGE(OFFSET($H$3,0,0,'Données projet'!$E$12+1,1))</f>
        <v>268.71706840132384</v>
      </c>
      <c r="CE57" s="59">
        <f t="shared" si="40"/>
        <v>199.92519498289477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24.121414962549299</v>
      </c>
      <c r="CL57" s="21">
        <f>EXP(-LN(2)/25)*CL56+(1-EXP(-LN(2)/25))/(LN(2)/25)*Calculateur!CG57*Calculateur!CI57*VLOOKUP('Données projet'!$B$12,Paramètres!$A$1:$I$89,3,0)*0.475*44/12</f>
        <v>12.969718073792583</v>
      </c>
      <c r="CM57" s="21">
        <f>EXP(-LN(2)/2)*CM56+(1-EXP(-LN(2)/2))/(LN(2)/2)*CG57*CJ57*VLOOKUP('Données projet'!$B$12,Paramètres!$A$1:$I$89,3,0)*0.475*44/12</f>
        <v>1.8803985386630251</v>
      </c>
      <c r="CN57" s="22">
        <f t="shared" si="12"/>
        <v>38.971531575004903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198.44230769230768</v>
      </c>
      <c r="L58" s="12">
        <f>VLOOKUP(A58,'Données projet'!$A$35:$I$55,9,0)</f>
        <v>8.8736263736263741</v>
      </c>
      <c r="M58" s="12">
        <f t="array" ref="M58">INDEX(L:L,MIN(IF(ISNUMBER(L58:L254),ROW(L58:L254),"")))</f>
        <v>8.8736263736263741</v>
      </c>
      <c r="N58" s="13">
        <f>IF('Données projet'!$A$36&gt;35,N57+M58-V57,IF(A58&lt;'Données projet'!$A$36,$K$205^A58,IF(A58='Données projet'!$A$36,'Données projet'!$B$36,N57+M58-V57)))</f>
        <v>198.44230769230774</v>
      </c>
      <c r="O58" s="13">
        <f>N58*VLOOKUP('Données projet'!$B$9,Paramètres!$A$1:$I$89,3,0)*VLOOKUP('Données projet'!$B$9,Paramètres!$A$1:$I$89,5,0)</f>
        <v>179.55060000000003</v>
      </c>
      <c r="P58" s="13">
        <f t="shared" si="33"/>
        <v>45.22218840459005</v>
      </c>
      <c r="Q58" s="20">
        <f t="shared" si="53"/>
        <v>391.47927313799437</v>
      </c>
      <c r="R58" s="59">
        <f t="shared" si="0"/>
        <v>684.81260647132763</v>
      </c>
      <c r="S58" s="59">
        <f ca="1">AVERAGE(OFFSET($R$3,0,0,'Données projet'!$E$9+1,1))-AVERAGE(OFFSET($H$3,0,0,'Données projet'!$E$9+1,1))</f>
        <v>384.05928630855732</v>
      </c>
      <c r="T58" s="59">
        <f t="shared" si="34"/>
        <v>279.93992813630513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45.147435897435898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-1.1368683772161603E-13</v>
      </c>
      <c r="AJ58" s="13">
        <f>AI58*VLOOKUP('Données projet'!$B$10,Paramètres!$A$1:$I$89,3,0)*VLOOKUP('Données projet'!$B$10,Paramètres!$A$1:$I$89,5,0)</f>
        <v>-6.3550942286383367E-14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335.04906256888819</v>
      </c>
      <c r="AO58" s="59">
        <f t="shared" si="36"/>
        <v>440.84111898279554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226.65708196256534</v>
      </c>
      <c r="AV58" s="21">
        <f>EXP(-LN(2)/25)*AV57+(1-EXP(-LN(2)/25))/(LN(2)/25)*Calculateur!AQ58*Calculateur!AS58*VLOOKUP('Données projet'!$B$10,Paramètres!$A$1:$I$89,3,0)*0.475*44/12</f>
        <v>57.607680388239864</v>
      </c>
      <c r="AW58" s="21">
        <f>EXP(-LN(2)/2)*AW57+(1-EXP(-LN(2)/2))/(LN(2)/2)*AQ58*AT58*VLOOKUP('Données projet'!$B$10,Paramètres!$A$1:$I$89,3,0)*0.475*44/12</f>
        <v>34.161304004112452</v>
      </c>
      <c r="AX58" s="21">
        <f t="shared" si="6"/>
        <v>318.42606635491768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16.227472527472521</v>
      </c>
      <c r="BD58" s="12">
        <f>IF('Données projet'!$A$88&gt;35,BD57+BC58-BL57,IF(A58&lt;'Données projet'!$A$88,$BA$205^A58,IF(A58='Données projet'!$A$88,'Données projet'!$B$88,BD57+BC58-BL57)))</f>
        <v>411.48021978021973</v>
      </c>
      <c r="BE58" s="13">
        <f>BD58*VLOOKUP('Données projet'!$B$11,Paramètres!$A$1:$I$89,3,0)*VLOOKUP('Données projet'!$B$11,Paramètres!$A$1:$I$89,5,0)</f>
        <v>181.87425714285715</v>
      </c>
      <c r="BF58" s="13">
        <f t="shared" si="37"/>
        <v>45.738922124894664</v>
      </c>
      <c r="BG58" s="20">
        <f t="shared" si="7"/>
        <v>396.4262872246677</v>
      </c>
      <c r="BH58" s="59">
        <f t="shared" si="8"/>
        <v>689.75962055800096</v>
      </c>
      <c r="BI58" s="59">
        <f ca="1">AVERAGE(OFFSET($BH$3,0,0,'Données projet'!$E$11+1,1))-AVERAGE(OFFSET($H$3,0,0,'Données projet'!$E$11+1,1))</f>
        <v>261.20475283925128</v>
      </c>
      <c r="BJ58" s="59">
        <f t="shared" si="38"/>
        <v>247.06045079522403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42.918264236669671</v>
      </c>
      <c r="BQ58" s="21">
        <f>EXP(-LN(2)/25)*BQ57+(1-EXP(-LN(2)/25))/(LN(2)/25)*Calculateur!BL58*Calculateur!BN58*VLOOKUP('Données projet'!$B$11,Paramètres!$A$1:$I$89,3,0)*0.475*44/12</f>
        <v>18.48376822063906</v>
      </c>
      <c r="BR58" s="21">
        <f>EXP(-LN(2)/2)*BR57+(1-EXP(-LN(2)/2))/(LN(2)/2)*BL58*BO58*VLOOKUP('Données projet'!$B$11,Paramètres!$A$1:$I$89,3,0)*0.475*44/12</f>
        <v>0.81152029228899825</v>
      </c>
      <c r="BS58" s="22">
        <f t="shared" si="9"/>
        <v>62.213552749597731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7.3500000000000014</v>
      </c>
      <c r="BY58" s="12">
        <f>IF('Données projet'!$A$114&gt;35,BY57+BX58-CG57,IF(A58&lt;'Données projet'!$A$114,$BV$205^A58,IF(A58='Données projet'!$A$114,'Données projet'!$B$114,BY57+BX58-CG57)))</f>
        <v>229.04999999999984</v>
      </c>
      <c r="BZ58" s="13">
        <f>BY58*VLOOKUP('Données projet'!$B$12,Paramètres!$A$1:$I$89,3,0)*VLOOKUP('Données projet'!$B$12,Paramètres!$A$1:$I$89,5,0)</f>
        <v>131.0165999999999</v>
      </c>
      <c r="CA58" s="13">
        <f t="shared" si="39"/>
        <v>34.231159142533762</v>
      </c>
      <c r="CB58" s="20">
        <f t="shared" si="10"/>
        <v>287.80651383991272</v>
      </c>
      <c r="CC58" s="59">
        <f t="shared" si="11"/>
        <v>581.13984717324604</v>
      </c>
      <c r="CD58" s="59">
        <f ca="1">AVERAGE(OFFSET($CC$3,0,0,'Données projet'!$E$12+1,1))-AVERAGE(OFFSET($H$3,0,0,'Données projet'!$E$12+1,1))</f>
        <v>268.71706840132384</v>
      </c>
      <c r="CE58" s="59">
        <f t="shared" si="40"/>
        <v>199.92519498289477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23.648408727744084</v>
      </c>
      <c r="CL58" s="21">
        <f>EXP(-LN(2)/25)*CL57+(1-EXP(-LN(2)/25))/(LN(2)/25)*Calculateur!CG58*Calculateur!CI58*VLOOKUP('Données projet'!$B$12,Paramètres!$A$1:$I$89,3,0)*0.475*44/12</f>
        <v>12.615060451016895</v>
      </c>
      <c r="CM58" s="21">
        <f>EXP(-LN(2)/2)*CM57+(1-EXP(-LN(2)/2))/(LN(2)/2)*CG58*CJ58*VLOOKUP('Données projet'!$B$12,Paramètres!$A$1:$I$89,3,0)*0.475*44/12</f>
        <v>1.3296425580218996</v>
      </c>
      <c r="CN58" s="22">
        <f t="shared" si="12"/>
        <v>37.59311173678288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8.374198717948719</v>
      </c>
      <c r="N59" s="13">
        <f>IF('Données projet'!$A$36&gt;35,N58+M59-V58,IF(A59&lt;'Données projet'!$A$36,$K$205^A59,IF(A59='Données projet'!$A$36,'Données projet'!$B$36,N58+M59-V58)))</f>
        <v>161.66907051282055</v>
      </c>
      <c r="O59" s="13">
        <f>N59*VLOOKUP('Données projet'!$B$9,Paramètres!$A$1:$I$89,3,0)*VLOOKUP('Données projet'!$B$9,Paramètres!$A$1:$I$89,5,0)</f>
        <v>146.27817500000003</v>
      </c>
      <c r="P59" s="13">
        <f t="shared" si="33"/>
        <v>37.731554716297467</v>
      </c>
      <c r="Q59" s="20">
        <f t="shared" si="53"/>
        <v>320.48361258921813</v>
      </c>
      <c r="R59" s="59">
        <f t="shared" si="0"/>
        <v>613.81694592255144</v>
      </c>
      <c r="S59" s="59">
        <f ca="1">AVERAGE(OFFSET($R$3,0,0,'Données projet'!$E$9+1,1))-AVERAGE(OFFSET($H$3,0,0,'Données projet'!$E$9+1,1))</f>
        <v>384.05928630855732</v>
      </c>
      <c r="T59" s="59">
        <f t="shared" si="34"/>
        <v>279.93992813630513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-1.1368683772161603E-13</v>
      </c>
      <c r="AJ59" s="13">
        <f>AI59*VLOOKUP('Données projet'!$B$10,Paramètres!$A$1:$I$89,3,0)*VLOOKUP('Données projet'!$B$10,Paramètres!$A$1:$I$89,5,0)</f>
        <v>-6.3550942286383367E-14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335.04906256888819</v>
      </c>
      <c r="AO59" s="59">
        <f t="shared" si="36"/>
        <v>440.84111898279554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222.21247483244866</v>
      </c>
      <c r="AV59" s="21">
        <f>EXP(-LN(2)/25)*AV58+(1-EXP(-LN(2)/25))/(LN(2)/25)*Calculateur!AQ59*Calculateur!AS59*VLOOKUP('Données projet'!$B$10,Paramètres!$A$1:$I$89,3,0)*0.475*44/12</f>
        <v>56.032395338567198</v>
      </c>
      <c r="AW59" s="21">
        <f>EXP(-LN(2)/2)*AW58+(1-EXP(-LN(2)/2))/(LN(2)/2)*AQ59*AT59*VLOOKUP('Données projet'!$B$10,Paramètres!$A$1:$I$89,3,0)*0.475*44/12</f>
        <v>24.155689715483074</v>
      </c>
      <c r="AX59" s="21">
        <f t="shared" si="6"/>
        <v>302.40055988649891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427.7076923076923</v>
      </c>
      <c r="BB59" s="12">
        <f>VLOOKUP(A59,'Données projet'!$A$87:$I$107,9,0)</f>
        <v>16.227472527472521</v>
      </c>
      <c r="BC59" s="12">
        <f t="array" ref="BC59">INDEX(BB:BB,MIN(IF(ISNUMBER(BB59:BB255),ROW(BB59:BB255),"")))</f>
        <v>16.227472527472521</v>
      </c>
      <c r="BD59" s="12">
        <f>IF('Données projet'!$A$88&gt;35,BD58+BC59-BL58,IF(A59&lt;'Données projet'!$A$88,$BA$205^A59,IF(A59='Données projet'!$A$88,'Données projet'!$B$88,BD58+BC59-BL58)))</f>
        <v>427.70769230769224</v>
      </c>
      <c r="BE59" s="13">
        <f>BD59*VLOOKUP('Données projet'!$B$11,Paramètres!$A$1:$I$89,3,0)*VLOOKUP('Données projet'!$B$11,Paramètres!$A$1:$I$89,5,0)</f>
        <v>189.04679999999996</v>
      </c>
      <c r="BF59" s="13">
        <f t="shared" si="37"/>
        <v>47.329152218170634</v>
      </c>
      <c r="BG59" s="20">
        <f t="shared" si="7"/>
        <v>411.68811677998042</v>
      </c>
      <c r="BH59" s="59">
        <f t="shared" si="8"/>
        <v>705.02145011331368</v>
      </c>
      <c r="BI59" s="59">
        <f ca="1">AVERAGE(OFFSET($BH$3,0,0,'Données projet'!$E$11+1,1))-AVERAGE(OFFSET($H$3,0,0,'Données projet'!$E$11+1,1))</f>
        <v>261.20475283925128</v>
      </c>
      <c r="BJ59" s="59">
        <f t="shared" si="38"/>
        <v>247.06045079522403</v>
      </c>
      <c r="BK59" s="15">
        <f>IF(ISNA(VLOOKUP(A59,'Données projet'!$A$87:$I$107,3,0)),0,VLOOKUP(A59,'Données projet'!$A$87:$I$107,3,0))</f>
        <v>6</v>
      </c>
      <c r="BL59" s="15">
        <f>IF(ISNA(VLOOKUP(A59,'Données projet'!$A$87:$I$107,4,0)),0,VLOOKUP(A59,'Données projet'!$A$87:$I$107,4,0))</f>
        <v>75.869230769230768</v>
      </c>
      <c r="BM59" s="16">
        <f>IF(ISNA(VLOOKUP(A59,'Données projet'!$A$87:$I$107,5,0)),0%,VLOOKUP(A59,'Données projet'!$A$87:$I$107,5,0)*VLOOKUP('Données projet'!$B$11,Paramètres!$A$1:$I$89,7,0))</f>
        <v>0.38500000000000001</v>
      </c>
      <c r="BN59" s="16">
        <f>IF(ISNA(VLOOKUP(A59,'Données projet'!$A$87:$I$107,6,0)),0%,VLOOKUP(A59,'Données projet'!$A$87:$I$107,6,0)*VLOOKUP('Données projet'!$B$11,Paramètres!$A$1:$I$89,7,0))</f>
        <v>9.240000000000001E-2</v>
      </c>
      <c r="BO59" s="16">
        <f>IF(ISNA(VLOOKUP(A59,'Données projet'!$A$87:$I$107,7,0)),0%,VLOOKUP(A59,'Données projet'!$A$87:$I$107,7,0))</f>
        <v>0.13200000000000001</v>
      </c>
      <c r="BP59" s="21">
        <f>EXP(-LN(2)/35)*BP58+(1-EXP(-LN(2)/35))/(LN(2)/35)*BL59*BM59*VLOOKUP('Données projet'!$B$11,Paramètres!$A$1:$I$89,3,0)*0.475*44/12</f>
        <v>59.203495190761188</v>
      </c>
      <c r="BQ59" s="21">
        <f>EXP(-LN(2)/25)*BQ58+(1-EXP(-LN(2)/25))/(LN(2)/25)*Calculateur!BL59*Calculateur!BN59*VLOOKUP('Données projet'!$B$11,Paramètres!$A$1:$I$89,3,0)*0.475*44/12</f>
        <v>22.072583904636375</v>
      </c>
      <c r="BR59" s="21">
        <f>EXP(-LN(2)/2)*BR58+(1-EXP(-LN(2)/2))/(LN(2)/2)*BL59*BO59*VLOOKUP('Données projet'!$B$11,Paramètres!$A$1:$I$89,3,0)*0.475*44/12</f>
        <v>5.5856740708940249</v>
      </c>
      <c r="BS59" s="22">
        <f t="shared" si="9"/>
        <v>86.861753166291592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7.3500000000000014</v>
      </c>
      <c r="BY59" s="12">
        <f>IF('Données projet'!$A$114&gt;35,BY58+BX59-CG58,IF(A59&lt;'Données projet'!$A$114,$BV$205^A59,IF(A59='Données projet'!$A$114,'Données projet'!$B$114,BY58+BX59-CG58)))</f>
        <v>236.39999999999984</v>
      </c>
      <c r="BZ59" s="13">
        <f>BY59*VLOOKUP('Données projet'!$B$12,Paramètres!$A$1:$I$89,3,0)*VLOOKUP('Données projet'!$B$12,Paramètres!$A$1:$I$89,5,0)</f>
        <v>135.22079999999991</v>
      </c>
      <c r="CA59" s="13">
        <f t="shared" si="39"/>
        <v>35.199954520451797</v>
      </c>
      <c r="CB59" s="20">
        <f t="shared" si="10"/>
        <v>296.81614745645339</v>
      </c>
      <c r="CC59" s="59">
        <f t="shared" si="11"/>
        <v>590.14948078978671</v>
      </c>
      <c r="CD59" s="59">
        <f ca="1">AVERAGE(OFFSET($CC$3,0,0,'Données projet'!$E$12+1,1))-AVERAGE(OFFSET($H$3,0,0,'Données projet'!$E$12+1,1))</f>
        <v>268.71706840132384</v>
      </c>
      <c r="CE59" s="59">
        <f t="shared" si="40"/>
        <v>199.92519498289477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23.184677856698084</v>
      </c>
      <c r="CL59" s="21">
        <f>EXP(-LN(2)/25)*CL58+(1-EXP(-LN(2)/25))/(LN(2)/25)*Calculateur!CG59*Calculateur!CI59*VLOOKUP('Données projet'!$B$12,Paramètres!$A$1:$I$89,3,0)*0.475*44/12</f>
        <v>12.270100959586641</v>
      </c>
      <c r="CM59" s="21">
        <f>EXP(-LN(2)/2)*CM58+(1-EXP(-LN(2)/2))/(LN(2)/2)*CG59*CJ59*VLOOKUP('Données projet'!$B$12,Paramètres!$A$1:$I$89,3,0)*0.475*44/12</f>
        <v>0.94019926933151277</v>
      </c>
      <c r="CN59" s="22">
        <f t="shared" si="12"/>
        <v>36.394978085616238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8.374198717948719</v>
      </c>
      <c r="N60" s="13">
        <f>IF('Données projet'!$A$36&gt;35,N59+M60-V59,IF(A60&lt;'Données projet'!$A$36,$K$205^A60,IF(A60='Données projet'!$A$36,'Données projet'!$B$36,N59+M60-V59)))</f>
        <v>170.04326923076928</v>
      </c>
      <c r="O60" s="13">
        <f>N60*VLOOKUP('Données projet'!$B$9,Paramètres!$A$1:$I$89,3,0)*VLOOKUP('Données projet'!$B$9,Paramètres!$A$1:$I$89,5,0)</f>
        <v>153.85515000000004</v>
      </c>
      <c r="P60" s="13">
        <f t="shared" si="33"/>
        <v>39.453384193994481</v>
      </c>
      <c r="Q60" s="20">
        <f t="shared" si="53"/>
        <v>336.67903038787375</v>
      </c>
      <c r="R60" s="59">
        <f t="shared" si="0"/>
        <v>630.01236372120707</v>
      </c>
      <c r="S60" s="59">
        <f ca="1">AVERAGE(OFFSET($R$3,0,0,'Données projet'!$E$9+1,1))-AVERAGE(OFFSET($H$3,0,0,'Données projet'!$E$9+1,1))</f>
        <v>384.05928630855732</v>
      </c>
      <c r="T60" s="59">
        <f t="shared" si="34"/>
        <v>279.93992813630513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-1.1368683772161603E-13</v>
      </c>
      <c r="AJ60" s="13">
        <f>AI60*VLOOKUP('Données projet'!$B$10,Paramètres!$A$1:$I$89,3,0)*VLOOKUP('Données projet'!$B$10,Paramètres!$A$1:$I$89,5,0)</f>
        <v>-6.3550942286383367E-14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335.04906256888819</v>
      </c>
      <c r="AO60" s="59">
        <f t="shared" si="36"/>
        <v>440.84111898279554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217.8550237372109</v>
      </c>
      <c r="AV60" s="21">
        <f>EXP(-LN(2)/25)*AV59+(1-EXP(-LN(2)/25))/(LN(2)/25)*Calculateur!AQ60*Calculateur!AS60*VLOOKUP('Données projet'!$B$10,Paramètres!$A$1:$I$89,3,0)*0.475*44/12</f>
        <v>54.500186541418472</v>
      </c>
      <c r="AW60" s="21">
        <f>EXP(-LN(2)/2)*AW59+(1-EXP(-LN(2)/2))/(LN(2)/2)*AQ60*AT60*VLOOKUP('Données projet'!$B$10,Paramètres!$A$1:$I$89,3,0)*0.475*44/12</f>
        <v>17.08065200205623</v>
      </c>
      <c r="AX60" s="21">
        <f t="shared" si="6"/>
        <v>289.43586228068563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14.839560439560453</v>
      </c>
      <c r="BD60" s="12">
        <f>IF('Données projet'!$A$88&gt;35,BD59+BC60-BL59,IF(A60&lt;'Données projet'!$A$88,$BA$205^A60,IF(A60='Données projet'!$A$88,'Données projet'!$B$88,BD59+BC60-BL59)))</f>
        <v>366.67802197802189</v>
      </c>
      <c r="BE60" s="13">
        <f>BD60*VLOOKUP('Données projet'!$B$11,Paramètres!$A$1:$I$89,3,0)*VLOOKUP('Données projet'!$B$11,Paramètres!$A$1:$I$89,5,0)</f>
        <v>162.07168571428571</v>
      </c>
      <c r="BF60" s="13">
        <f t="shared" si="37"/>
        <v>41.309439460778606</v>
      </c>
      <c r="BG60" s="20">
        <f t="shared" si="7"/>
        <v>354.22212634657035</v>
      </c>
      <c r="BH60" s="59">
        <f t="shared" si="8"/>
        <v>647.55545967990361</v>
      </c>
      <c r="BI60" s="59">
        <f ca="1">AVERAGE(OFFSET($BH$3,0,0,'Données projet'!$E$11+1,1))-AVERAGE(OFFSET($H$3,0,0,'Données projet'!$E$11+1,1))</f>
        <v>261.20475283925128</v>
      </c>
      <c r="BJ60" s="59">
        <f t="shared" si="38"/>
        <v>247.06045079522403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58.042550760636807</v>
      </c>
      <c r="BQ60" s="21">
        <f>EXP(-LN(2)/25)*BQ59+(1-EXP(-LN(2)/25))/(LN(2)/25)*Calculateur!BL60*Calculateur!BN60*VLOOKUP('Données projet'!$B$11,Paramètres!$A$1:$I$89,3,0)*0.475*44/12</f>
        <v>21.469007937017352</v>
      </c>
      <c r="BR60" s="21">
        <f>EXP(-LN(2)/2)*BR59+(1-EXP(-LN(2)/2))/(LN(2)/2)*BL60*BO60*VLOOKUP('Données projet'!$B$11,Paramètres!$A$1:$I$89,3,0)*0.475*44/12</f>
        <v>3.9496680130270336</v>
      </c>
      <c r="BS60" s="22">
        <f t="shared" si="9"/>
        <v>83.461226710681188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7.3500000000000014</v>
      </c>
      <c r="BY60" s="12">
        <f>IF('Données projet'!$A$114&gt;35,BY59+BX60-CG59,IF(A60&lt;'Données projet'!$A$114,$BV$205^A60,IF(A60='Données projet'!$A$114,'Données projet'!$B$114,BY59+BX60-CG59)))</f>
        <v>243.74999999999983</v>
      </c>
      <c r="BZ60" s="13">
        <f>BY60*VLOOKUP('Données projet'!$B$12,Paramètres!$A$1:$I$89,3,0)*VLOOKUP('Données projet'!$B$12,Paramètres!$A$1:$I$89,5,0)</f>
        <v>139.42499999999993</v>
      </c>
      <c r="CA60" s="13">
        <f t="shared" si="39"/>
        <v>36.165249534351673</v>
      </c>
      <c r="CB60" s="20">
        <f t="shared" si="10"/>
        <v>305.8196846056623</v>
      </c>
      <c r="CC60" s="59">
        <f t="shared" si="11"/>
        <v>599.15301793899562</v>
      </c>
      <c r="CD60" s="59">
        <f ca="1">AVERAGE(OFFSET($CC$3,0,0,'Données projet'!$E$12+1,1))-AVERAGE(OFFSET($H$3,0,0,'Données projet'!$E$12+1,1))</f>
        <v>268.71706840132384</v>
      </c>
      <c r="CE60" s="59">
        <f t="shared" si="40"/>
        <v>199.92519498289477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22.730040465185393</v>
      </c>
      <c r="CL60" s="21">
        <f>EXP(-LN(2)/25)*CL59+(1-EXP(-LN(2)/25))/(LN(2)/25)*Calculateur!CG60*Calculateur!CI60*VLOOKUP('Données projet'!$B$12,Paramètres!$A$1:$I$89,3,0)*0.475*44/12</f>
        <v>11.934574403590178</v>
      </c>
      <c r="CM60" s="21">
        <f>EXP(-LN(2)/2)*CM59+(1-EXP(-LN(2)/2))/(LN(2)/2)*CG60*CJ60*VLOOKUP('Données projet'!$B$12,Paramètres!$A$1:$I$89,3,0)*0.475*44/12</f>
        <v>0.66482127901094989</v>
      </c>
      <c r="CN60" s="22">
        <f t="shared" si="12"/>
        <v>35.329436147786524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8.374198717948719</v>
      </c>
      <c r="N61" s="13">
        <f>IF('Données projet'!$A$36&gt;35,N60+M61-V60,IF(A61&lt;'Données projet'!$A$36,$K$205^A61,IF(A61='Données projet'!$A$36,'Données projet'!$B$36,N60+M61-V60)))</f>
        <v>178.41746794871801</v>
      </c>
      <c r="O61" s="13">
        <f>N61*VLOOKUP('Données projet'!$B$9,Paramètres!$A$1:$I$89,3,0)*VLOOKUP('Données projet'!$B$9,Paramètres!$A$1:$I$89,5,0)</f>
        <v>161.43212500000007</v>
      </c>
      <c r="P61" s="13">
        <f t="shared" si="33"/>
        <v>41.16536748337429</v>
      </c>
      <c r="Q61" s="20">
        <f t="shared" si="53"/>
        <v>352.85729940854367</v>
      </c>
      <c r="R61" s="59">
        <f t="shared" si="0"/>
        <v>646.19063274187693</v>
      </c>
      <c r="S61" s="59">
        <f ca="1">AVERAGE(OFFSET($R$3,0,0,'Données projet'!$E$9+1,1))-AVERAGE(OFFSET($H$3,0,0,'Données projet'!$E$9+1,1))</f>
        <v>384.05928630855732</v>
      </c>
      <c r="T61" s="59">
        <f t="shared" si="34"/>
        <v>279.93992813630513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-1.1368683772161603E-13</v>
      </c>
      <c r="AJ61" s="13">
        <f>AI61*VLOOKUP('Données projet'!$B$10,Paramètres!$A$1:$I$89,3,0)*VLOOKUP('Données projet'!$B$10,Paramètres!$A$1:$I$89,5,0)</f>
        <v>-6.3550942286383367E-14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335.04906256888819</v>
      </c>
      <c r="AO61" s="59">
        <f t="shared" si="36"/>
        <v>440.84111898279554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213.58301960016803</v>
      </c>
      <c r="AV61" s="21">
        <f>EXP(-LN(2)/25)*AV60+(1-EXP(-LN(2)/25))/(LN(2)/25)*Calculateur!AQ61*Calculateur!AS61*VLOOKUP('Données projet'!$B$10,Paramètres!$A$1:$I$89,3,0)*0.475*44/12</f>
        <v>53.009876074403138</v>
      </c>
      <c r="AW61" s="21">
        <f>EXP(-LN(2)/2)*AW60+(1-EXP(-LN(2)/2))/(LN(2)/2)*AQ61*AT61*VLOOKUP('Données projet'!$B$10,Paramètres!$A$1:$I$89,3,0)*0.475*44/12</f>
        <v>12.077844857741541</v>
      </c>
      <c r="AX61" s="21">
        <f t="shared" si="6"/>
        <v>278.67074053231272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14.839560439560453</v>
      </c>
      <c r="BD61" s="12">
        <f>IF('Données projet'!$A$88&gt;35,BD60+BC61-BL60,IF(A61&lt;'Données projet'!$A$88,$BA$205^A61,IF(A61='Données projet'!$A$88,'Données projet'!$B$88,BD60+BC61-BL60)))</f>
        <v>381.51758241758233</v>
      </c>
      <c r="BE61" s="13">
        <f>BD61*VLOOKUP('Données projet'!$B$11,Paramètres!$A$1:$I$89,3,0)*VLOOKUP('Données projet'!$B$11,Paramètres!$A$1:$I$89,5,0)</f>
        <v>168.63077142857142</v>
      </c>
      <c r="BF61" s="13">
        <f t="shared" si="37"/>
        <v>42.783217750341748</v>
      </c>
      <c r="BG61" s="20">
        <f t="shared" si="7"/>
        <v>368.2126978199405</v>
      </c>
      <c r="BH61" s="59">
        <f t="shared" si="8"/>
        <v>661.54603115327382</v>
      </c>
      <c r="BI61" s="59">
        <f ca="1">AVERAGE(OFFSET($BH$3,0,0,'Données projet'!$E$11+1,1))-AVERAGE(OFFSET($H$3,0,0,'Données projet'!$E$11+1,1))</f>
        <v>261.20475283925128</v>
      </c>
      <c r="BJ61" s="59">
        <f t="shared" si="38"/>
        <v>247.06045079522403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56.904371742680979</v>
      </c>
      <c r="BQ61" s="21">
        <f>EXP(-LN(2)/25)*BQ60+(1-EXP(-LN(2)/25))/(LN(2)/25)*Calculateur!BL61*Calculateur!BN61*VLOOKUP('Données projet'!$B$11,Paramètres!$A$1:$I$89,3,0)*0.475*44/12</f>
        <v>20.881936785973554</v>
      </c>
      <c r="BR61" s="21">
        <f>EXP(-LN(2)/2)*BR60+(1-EXP(-LN(2)/2))/(LN(2)/2)*BL61*BO61*VLOOKUP('Données projet'!$B$11,Paramètres!$A$1:$I$89,3,0)*0.475*44/12</f>
        <v>2.7928370354470129</v>
      </c>
      <c r="BS61" s="22">
        <f t="shared" si="9"/>
        <v>80.579145564101538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7.3500000000000014</v>
      </c>
      <c r="BY61" s="12">
        <f>IF('Données projet'!$A$114&gt;35,BY60+BX61-CG60,IF(A61&lt;'Données projet'!$A$114,$BV$205^A61,IF(A61='Données projet'!$A$114,'Données projet'!$B$114,BY60+BX61-CG60)))</f>
        <v>251.09999999999982</v>
      </c>
      <c r="BZ61" s="13">
        <f>BY61*VLOOKUP('Données projet'!$B$12,Paramètres!$A$1:$I$89,3,0)*VLOOKUP('Données projet'!$B$12,Paramètres!$A$1:$I$89,5,0)</f>
        <v>143.62919999999991</v>
      </c>
      <c r="CA61" s="13">
        <f t="shared" si="39"/>
        <v>37.127161849234348</v>
      </c>
      <c r="CB61" s="20">
        <f t="shared" si="10"/>
        <v>314.81733022074962</v>
      </c>
      <c r="CC61" s="59">
        <f t="shared" si="11"/>
        <v>608.15066355408294</v>
      </c>
      <c r="CD61" s="59">
        <f ca="1">AVERAGE(OFFSET($CC$3,0,0,'Données projet'!$E$12+1,1))-AVERAGE(OFFSET($H$3,0,0,'Données projet'!$E$12+1,1))</f>
        <v>268.71706840132384</v>
      </c>
      <c r="CE61" s="59">
        <f t="shared" si="40"/>
        <v>199.92519498289477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22.284318235618841</v>
      </c>
      <c r="CL61" s="21">
        <f>EXP(-LN(2)/25)*CL60+(1-EXP(-LN(2)/25))/(LN(2)/25)*Calculateur!CG61*Calculateur!CI61*VLOOKUP('Données projet'!$B$12,Paramètres!$A$1:$I$89,3,0)*0.475*44/12</f>
        <v>11.608222838912013</v>
      </c>
      <c r="CM61" s="21">
        <f>EXP(-LN(2)/2)*CM60+(1-EXP(-LN(2)/2))/(LN(2)/2)*CG61*CJ61*VLOOKUP('Données projet'!$B$12,Paramètres!$A$1:$I$89,3,0)*0.475*44/12</f>
        <v>0.47009963466575644</v>
      </c>
      <c r="CN61" s="22">
        <f t="shared" si="12"/>
        <v>34.362640709196612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8.374198717948719</v>
      </c>
      <c r="N62" s="13">
        <f>IF('Données projet'!$A$36&gt;35,N61+M62-V61,IF(A62&lt;'Données projet'!$A$36,$K$205^A62,IF(A62='Données projet'!$A$36,'Données projet'!$B$36,N61+M62-V61)))</f>
        <v>186.79166666666674</v>
      </c>
      <c r="O62" s="13">
        <f>N62*VLOOKUP('Données projet'!$B$9,Paramètres!$A$1:$I$89,3,0)*VLOOKUP('Données projet'!$B$9,Paramètres!$A$1:$I$89,5,0)</f>
        <v>169.00910000000005</v>
      </c>
      <c r="P62" s="13">
        <f t="shared" si="33"/>
        <v>42.868019497909927</v>
      </c>
      <c r="Q62" s="20">
        <f t="shared" si="53"/>
        <v>369.01931645885981</v>
      </c>
      <c r="R62" s="59">
        <f t="shared" si="0"/>
        <v>662.35264979219312</v>
      </c>
      <c r="S62" s="59">
        <f ca="1">AVERAGE(OFFSET($R$3,0,0,'Données projet'!$E$9+1,1))-AVERAGE(OFFSET($H$3,0,0,'Données projet'!$E$9+1,1))</f>
        <v>384.05928630855732</v>
      </c>
      <c r="T62" s="59">
        <f t="shared" si="34"/>
        <v>279.93992813630513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-1.1368683772161603E-13</v>
      </c>
      <c r="AJ62" s="13">
        <f>AI62*VLOOKUP('Données projet'!$B$10,Paramètres!$A$1:$I$89,3,0)*VLOOKUP('Données projet'!$B$10,Paramètres!$A$1:$I$89,5,0)</f>
        <v>-6.3550942286383367E-14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335.04906256888819</v>
      </c>
      <c r="AO62" s="59">
        <f t="shared" si="36"/>
        <v>440.84111898279554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209.39478685858731</v>
      </c>
      <c r="AV62" s="21">
        <f>EXP(-LN(2)/25)*AV61+(1-EXP(-LN(2)/25))/(LN(2)/25)*Calculateur!AQ62*Calculateur!AS62*VLOOKUP('Données projet'!$B$10,Paramètres!$A$1:$I$89,3,0)*0.475*44/12</f>
        <v>51.560318225480358</v>
      </c>
      <c r="AW62" s="21">
        <f>EXP(-LN(2)/2)*AW61+(1-EXP(-LN(2)/2))/(LN(2)/2)*AQ62*AT62*VLOOKUP('Données projet'!$B$10,Paramètres!$A$1:$I$89,3,0)*0.475*44/12</f>
        <v>8.5403260010281166</v>
      </c>
      <c r="AX62" s="21">
        <f t="shared" si="6"/>
        <v>269.49543108509579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14.839560439560453</v>
      </c>
      <c r="BD62" s="12">
        <f>IF('Données projet'!$A$88&gt;35,BD61+BC62-BL61,IF(A62&lt;'Données projet'!$A$88,$BA$205^A62,IF(A62='Données projet'!$A$88,'Données projet'!$B$88,BD61+BC62-BL61)))</f>
        <v>396.35714285714278</v>
      </c>
      <c r="BE62" s="13">
        <f>BD62*VLOOKUP('Données projet'!$B$11,Paramètres!$A$1:$I$89,3,0)*VLOOKUP('Données projet'!$B$11,Paramètres!$A$1:$I$89,5,0)</f>
        <v>175.18985714285714</v>
      </c>
      <c r="BF62" s="13">
        <f t="shared" si="37"/>
        <v>44.250336802068873</v>
      </c>
      <c r="BG62" s="20">
        <f t="shared" si="7"/>
        <v>382.19167112074615</v>
      </c>
      <c r="BH62" s="59">
        <f t="shared" si="8"/>
        <v>675.52500445407941</v>
      </c>
      <c r="BI62" s="59">
        <f ca="1">AVERAGE(OFFSET($BH$3,0,0,'Données projet'!$E$11+1,1))-AVERAGE(OFFSET($H$3,0,0,'Données projet'!$E$11+1,1))</f>
        <v>261.20475283925128</v>
      </c>
      <c r="BJ62" s="59">
        <f t="shared" si="38"/>
        <v>247.06045079522403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55.788511721046618</v>
      </c>
      <c r="BQ62" s="21">
        <f>EXP(-LN(2)/25)*BQ61+(1-EXP(-LN(2)/25))/(LN(2)/25)*Calculateur!BL62*Calculateur!BN62*VLOOKUP('Données projet'!$B$11,Paramètres!$A$1:$I$89,3,0)*0.475*44/12</f>
        <v>20.310919126427777</v>
      </c>
      <c r="BR62" s="21">
        <f>EXP(-LN(2)/2)*BR61+(1-EXP(-LN(2)/2))/(LN(2)/2)*BL62*BO62*VLOOKUP('Données projet'!$B$11,Paramètres!$A$1:$I$89,3,0)*0.475*44/12</f>
        <v>1.9748340065135173</v>
      </c>
      <c r="BS62" s="22">
        <f t="shared" si="9"/>
        <v>78.074264853987913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7.3500000000000014</v>
      </c>
      <c r="BY62" s="12">
        <f>IF('Données projet'!$A$114&gt;35,BY61+BX62-CG61,IF(A62&lt;'Données projet'!$A$114,$BV$205^A62,IF(A62='Données projet'!$A$114,'Données projet'!$B$114,BY61+BX62-CG61)))</f>
        <v>258.44999999999982</v>
      </c>
      <c r="BZ62" s="13">
        <f>BY62*VLOOKUP('Données projet'!$B$12,Paramètres!$A$1:$I$89,3,0)*VLOOKUP('Données projet'!$B$12,Paramètres!$A$1:$I$89,5,0)</f>
        <v>147.8333999999999</v>
      </c>
      <c r="CA62" s="13">
        <f t="shared" si="39"/>
        <v>38.085801850059049</v>
      </c>
      <c r="CB62" s="20">
        <f t="shared" si="10"/>
        <v>323.80927655551932</v>
      </c>
      <c r="CC62" s="59">
        <f t="shared" si="11"/>
        <v>617.14260988885258</v>
      </c>
      <c r="CD62" s="59">
        <f ca="1">AVERAGE(OFFSET($CC$3,0,0,'Données projet'!$E$12+1,1))-AVERAGE(OFFSET($H$3,0,0,'Données projet'!$E$12+1,1))</f>
        <v>268.71706840132384</v>
      </c>
      <c r="CE62" s="59">
        <f t="shared" si="40"/>
        <v>199.92519498289477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21.847336347110371</v>
      </c>
      <c r="CL62" s="21">
        <f>EXP(-LN(2)/25)*CL61+(1-EXP(-LN(2)/25))/(LN(2)/25)*Calculateur!CG62*Calculateur!CI62*VLOOKUP('Données projet'!$B$12,Paramètres!$A$1:$I$89,3,0)*0.475*44/12</f>
        <v>11.290795374932056</v>
      </c>
      <c r="CM62" s="21">
        <f>EXP(-LN(2)/2)*CM61+(1-EXP(-LN(2)/2))/(LN(2)/2)*CG62*CJ62*VLOOKUP('Données projet'!$B$12,Paramètres!$A$1:$I$89,3,0)*0.475*44/12</f>
        <v>0.332410639505475</v>
      </c>
      <c r="CN62" s="22">
        <f t="shared" si="12"/>
        <v>33.470542361547906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8.374198717948719</v>
      </c>
      <c r="N63" s="13">
        <f>IF('Données projet'!$A$36&gt;35,N62+M63-V62,IF(A63&lt;'Données projet'!$A$36,$K$205^A63,IF(A63='Données projet'!$A$36,'Données projet'!$B$36,N62+M63-V62)))</f>
        <v>195.16586538461547</v>
      </c>
      <c r="O63" s="13">
        <f>N63*VLOOKUP('Données projet'!$B$9,Paramètres!$A$1:$I$89,3,0)*VLOOKUP('Données projet'!$B$9,Paramètres!$A$1:$I$89,5,0)</f>
        <v>176.58607500000008</v>
      </c>
      <c r="P63" s="13">
        <f t="shared" si="33"/>
        <v>44.561806372041367</v>
      </c>
      <c r="Q63" s="20">
        <f t="shared" si="53"/>
        <v>385.16589338963877</v>
      </c>
      <c r="R63" s="59">
        <f t="shared" si="0"/>
        <v>678.49922672297203</v>
      </c>
      <c r="S63" s="59">
        <f ca="1">AVERAGE(OFFSET($R$3,0,0,'Données projet'!$E$9+1,1))-AVERAGE(OFFSET($H$3,0,0,'Données projet'!$E$9+1,1))</f>
        <v>384.05928630855732</v>
      </c>
      <c r="T63" s="59">
        <f t="shared" si="34"/>
        <v>279.93992813630513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-1.1368683772161603E-13</v>
      </c>
      <c r="AJ63" s="13">
        <f>AI63*VLOOKUP('Données projet'!$B$10,Paramètres!$A$1:$I$89,3,0)*VLOOKUP('Données projet'!$B$10,Paramètres!$A$1:$I$89,5,0)</f>
        <v>-6.3550942286383367E-14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335.04906256888819</v>
      </c>
      <c r="AO63" s="59">
        <f t="shared" si="36"/>
        <v>440.84111898279554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205.28868280649928</v>
      </c>
      <c r="AV63" s="21">
        <f>EXP(-LN(2)/25)*AV62+(1-EXP(-LN(2)/25))/(LN(2)/25)*Calculateur!AQ63*Calculateur!AS63*VLOOKUP('Données projet'!$B$10,Paramètres!$A$1:$I$89,3,0)*0.475*44/12</f>
        <v>50.150398612165304</v>
      </c>
      <c r="AW63" s="21">
        <f>EXP(-LN(2)/2)*AW62+(1-EXP(-LN(2)/2))/(LN(2)/2)*AQ63*AT63*VLOOKUP('Données projet'!$B$10,Paramètres!$A$1:$I$89,3,0)*0.475*44/12</f>
        <v>6.0389224288707712</v>
      </c>
      <c r="AX63" s="21">
        <f t="shared" si="6"/>
        <v>261.47800384753538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14.839560439560453</v>
      </c>
      <c r="BD63" s="12">
        <f>IF('Données projet'!$A$88&gt;35,BD62+BC63-BL62,IF(A63&lt;'Données projet'!$A$88,$BA$205^A63,IF(A63='Données projet'!$A$88,'Données projet'!$B$88,BD62+BC63-BL62)))</f>
        <v>411.19670329670322</v>
      </c>
      <c r="BE63" s="13">
        <f>BD63*VLOOKUP('Données projet'!$B$11,Paramètres!$A$1:$I$89,3,0)*VLOOKUP('Données projet'!$B$11,Paramètres!$A$1:$I$89,5,0)</f>
        <v>181.74894285714285</v>
      </c>
      <c r="BF63" s="13">
        <f t="shared" si="37"/>
        <v>45.711074484428558</v>
      </c>
      <c r="BG63" s="20">
        <f t="shared" si="7"/>
        <v>396.1595302032369</v>
      </c>
      <c r="BH63" s="59">
        <f t="shared" si="8"/>
        <v>689.49286353657021</v>
      </c>
      <c r="BI63" s="59">
        <f ca="1">AVERAGE(OFFSET($BH$3,0,0,'Données projet'!$E$11+1,1))-AVERAGE(OFFSET($H$3,0,0,'Données projet'!$E$11+1,1))</f>
        <v>261.20475283925128</v>
      </c>
      <c r="BJ63" s="59">
        <f t="shared" si="38"/>
        <v>247.06045079522403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54.694533033829096</v>
      </c>
      <c r="BQ63" s="21">
        <f>EXP(-LN(2)/25)*BQ62+(1-EXP(-LN(2)/25))/(LN(2)/25)*Calculateur!BL63*Calculateur!BN63*VLOOKUP('Données projet'!$B$11,Paramètres!$A$1:$I$89,3,0)*0.475*44/12</f>
        <v>19.755515974810795</v>
      </c>
      <c r="BR63" s="21">
        <f>EXP(-LN(2)/2)*BR62+(1-EXP(-LN(2)/2))/(LN(2)/2)*BL63*BO63*VLOOKUP('Données projet'!$B$11,Paramètres!$A$1:$I$89,3,0)*0.475*44/12</f>
        <v>1.3964185177235067</v>
      </c>
      <c r="BS63" s="22">
        <f t="shared" si="9"/>
        <v>75.846467526363398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265.8</v>
      </c>
      <c r="BW63" s="12">
        <f>VLOOKUP(A63,'Données projet'!$A$113:$I$133,9,0)</f>
        <v>7.3500000000000014</v>
      </c>
      <c r="BX63" s="12">
        <f t="array" ref="BX63">INDEX(BW:BW,MIN(IF(ISNUMBER(BW63:BW259),ROW(BW63:BW259),"")))</f>
        <v>7.3500000000000014</v>
      </c>
      <c r="BY63" s="12">
        <f>IF('Données projet'!$A$114&gt;35,BY62+BX63-CG62,IF(A63&lt;'Données projet'!$A$114,$BV$205^A63,IF(A63='Données projet'!$A$114,'Données projet'!$B$114,BY62+BX63-CG62)))</f>
        <v>265.79999999999984</v>
      </c>
      <c r="BZ63" s="13">
        <f>BY63*VLOOKUP('Données projet'!$B$12,Paramètres!$A$1:$I$89,3,0)*VLOOKUP('Données projet'!$B$12,Paramètres!$A$1:$I$89,5,0)</f>
        <v>152.03759999999991</v>
      </c>
      <c r="CA63" s="13">
        <f t="shared" si="39"/>
        <v>39.041273286234279</v>
      </c>
      <c r="CB63" s="20">
        <f t="shared" si="10"/>
        <v>332.79570430685789</v>
      </c>
      <c r="CC63" s="59">
        <f t="shared" si="11"/>
        <v>626.1290376401912</v>
      </c>
      <c r="CD63" s="59">
        <f ca="1">AVERAGE(OFFSET($CC$3,0,0,'Données projet'!$E$12+1,1))-AVERAGE(OFFSET($H$3,0,0,'Données projet'!$E$12+1,1))</f>
        <v>268.71706840132384</v>
      </c>
      <c r="CE63" s="59">
        <f t="shared" si="40"/>
        <v>199.92519498289477</v>
      </c>
      <c r="CF63" s="15">
        <f>IF(ISNA(VLOOKUP(A63,'Données projet'!$A$113:$I$133,3,0)),0,VLOOKUP(A63,'Données projet'!$A$113:$I$133,3,0))</f>
        <v>6</v>
      </c>
      <c r="CG63" s="15">
        <f>IF(ISNA(VLOOKUP(A63,'Données projet'!$A$113:$I$133,4,0)),0,VLOOKUP(A63,'Données projet'!$A$113:$I$133,4,0))</f>
        <v>37.1</v>
      </c>
      <c r="CH63" s="16">
        <f>IF(ISNA(VLOOKUP(A63,'Données projet'!$A$113:$I$133,5,0)),0%,VLOOKUP(A63,'Données projet'!$A$113:$I$133,5,0)*VLOOKUP('Données projet'!$B$12,Paramètres!$A$1:$I$89,7,0))</f>
        <v>0.315</v>
      </c>
      <c r="CI63" s="16">
        <f>IF(ISNA(VLOOKUP(A63,'Données projet'!$A$113:$I$133,6,0)),0%,VLOOKUP(A63,'Données projet'!$A$113:$I$133,6,0)*VLOOKUP('Données projet'!$B$12,Paramètres!$A$1:$I$89,7,0))</f>
        <v>7.6500000000000012E-2</v>
      </c>
      <c r="CJ63" s="16">
        <f>IF(ISNA(VLOOKUP(A63,'Données projet'!$A$113:$I$133,7,0)),0%,VLOOKUP(A63,'Données projet'!$A$113:$I$133,7,0))</f>
        <v>0.13</v>
      </c>
      <c r="CK63" s="21">
        <f>EXP(-LN(2)/35)*CK62+(1-EXP(-LN(2)/35))/(LN(2)/35)*CG63*CH63*VLOOKUP('Données projet'!$B$12,Paramètres!$A$1:$I$89,3,0)*0.475*44/12</f>
        <v>30.286579637761594</v>
      </c>
      <c r="CL63" s="21">
        <f>EXP(-LN(2)/25)*CL62+(1-EXP(-LN(2)/25))/(LN(2)/25)*Calculateur!CG63*Calculateur!CI63*VLOOKUP('Données projet'!$B$12,Paramètres!$A$1:$I$89,3,0)*0.475*44/12</f>
        <v>13.127142197653267</v>
      </c>
      <c r="CM63" s="21">
        <f>EXP(-LN(2)/2)*CM62+(1-EXP(-LN(2)/2))/(LN(2)/2)*CG63*CJ63*VLOOKUP('Données projet'!$B$12,Paramètres!$A$1:$I$89,3,0)*0.475*44/12</f>
        <v>3.3586024615278016</v>
      </c>
      <c r="CN63" s="22">
        <f t="shared" si="12"/>
        <v>46.772324296942664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8.374198717948719</v>
      </c>
      <c r="N64" s="13">
        <f>IF('Données projet'!$A$36&gt;35,N63+M64-V63,IF(A64&lt;'Données projet'!$A$36,$K$205^A64,IF(A64='Données projet'!$A$36,'Données projet'!$B$36,N63+M64-V63)))</f>
        <v>203.5400641025642</v>
      </c>
      <c r="O64" s="13">
        <f>N64*VLOOKUP('Données projet'!$B$9,Paramètres!$A$1:$I$89,3,0)*VLOOKUP('Données projet'!$B$9,Paramètres!$A$1:$I$89,5,0)</f>
        <v>184.16305000000008</v>
      </c>
      <c r="P64" s="13">
        <f t="shared" si="33"/>
        <v>46.247151975893182</v>
      </c>
      <c r="Q64" s="20">
        <f t="shared" si="53"/>
        <v>401.29776844134739</v>
      </c>
      <c r="R64" s="59">
        <f t="shared" si="0"/>
        <v>694.6311017746807</v>
      </c>
      <c r="S64" s="59">
        <f ca="1">AVERAGE(OFFSET($R$3,0,0,'Données projet'!$E$9+1,1))-AVERAGE(OFFSET($H$3,0,0,'Données projet'!$E$9+1,1))</f>
        <v>384.05928630855732</v>
      </c>
      <c r="T64" s="59">
        <f t="shared" si="34"/>
        <v>279.93992813630513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-1.1368683772161603E-13</v>
      </c>
      <c r="AJ64" s="13">
        <f>AI64*VLOOKUP('Données projet'!$B$10,Paramètres!$A$1:$I$89,3,0)*VLOOKUP('Données projet'!$B$10,Paramètres!$A$1:$I$89,5,0)</f>
        <v>-6.3550942286383367E-14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335.04906256888819</v>
      </c>
      <c r="AO64" s="59">
        <f t="shared" si="36"/>
        <v>440.84111898279554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201.26309695039652</v>
      </c>
      <c r="AV64" s="21">
        <f>EXP(-LN(2)/25)*AV63+(1-EXP(-LN(2)/25))/(LN(2)/25)*Calculateur!AQ64*Calculateur!AS64*VLOOKUP('Données projet'!$B$10,Paramètres!$A$1:$I$89,3,0)*0.475*44/12</f>
        <v>48.779033324820801</v>
      </c>
      <c r="AW64" s="21">
        <f>EXP(-LN(2)/2)*AW63+(1-EXP(-LN(2)/2))/(LN(2)/2)*AQ64*AT64*VLOOKUP('Données projet'!$B$10,Paramètres!$A$1:$I$89,3,0)*0.475*44/12</f>
        <v>4.2701630005140592</v>
      </c>
      <c r="AX64" s="21">
        <f t="shared" si="6"/>
        <v>254.31229327573138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14.839560439560453</v>
      </c>
      <c r="BD64" s="12">
        <f>IF('Données projet'!$A$88&gt;35,BD63+BC64-BL63,IF(A64&lt;'Données projet'!$A$88,$BA$205^A64,IF(A64='Données projet'!$A$88,'Données projet'!$B$88,BD63+BC64-BL63)))</f>
        <v>426.03626373626366</v>
      </c>
      <c r="BE64" s="13">
        <f>BD64*VLOOKUP('Données projet'!$B$11,Paramètres!$A$1:$I$89,3,0)*VLOOKUP('Données projet'!$B$11,Paramètres!$A$1:$I$89,5,0)</f>
        <v>188.30802857142857</v>
      </c>
      <c r="BF64" s="13">
        <f t="shared" si="37"/>
        <v>47.165687473293119</v>
      </c>
      <c r="BG64" s="20">
        <f t="shared" si="7"/>
        <v>410.11672211122362</v>
      </c>
      <c r="BH64" s="59">
        <f t="shared" si="8"/>
        <v>703.45005544455694</v>
      </c>
      <c r="BI64" s="59">
        <f ca="1">AVERAGE(OFFSET($BH$3,0,0,'Données projet'!$E$11+1,1))-AVERAGE(OFFSET($H$3,0,0,'Données projet'!$E$11+1,1))</f>
        <v>261.20475283925128</v>
      </c>
      <c r="BJ64" s="59">
        <f t="shared" si="38"/>
        <v>247.06045079522403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53.622006601406795</v>
      </c>
      <c r="BQ64" s="21">
        <f>EXP(-LN(2)/25)*BQ63+(1-EXP(-LN(2)/25))/(LN(2)/25)*Calculateur!BL64*Calculateur!BN64*VLOOKUP('Données projet'!$B$11,Paramètres!$A$1:$I$89,3,0)*0.475*44/12</f>
        <v>19.215300351582162</v>
      </c>
      <c r="BR64" s="21">
        <f>EXP(-LN(2)/2)*BR63+(1-EXP(-LN(2)/2))/(LN(2)/2)*BL64*BO64*VLOOKUP('Données projet'!$B$11,Paramètres!$A$1:$I$89,3,0)*0.475*44/12</f>
        <v>0.98741700325675874</v>
      </c>
      <c r="BS64" s="22">
        <f t="shared" si="9"/>
        <v>73.824723956245705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6.4599999999999991</v>
      </c>
      <c r="BY64" s="12">
        <f>IF('Données projet'!$A$114&gt;35,BY63+BX64-CG63,IF(A64&lt;'Données projet'!$A$114,$BV$205^A64,IF(A64='Données projet'!$A$114,'Données projet'!$B$114,BY63+BX64-CG63)))</f>
        <v>235.15999999999983</v>
      </c>
      <c r="BZ64" s="13">
        <f>BY64*VLOOKUP('Données projet'!$B$12,Paramètres!$A$1:$I$89,3,0)*VLOOKUP('Données projet'!$B$12,Paramètres!$A$1:$I$89,5,0)</f>
        <v>134.5115199999999</v>
      </c>
      <c r="CA64" s="13">
        <f t="shared" si="39"/>
        <v>35.036760274187806</v>
      </c>
      <c r="CB64" s="20">
        <f t="shared" si="10"/>
        <v>295.29658814421026</v>
      </c>
      <c r="CC64" s="59">
        <f t="shared" si="11"/>
        <v>588.62992147754358</v>
      </c>
      <c r="CD64" s="59">
        <f ca="1">AVERAGE(OFFSET($CC$3,0,0,'Données projet'!$E$12+1,1))-AVERAGE(OFFSET($H$3,0,0,'Données projet'!$E$12+1,1))</f>
        <v>268.71706840132384</v>
      </c>
      <c r="CE64" s="59">
        <f t="shared" si="40"/>
        <v>199.92519498289477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29.692678284054612</v>
      </c>
      <c r="CL64" s="21">
        <f>EXP(-LN(2)/25)*CL63+(1-EXP(-LN(2)/25))/(LN(2)/25)*Calculateur!CG64*Calculateur!CI64*VLOOKUP('Données projet'!$B$12,Paramètres!$A$1:$I$89,3,0)*0.475*44/12</f>
        <v>12.768179803932034</v>
      </c>
      <c r="CM64" s="21">
        <f>EXP(-LN(2)/2)*CM63+(1-EXP(-LN(2)/2))/(LN(2)/2)*CG64*CJ64*VLOOKUP('Données projet'!$B$12,Paramètres!$A$1:$I$89,3,0)*0.475*44/12</f>
        <v>2.3748905758561394</v>
      </c>
      <c r="CN64" s="22">
        <f t="shared" si="12"/>
        <v>44.835748663842786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8.374198717948719</v>
      </c>
      <c r="N65" s="13">
        <f>IF('Données projet'!$A$36&gt;35,N64+M65-V64,IF(A65&lt;'Données projet'!$A$36,$K$205^A65,IF(A65='Données projet'!$A$36,'Données projet'!$B$36,N64+M65-V64)))</f>
        <v>211.91426282051293</v>
      </c>
      <c r="O65" s="13">
        <f>N65*VLOOKUP('Données projet'!$B$9,Paramètres!$A$1:$I$89,3,0)*VLOOKUP('Données projet'!$B$9,Paramètres!$A$1:$I$89,5,0)</f>
        <v>191.74002500000009</v>
      </c>
      <c r="P65" s="13">
        <f t="shared" si="33"/>
        <v>47.924443327659169</v>
      </c>
      <c r="Q65" s="20">
        <f t="shared" si="53"/>
        <v>417.41561567067316</v>
      </c>
      <c r="R65" s="59">
        <f t="shared" si="0"/>
        <v>710.74894900400648</v>
      </c>
      <c r="S65" s="59">
        <f ca="1">AVERAGE(OFFSET($R$3,0,0,'Données projet'!$E$9+1,1))-AVERAGE(OFFSET($H$3,0,0,'Données projet'!$E$9+1,1))</f>
        <v>384.05928630855732</v>
      </c>
      <c r="T65" s="59">
        <f t="shared" si="34"/>
        <v>279.93992813630513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-1.1368683772161603E-13</v>
      </c>
      <c r="AJ65" s="13">
        <f>AI65*VLOOKUP('Données projet'!$B$10,Paramètres!$A$1:$I$89,3,0)*VLOOKUP('Données projet'!$B$10,Paramètres!$A$1:$I$89,5,0)</f>
        <v>-6.3550942286383367E-14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335.04906256888819</v>
      </c>
      <c r="AO65" s="59">
        <f t="shared" si="36"/>
        <v>440.84111898279554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197.31645037756701</v>
      </c>
      <c r="AV65" s="21">
        <f>EXP(-LN(2)/25)*AV64+(1-EXP(-LN(2)/25))/(LN(2)/25)*Calculateur!AQ65*Calculateur!AS65*VLOOKUP('Données projet'!$B$10,Paramètres!$A$1:$I$89,3,0)*0.475*44/12</f>
        <v>47.445168093375699</v>
      </c>
      <c r="AW65" s="21">
        <f>EXP(-LN(2)/2)*AW64+(1-EXP(-LN(2)/2))/(LN(2)/2)*AQ65*AT65*VLOOKUP('Données projet'!$B$10,Paramètres!$A$1:$I$89,3,0)*0.475*44/12</f>
        <v>3.0194612144353861</v>
      </c>
      <c r="AX65" s="21">
        <f t="shared" si="6"/>
        <v>247.7810796853781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14.839560439560453</v>
      </c>
      <c r="BD65" s="12">
        <f>IF('Données projet'!$A$88&gt;35,BD64+BC65-BL64,IF(A65&lt;'Données projet'!$A$88,$BA$205^A65,IF(A65='Données projet'!$A$88,'Données projet'!$B$88,BD64+BC65-BL64)))</f>
        <v>440.87582417582411</v>
      </c>
      <c r="BE65" s="13">
        <f>BD65*VLOOKUP('Données projet'!$B$11,Paramètres!$A$1:$I$89,3,0)*VLOOKUP('Données projet'!$B$11,Paramètres!$A$1:$I$89,5,0)</f>
        <v>194.86711428571428</v>
      </c>
      <c r="BF65" s="13">
        <f t="shared" si="37"/>
        <v>48.614413549630321</v>
      </c>
      <c r="BG65" s="20">
        <f t="shared" si="7"/>
        <v>424.06366097989184</v>
      </c>
      <c r="BH65" s="59">
        <f t="shared" si="8"/>
        <v>717.39699431322515</v>
      </c>
      <c r="BI65" s="59">
        <f ca="1">AVERAGE(OFFSET($BH$3,0,0,'Données projet'!$E$11+1,1))-AVERAGE(OFFSET($H$3,0,0,'Données projet'!$E$11+1,1))</f>
        <v>261.20475283925128</v>
      </c>
      <c r="BJ65" s="59">
        <f t="shared" si="38"/>
        <v>247.06045079522403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52.570511758147767</v>
      </c>
      <c r="BQ65" s="21">
        <f>EXP(-LN(2)/25)*BQ64+(1-EXP(-LN(2)/25))/(LN(2)/25)*Calculateur!BL65*Calculateur!BN65*VLOOKUP('Données projet'!$B$11,Paramètres!$A$1:$I$89,3,0)*0.475*44/12</f>
        <v>18.689856952979419</v>
      </c>
      <c r="BR65" s="21">
        <f>EXP(-LN(2)/2)*BR64+(1-EXP(-LN(2)/2))/(LN(2)/2)*BL65*BO65*VLOOKUP('Données projet'!$B$11,Paramètres!$A$1:$I$89,3,0)*0.475*44/12</f>
        <v>0.69820925886175345</v>
      </c>
      <c r="BS65" s="22">
        <f t="shared" si="9"/>
        <v>71.958577969988937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6.4599999999999991</v>
      </c>
      <c r="BY65" s="12">
        <f>IF('Données projet'!$A$114&gt;35,BY64+BX65-CG64,IF(A65&lt;'Données projet'!$A$114,$BV$205^A65,IF(A65='Données projet'!$A$114,'Données projet'!$B$114,BY64+BX65-CG64)))</f>
        <v>241.61999999999983</v>
      </c>
      <c r="BZ65" s="13">
        <f>BY65*VLOOKUP('Données projet'!$B$12,Paramètres!$A$1:$I$89,3,0)*VLOOKUP('Données projet'!$B$12,Paramètres!$A$1:$I$89,5,0)</f>
        <v>138.20663999999991</v>
      </c>
      <c r="CA65" s="13">
        <f t="shared" si="39"/>
        <v>35.885864145309007</v>
      </c>
      <c r="CB65" s="20">
        <f t="shared" si="10"/>
        <v>303.21111138641299</v>
      </c>
      <c r="CC65" s="59">
        <f t="shared" si="11"/>
        <v>596.54444471974625</v>
      </c>
      <c r="CD65" s="59">
        <f ca="1">AVERAGE(OFFSET($CC$3,0,0,'Données projet'!$E$12+1,1))-AVERAGE(OFFSET($H$3,0,0,'Données projet'!$E$12+1,1))</f>
        <v>268.71706840132384</v>
      </c>
      <c r="CE65" s="59">
        <f t="shared" si="40"/>
        <v>199.92519498289477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29.110422973649765</v>
      </c>
      <c r="CL65" s="21">
        <f>EXP(-LN(2)/25)*CL64+(1-EXP(-LN(2)/25))/(LN(2)/25)*Calculateur!CG65*Calculateur!CI65*VLOOKUP('Données projet'!$B$12,Paramètres!$A$1:$I$89,3,0)*0.475*44/12</f>
        <v>12.419033255744118</v>
      </c>
      <c r="CM65" s="21">
        <f>EXP(-LN(2)/2)*CM64+(1-EXP(-LN(2)/2))/(LN(2)/2)*CG65*CJ65*VLOOKUP('Données projet'!$B$12,Paramètres!$A$1:$I$89,3,0)*0.475*44/12</f>
        <v>1.679301230763901</v>
      </c>
      <c r="CN65" s="22">
        <f t="shared" si="12"/>
        <v>43.208757460157784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220.28846153846152</v>
      </c>
      <c r="L66" s="12">
        <f>VLOOKUP(A66,'Données projet'!$A$35:$I$55,9,0)</f>
        <v>8.374198717948719</v>
      </c>
      <c r="M66" s="12">
        <f t="array" ref="M66">INDEX(L:L,MIN(IF(ISNUMBER(L66:L262),ROW(L66:L262),"")))</f>
        <v>8.374198717948719</v>
      </c>
      <c r="N66" s="13">
        <f>IF('Données projet'!$A$36&gt;35,N65+M66-V65,IF(A66&lt;'Données projet'!$A$36,$K$205^A66,IF(A66='Données projet'!$A$36,'Données projet'!$B$36,N65+M66-V65)))</f>
        <v>220.28846153846166</v>
      </c>
      <c r="O66" s="13">
        <f>N66*VLOOKUP('Données projet'!$B$9,Paramètres!$A$1:$I$89,3,0)*VLOOKUP('Données projet'!$B$9,Paramètres!$A$1:$I$89,5,0)</f>
        <v>199.31700000000009</v>
      </c>
      <c r="P66" s="13">
        <f t="shared" si="33"/>
        <v>49.594035126387503</v>
      </c>
      <c r="Q66" s="20">
        <f t="shared" si="53"/>
        <v>433.52005284512506</v>
      </c>
      <c r="R66" s="59">
        <f t="shared" si="0"/>
        <v>726.85338617845832</v>
      </c>
      <c r="S66" s="59">
        <f ca="1">AVERAGE(OFFSET($R$3,0,0,'Données projet'!$E$9+1,1))-AVERAGE(OFFSET($H$3,0,0,'Données projet'!$E$9+1,1))</f>
        <v>384.05928630855732</v>
      </c>
      <c r="T66" s="59">
        <f t="shared" si="34"/>
        <v>279.93992813630513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41.724358974358978</v>
      </c>
      <c r="W66" s="16">
        <f>IF(ISNA(VLOOKUP(A66,'Données projet'!$A$35:$I$55,5,0)),0%,VLOOKUP(A66,'Données projet'!$A$35:$I$55,5,0)*VLOOKUP('Données projet'!$B$9,Paramètres!$A$1:$I$89,7,0))</f>
        <v>0.30099999999999999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12.561915597523354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12.561915597523354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-1.1368683772161603E-13</v>
      </c>
      <c r="AJ66" s="13">
        <f>AI66*VLOOKUP('Données projet'!$B$10,Paramètres!$A$1:$I$89,3,0)*VLOOKUP('Données projet'!$B$10,Paramètres!$A$1:$I$89,5,0)</f>
        <v>-6.3550942286383367E-14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335.04906256888819</v>
      </c>
      <c r="AO66" s="59">
        <f t="shared" si="36"/>
        <v>440.84111898279554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193.44719513681397</v>
      </c>
      <c r="AV66" s="21">
        <f>EXP(-LN(2)/25)*AV65+(1-EXP(-LN(2)/25))/(LN(2)/25)*Calculateur!AQ66*Calculateur!AS66*VLOOKUP('Données projet'!$B$10,Paramètres!$A$1:$I$89,3,0)*0.475*44/12</f>
        <v>46.14777747682939</v>
      </c>
      <c r="AW66" s="21">
        <f>EXP(-LN(2)/2)*AW65+(1-EXP(-LN(2)/2))/(LN(2)/2)*AQ66*AT66*VLOOKUP('Données projet'!$B$10,Paramètres!$A$1:$I$89,3,0)*0.475*44/12</f>
        <v>2.1350815002570296</v>
      </c>
      <c r="AX66" s="21">
        <f t="shared" si="6"/>
        <v>241.73005411390039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455.71538461538466</v>
      </c>
      <c r="BB66" s="12">
        <f>VLOOKUP(A66,'Données projet'!$A$87:$I$107,9,0)</f>
        <v>14.839560439560453</v>
      </c>
      <c r="BC66" s="12">
        <f t="array" ref="BC66">INDEX(BB:BB,MIN(IF(ISNUMBER(BB66:BB262),ROW(BB66:BB262),"")))</f>
        <v>14.839560439560453</v>
      </c>
      <c r="BD66" s="12">
        <f>IF('Données projet'!$A$88&gt;35,BD65+BC66-BL65,IF(A66&lt;'Données projet'!$A$88,$BA$205^A66,IF(A66='Données projet'!$A$88,'Données projet'!$B$88,BD65+BC66-BL65)))</f>
        <v>455.71538461538455</v>
      </c>
      <c r="BE66" s="13">
        <f>BD66*VLOOKUP('Données projet'!$B$11,Paramètres!$A$1:$I$89,3,0)*VLOOKUP('Données projet'!$B$11,Paramètres!$A$1:$I$89,5,0)</f>
        <v>201.42619999999999</v>
      </c>
      <c r="BF66" s="13">
        <f t="shared" si="37"/>
        <v>50.057473579150077</v>
      </c>
      <c r="BG66" s="20">
        <f t="shared" si="7"/>
        <v>438.00073148368637</v>
      </c>
      <c r="BH66" s="59">
        <f t="shared" si="8"/>
        <v>731.33406481701968</v>
      </c>
      <c r="BI66" s="59">
        <f ca="1">AVERAGE(OFFSET($BH$3,0,0,'Données projet'!$E$11+1,1))-AVERAGE(OFFSET($H$3,0,0,'Données projet'!$E$11+1,1))</f>
        <v>261.20475283925128</v>
      </c>
      <c r="BJ66" s="59">
        <f t="shared" si="38"/>
        <v>247.06045079522403</v>
      </c>
      <c r="BK66" s="15">
        <f>IF(ISNA(VLOOKUP(A66,'Données projet'!$A$87:$I$107,3,0)),0,VLOOKUP(A66,'Données projet'!$A$87:$I$107,3,0))</f>
        <v>7</v>
      </c>
      <c r="BL66" s="15">
        <f>IF(ISNA(VLOOKUP(A66,'Données projet'!$A$87:$I$107,4,0)),0,VLOOKUP(A66,'Données projet'!$A$87:$I$107,4,0))</f>
        <v>79.723076923076917</v>
      </c>
      <c r="BM66" s="16">
        <f>IF(ISNA(VLOOKUP(A66,'Données projet'!$A$87:$I$107,5,0)),0%,VLOOKUP(A66,'Données projet'!$A$87:$I$107,5,0)*VLOOKUP('Données projet'!$B$11,Paramètres!$A$1:$I$89,7,0))</f>
        <v>0.38500000000000001</v>
      </c>
      <c r="BN66" s="16">
        <f>IF(ISNA(VLOOKUP(A66,'Données projet'!$A$87:$I$107,6,0)),0%,VLOOKUP(A66,'Données projet'!$A$87:$I$107,6,0)*VLOOKUP('Données projet'!$B$11,Paramètres!$A$1:$I$89,7,0))</f>
        <v>9.240000000000001E-2</v>
      </c>
      <c r="BO66" s="16">
        <f>IF(ISNA(VLOOKUP(A66,'Données projet'!$A$87:$I$107,7,0)),0%,VLOOKUP(A66,'Données projet'!$A$87:$I$107,7,0))</f>
        <v>0.13200000000000001</v>
      </c>
      <c r="BP66" s="21">
        <f>EXP(-LN(2)/35)*BP65+(1-EXP(-LN(2)/35))/(LN(2)/35)*BL66*BM66*VLOOKUP('Données projet'!$B$11,Paramètres!$A$1:$I$89,3,0)*0.475*44/12</f>
        <v>69.536440934590104</v>
      </c>
      <c r="BQ66" s="21">
        <f>EXP(-LN(2)/25)*BQ65+(1-EXP(-LN(2)/25))/(LN(2)/25)*Calculateur!BL66*Calculateur!BN66*VLOOKUP('Données projet'!$B$11,Paramètres!$A$1:$I$89,3,0)*0.475*44/12</f>
        <v>22.481008528344141</v>
      </c>
      <c r="BR66" s="21">
        <f>EXP(-LN(2)/2)*BR65+(1-EXP(-LN(2)/2))/(LN(2)/2)*BL66*BO66*VLOOKUP('Données projet'!$B$11,Paramètres!$A$1:$I$89,3,0)*0.475*44/12</f>
        <v>5.7601321441944346</v>
      </c>
      <c r="BS66" s="22">
        <f t="shared" si="9"/>
        <v>97.777581607128681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6.4599999999999991</v>
      </c>
      <c r="BY66" s="12">
        <f>IF('Données projet'!$A$114&gt;35,BY65+BX66-CG65,IF(A66&lt;'Données projet'!$A$114,$BV$205^A66,IF(A66='Données projet'!$A$114,'Données projet'!$B$114,BY65+BX66-CG65)))</f>
        <v>248.07999999999984</v>
      </c>
      <c r="BZ66" s="13">
        <f>BY66*VLOOKUP('Données projet'!$B$12,Paramètres!$A$1:$I$89,3,0)*VLOOKUP('Données projet'!$B$12,Paramètres!$A$1:$I$89,5,0)</f>
        <v>141.90175999999991</v>
      </c>
      <c r="CA66" s="13">
        <f t="shared" si="39"/>
        <v>36.73232930127304</v>
      </c>
      <c r="CB66" s="20">
        <f t="shared" si="10"/>
        <v>311.12103886638369</v>
      </c>
      <c r="CC66" s="59">
        <f t="shared" si="11"/>
        <v>604.454372199717</v>
      </c>
      <c r="CD66" s="59">
        <f ca="1">AVERAGE(OFFSET($CC$3,0,0,'Données projet'!$E$12+1,1))-AVERAGE(OFFSET($H$3,0,0,'Données projet'!$E$12+1,1))</f>
        <v>268.71706840132384</v>
      </c>
      <c r="CE66" s="59">
        <f t="shared" si="40"/>
        <v>199.92519498289477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28.539585334741286</v>
      </c>
      <c r="CL66" s="21">
        <f>EXP(-LN(2)/25)*CL65+(1-EXP(-LN(2)/25))/(LN(2)/25)*Calculateur!CG66*Calculateur!CI66*VLOOKUP('Données projet'!$B$12,Paramètres!$A$1:$I$89,3,0)*0.475*44/12</f>
        <v>12.07943413827722</v>
      </c>
      <c r="CM66" s="21">
        <f>EXP(-LN(2)/2)*CM65+(1-EXP(-LN(2)/2))/(LN(2)/2)*CG66*CJ66*VLOOKUP('Données projet'!$B$12,Paramètres!$A$1:$I$89,3,0)*0.475*44/12</f>
        <v>1.1874452879280697</v>
      </c>
      <c r="CN66" s="22">
        <f t="shared" si="12"/>
        <v>41.806464760946575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8.1001602564102626</v>
      </c>
      <c r="N67" s="13">
        <f>IF('Données projet'!$A$36&gt;35,N66+M67-V66,IF(A67&lt;'Données projet'!$A$36,$K$205^A67,IF(A67='Données projet'!$A$36,'Données projet'!$B$36,N66+M67-V66)))</f>
        <v>186.66426282051296</v>
      </c>
      <c r="O67" s="13">
        <f>N67*VLOOKUP('Données projet'!$B$9,Paramètres!$A$1:$I$89,3,0)*VLOOKUP('Données projet'!$B$9,Paramètres!$A$1:$I$89,5,0)</f>
        <v>168.89382500000013</v>
      </c>
      <c r="P67" s="13">
        <f t="shared" si="33"/>
        <v>42.842183132845896</v>
      </c>
      <c r="Q67" s="20">
        <f t="shared" ref="Q67:Q98" si="54">(O67+P67)*0.475*44/12</f>
        <v>368.77354749804016</v>
      </c>
      <c r="R67" s="59">
        <f t="shared" ref="R67:R130" si="55">Q67+(I67+J67)*44/12</f>
        <v>662.10688083137347</v>
      </c>
      <c r="S67" s="59">
        <f ca="1">AVERAGE(OFFSET($R$3,0,0,'Données projet'!$E$9+1,1))-AVERAGE(OFFSET($H$3,0,0,'Données projet'!$E$9+1,1))</f>
        <v>384.05928630855732</v>
      </c>
      <c r="T67" s="59">
        <f t="shared" si="34"/>
        <v>279.93992813630513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12.315584094667875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12.315584094667875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-1.1368683772161603E-13</v>
      </c>
      <c r="AJ67" s="13">
        <f>AI67*VLOOKUP('Données projet'!$B$10,Paramètres!$A$1:$I$89,3,0)*VLOOKUP('Données projet'!$B$10,Paramètres!$A$1:$I$89,5,0)</f>
        <v>-6.3550942286383367E-14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335.04906256888819</v>
      </c>
      <c r="AO67" s="59">
        <f t="shared" si="36"/>
        <v>440.84111898279554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189.65381363131942</v>
      </c>
      <c r="AV67" s="21">
        <f>EXP(-LN(2)/25)*AV66+(1-EXP(-LN(2)/25))/(LN(2)/25)*Calculateur!AQ67*Calculateur!AS67*VLOOKUP('Données projet'!$B$10,Paramètres!$A$1:$I$89,3,0)*0.475*44/12</f>
        <v>44.885864074919347</v>
      </c>
      <c r="AW67" s="21">
        <f>EXP(-LN(2)/2)*AW66+(1-EXP(-LN(2)/2))/(LN(2)/2)*AQ67*AT67*VLOOKUP('Données projet'!$B$10,Paramètres!$A$1:$I$89,3,0)*0.475*44/12</f>
        <v>1.509730607217693</v>
      </c>
      <c r="AX67" s="21">
        <f t="shared" si="6"/>
        <v>236.04940831345647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13.296703296703283</v>
      </c>
      <c r="BD67" s="12">
        <f>IF('Données projet'!$A$88&gt;35,BD66+BC67-BL66,IF(A67&lt;'Données projet'!$A$88,$BA$205^A67,IF(A67='Données projet'!$A$88,'Données projet'!$B$88,BD66+BC67-BL66)))</f>
        <v>389.28901098901093</v>
      </c>
      <c r="BE67" s="13">
        <f>BD67*VLOOKUP('Données projet'!$B$11,Paramètres!$A$1:$I$89,3,0)*VLOOKUP('Données projet'!$B$11,Paramètres!$A$1:$I$89,5,0)</f>
        <v>172.06574285714285</v>
      </c>
      <c r="BF67" s="13">
        <f t="shared" si="37"/>
        <v>43.552355539576439</v>
      </c>
      <c r="BG67" s="20">
        <f t="shared" si="7"/>
        <v>375.53485470761944</v>
      </c>
      <c r="BH67" s="59">
        <f t="shared" si="8"/>
        <v>668.86818804095276</v>
      </c>
      <c r="BI67" s="59">
        <f ca="1">AVERAGE(OFFSET($BH$3,0,0,'Données projet'!$E$11+1,1))-AVERAGE(OFFSET($H$3,0,0,'Données projet'!$E$11+1,1))</f>
        <v>261.20475283925128</v>
      </c>
      <c r="BJ67" s="59">
        <f t="shared" si="38"/>
        <v>247.06045079522403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68.172873740903825</v>
      </c>
      <c r="BQ67" s="21">
        <f>EXP(-LN(2)/25)*BQ66+(1-EXP(-LN(2)/25))/(LN(2)/25)*Calculateur!BL67*Calculateur!BN67*VLOOKUP('Données projet'!$B$11,Paramètres!$A$1:$I$89,3,0)*0.475*44/12</f>
        <v>21.866264167911712</v>
      </c>
      <c r="BR67" s="21">
        <f>EXP(-LN(2)/2)*BR66+(1-EXP(-LN(2)/2))/(LN(2)/2)*BL67*BO67*VLOOKUP('Données projet'!$B$11,Paramètres!$A$1:$I$89,3,0)*0.475*44/12</f>
        <v>4.0730284996904933</v>
      </c>
      <c r="BS67" s="22">
        <f t="shared" si="9"/>
        <v>94.112166408506027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6.4599999999999991</v>
      </c>
      <c r="BY67" s="12">
        <f>IF('Données projet'!$A$114&gt;35,BY66+BX67-CG66,IF(A67&lt;'Données projet'!$A$114,$BV$205^A67,IF(A67='Données projet'!$A$114,'Données projet'!$B$114,BY66+BX67-CG66)))</f>
        <v>254.53999999999985</v>
      </c>
      <c r="BZ67" s="13">
        <f>BY67*VLOOKUP('Données projet'!$B$12,Paramètres!$A$1:$I$89,3,0)*VLOOKUP('Données projet'!$B$12,Paramètres!$A$1:$I$89,5,0)</f>
        <v>145.59687999999991</v>
      </c>
      <c r="CA67" s="13">
        <f t="shared" si="39"/>
        <v>37.576232353663229</v>
      </c>
      <c r="CB67" s="20">
        <f t="shared" si="10"/>
        <v>319.02650401596333</v>
      </c>
      <c r="CC67" s="59">
        <f t="shared" si="11"/>
        <v>612.35983734929664</v>
      </c>
      <c r="CD67" s="59">
        <f ca="1">AVERAGE(OFFSET($CC$3,0,0,'Données projet'!$E$12+1,1))-AVERAGE(OFFSET($H$3,0,0,'Données projet'!$E$12+1,1))</f>
        <v>268.71706840132384</v>
      </c>
      <c r="CE67" s="59">
        <f t="shared" si="40"/>
        <v>199.92519498289477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27.979941473755222</v>
      </c>
      <c r="CL67" s="21">
        <f>EXP(-LN(2)/25)*CL66+(1-EXP(-LN(2)/25))/(LN(2)/25)*Calculateur!CG67*Calculateur!CI67*VLOOKUP('Données projet'!$B$12,Paramètres!$A$1:$I$89,3,0)*0.475*44/12</f>
        <v>11.749121376536197</v>
      </c>
      <c r="CM67" s="21">
        <f>EXP(-LN(2)/2)*CM66+(1-EXP(-LN(2)/2))/(LN(2)/2)*CG67*CJ67*VLOOKUP('Données projet'!$B$12,Paramètres!$A$1:$I$89,3,0)*0.475*44/12</f>
        <v>0.83965061538195052</v>
      </c>
      <c r="CN67" s="22">
        <f t="shared" si="12"/>
        <v>40.568713465673369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8.1001602564102626</v>
      </c>
      <c r="N68" s="13">
        <f>IF('Données projet'!$A$36&gt;35,N67+M68-V67,IF(A68&lt;'Données projet'!$A$36,$K$205^A68,IF(A68='Données projet'!$A$36,'Données projet'!$B$36,N67+M68-V67)))</f>
        <v>194.76442307692321</v>
      </c>
      <c r="O68" s="13">
        <f>N68*VLOOKUP('Données projet'!$B$9,Paramètres!$A$1:$I$89,3,0)*VLOOKUP('Données projet'!$B$9,Paramètres!$A$1:$I$89,5,0)</f>
        <v>176.22285000000011</v>
      </c>
      <c r="P68" s="13">
        <f t="shared" si="33"/>
        <v>44.480805480154558</v>
      </c>
      <c r="Q68" s="20">
        <f t="shared" si="54"/>
        <v>384.3921999612694</v>
      </c>
      <c r="R68" s="59">
        <f t="shared" si="55"/>
        <v>677.72553329460266</v>
      </c>
      <c r="S68" s="59">
        <f ca="1">AVERAGE(OFFSET($R$3,0,0,'Données projet'!$E$9+1,1))-AVERAGE(OFFSET($H$3,0,0,'Données projet'!$E$9+1,1))</f>
        <v>384.05928630855732</v>
      </c>
      <c r="T68" s="59">
        <f t="shared" si="34"/>
        <v>279.93992813630513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12.07408300233601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12.07408300233601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-1.1368683772161603E-13</v>
      </c>
      <c r="AJ68" s="13">
        <f>AI68*VLOOKUP('Données projet'!$B$10,Paramètres!$A$1:$I$89,3,0)*VLOOKUP('Données projet'!$B$10,Paramètres!$A$1:$I$89,5,0)</f>
        <v>-6.3550942286383367E-14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335.04906256888819</v>
      </c>
      <c r="AO68" s="59">
        <f t="shared" si="36"/>
        <v>440.84111898279554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185.93481802341336</v>
      </c>
      <c r="AV68" s="21">
        <f>EXP(-LN(2)/25)*AV67+(1-EXP(-LN(2)/25))/(LN(2)/25)*Calculateur!AQ68*Calculateur!AS68*VLOOKUP('Données projet'!$B$10,Paramètres!$A$1:$I$89,3,0)*0.475*44/12</f>
        <v>43.658457761345673</v>
      </c>
      <c r="AW68" s="21">
        <f>EXP(-LN(2)/2)*AW67+(1-EXP(-LN(2)/2))/(LN(2)/2)*AQ68*AT68*VLOOKUP('Données projet'!$B$10,Paramètres!$A$1:$I$89,3,0)*0.475*44/12</f>
        <v>1.0675407501285148</v>
      </c>
      <c r="AX68" s="21">
        <f t="shared" ref="AX68:AX131" si="60">SUM(AU68:AW68)</f>
        <v>230.66081653488754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13.296703296703283</v>
      </c>
      <c r="BD68" s="12">
        <f>IF('Données projet'!$A$88&gt;35,BD67+BC68-BL67,IF(A68&lt;'Données projet'!$A$88,$BA$205^A68,IF(A68='Données projet'!$A$88,'Données projet'!$B$88,BD67+BC68-BL67)))</f>
        <v>402.58571428571423</v>
      </c>
      <c r="BE68" s="13">
        <f>BD68*VLOOKUP('Données projet'!$B$11,Paramètres!$A$1:$I$89,3,0)*VLOOKUP('Données projet'!$B$11,Paramètres!$A$1:$I$89,5,0)</f>
        <v>177.94288571428572</v>
      </c>
      <c r="BF68" s="13">
        <f t="shared" si="37"/>
        <v>44.864210423836944</v>
      </c>
      <c r="BG68" s="20">
        <f t="shared" ref="BG68:BG131" si="61">(BE68+BF68)*0.475*44/12</f>
        <v>388.05569244056363</v>
      </c>
      <c r="BH68" s="59">
        <f t="shared" ref="BH68:BH131" si="62">BG68+(AY68+AZ68)*44/12</f>
        <v>681.38902577389695</v>
      </c>
      <c r="BI68" s="59">
        <f ca="1">AVERAGE(OFFSET($BH$3,0,0,'Données projet'!$E$11+1,1))-AVERAGE(OFFSET($H$3,0,0,'Données projet'!$E$11+1,1))</f>
        <v>261.20475283925128</v>
      </c>
      <c r="BJ68" s="59">
        <f t="shared" si="38"/>
        <v>247.06045079522403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66.836045268191867</v>
      </c>
      <c r="BQ68" s="21">
        <f>EXP(-LN(2)/25)*BQ67+(1-EXP(-LN(2)/25))/(LN(2)/25)*Calculateur!BL68*Calculateur!BN68*VLOOKUP('Données projet'!$B$11,Paramètres!$A$1:$I$89,3,0)*0.475*44/12</f>
        <v>21.26833002434331</v>
      </c>
      <c r="BR68" s="21">
        <f>EXP(-LN(2)/2)*BR67+(1-EXP(-LN(2)/2))/(LN(2)/2)*BL68*BO68*VLOOKUP('Données projet'!$B$11,Paramètres!$A$1:$I$89,3,0)*0.475*44/12</f>
        <v>2.8800660720972178</v>
      </c>
      <c r="BS68" s="22">
        <f t="shared" ref="BS68:BS131" si="63">SUM(BP68:BR68)</f>
        <v>90.984441364632403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6.4599999999999991</v>
      </c>
      <c r="BY68" s="12">
        <f>IF('Données projet'!$A$114&gt;35,BY67+BX68-CG67,IF(A68&lt;'Données projet'!$A$114,$BV$205^A68,IF(A68='Données projet'!$A$114,'Données projet'!$B$114,BY67+BX68-CG67)))</f>
        <v>260.99999999999983</v>
      </c>
      <c r="BZ68" s="13">
        <f>BY68*VLOOKUP('Données projet'!$B$12,Paramètres!$A$1:$I$89,3,0)*VLOOKUP('Données projet'!$B$12,Paramètres!$A$1:$I$89,5,0)</f>
        <v>149.29199999999992</v>
      </c>
      <c r="CA68" s="13">
        <f t="shared" si="39"/>
        <v>38.417645803815411</v>
      </c>
      <c r="CB68" s="20">
        <f t="shared" ref="CB68:CB131" si="64">(BZ68+CA68)*0.475*44/12</f>
        <v>326.92763310831168</v>
      </c>
      <c r="CC68" s="59">
        <f t="shared" ref="CC68:CC131" si="65">CB68+(BT68+BU68)*44/12</f>
        <v>620.260966441645</v>
      </c>
      <c r="CD68" s="59">
        <f ca="1">AVERAGE(OFFSET($CC$3,0,0,'Données projet'!$E$12+1,1))-AVERAGE(OFFSET($H$3,0,0,'Données projet'!$E$12+1,1))</f>
        <v>268.71706840132384</v>
      </c>
      <c r="CE68" s="59">
        <f t="shared" si="40"/>
        <v>199.92519498289477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27.431271887534045</v>
      </c>
      <c r="CL68" s="21">
        <f>EXP(-LN(2)/25)*CL67+(1-EXP(-LN(2)/25))/(LN(2)/25)*Calculateur!CG68*Calculateur!CI68*VLOOKUP('Données projet'!$B$12,Paramètres!$A$1:$I$89,3,0)*0.475*44/12</f>
        <v>11.427841034635374</v>
      </c>
      <c r="CM68" s="21">
        <f>EXP(-LN(2)/2)*CM67+(1-EXP(-LN(2)/2))/(LN(2)/2)*CG68*CJ68*VLOOKUP('Données projet'!$B$12,Paramètres!$A$1:$I$89,3,0)*0.475*44/12</f>
        <v>0.59372264396403485</v>
      </c>
      <c r="CN68" s="22">
        <f t="shared" ref="CN68:CN131" si="66">SUM(CK68:CM68)</f>
        <v>39.452835566133452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8.1001602564102626</v>
      </c>
      <c r="N69" s="13">
        <f>IF('Données projet'!$A$36&gt;35,N68+M69-V68,IF(A69&lt;'Données projet'!$A$36,$K$205^A69,IF(A69='Données projet'!$A$36,'Données projet'!$B$36,N68+M69-V68)))</f>
        <v>202.86458333333348</v>
      </c>
      <c r="O69" s="13">
        <f>N69*VLOOKUP('Données projet'!$B$9,Paramètres!$A$1:$I$89,3,0)*VLOOKUP('Données projet'!$B$9,Paramètres!$A$1:$I$89,5,0)</f>
        <v>183.55187500000014</v>
      </c>
      <c r="P69" s="13">
        <f t="shared" ref="P69:P132" si="87">EXP(-1.0587+0.8836*LN(O69)+0.284)</f>
        <v>46.11151198237242</v>
      </c>
      <c r="Q69" s="20">
        <f t="shared" si="54"/>
        <v>399.99706566096552</v>
      </c>
      <c r="R69" s="59">
        <f t="shared" si="55"/>
        <v>693.33039899429878</v>
      </c>
      <c r="S69" s="59">
        <f ca="1">AVERAGE(OFFSET($R$3,0,0,'Données projet'!$E$9+1,1))-AVERAGE(OFFSET($H$3,0,0,'Données projet'!$E$9+1,1))</f>
        <v>384.05928630855732</v>
      </c>
      <c r="T69" s="59">
        <f t="shared" ref="T69:T132" si="88">$T$3</f>
        <v>279.93992813630513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11.837317599123653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11.837317599123653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-1.1368683772161603E-13</v>
      </c>
      <c r="AJ69" s="13">
        <f>AI69*VLOOKUP('Données projet'!$B$10,Paramètres!$A$1:$I$89,3,0)*VLOOKUP('Données projet'!$B$10,Paramètres!$A$1:$I$89,5,0)</f>
        <v>-6.3550942286383367E-14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335.04906256888819</v>
      </c>
      <c r="AO69" s="59">
        <f t="shared" ref="AO69:AO132" si="90">$AO$3</f>
        <v>440.84111898279554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182.288749651015</v>
      </c>
      <c r="AV69" s="21">
        <f>EXP(-LN(2)/25)*AV68+(1-EXP(-LN(2)/25))/(LN(2)/25)*Calculateur!AQ69*Calculateur!AS69*VLOOKUP('Données projet'!$B$10,Paramètres!$A$1:$I$89,3,0)*0.475*44/12</f>
        <v>42.464614937963162</v>
      </c>
      <c r="AW69" s="21">
        <f>EXP(-LN(2)/2)*AW68+(1-EXP(-LN(2)/2))/(LN(2)/2)*AQ69*AT69*VLOOKUP('Données projet'!$B$10,Paramètres!$A$1:$I$89,3,0)*0.475*44/12</f>
        <v>0.75486530360884652</v>
      </c>
      <c r="AX69" s="21">
        <f t="shared" si="60"/>
        <v>225.50822989258702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13.296703296703283</v>
      </c>
      <c r="BD69" s="12">
        <f>IF('Données projet'!$A$88&gt;35,BD68+BC69-BL68,IF(A69&lt;'Données projet'!$A$88,$BA$205^A69,IF(A69='Données projet'!$A$88,'Données projet'!$B$88,BD68+BC69-BL68)))</f>
        <v>415.88241758241753</v>
      </c>
      <c r="BE69" s="13">
        <f>BD69*VLOOKUP('Données projet'!$B$11,Paramètres!$A$1:$I$89,3,0)*VLOOKUP('Données projet'!$B$11,Paramètres!$A$1:$I$89,5,0)</f>
        <v>183.82002857142859</v>
      </c>
      <c r="BF69" s="13">
        <f t="shared" ref="BF69:BF132" si="91">EXP(-1.0587+0.8836*LN(BE69)+0.284)</f>
        <v>46.171030611932501</v>
      </c>
      <c r="BG69" s="20">
        <f t="shared" si="61"/>
        <v>400.56776141102063</v>
      </c>
      <c r="BH69" s="59">
        <f t="shared" si="62"/>
        <v>693.90109474435394</v>
      </c>
      <c r="BI69" s="59">
        <f ca="1">AVERAGE(OFFSET($BH$3,0,0,'Données projet'!$E$11+1,1))-AVERAGE(OFFSET($H$3,0,0,'Données projet'!$E$11+1,1))</f>
        <v>261.20475283925128</v>
      </c>
      <c r="BJ69" s="59">
        <f t="shared" ref="BJ69:BJ132" si="92">$BJ$3</f>
        <v>247.06045079522403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65.525431186444933</v>
      </c>
      <c r="BQ69" s="21">
        <f>EXP(-LN(2)/25)*BQ68+(1-EXP(-LN(2)/25))/(LN(2)/25)*Calculateur!BL69*Calculateur!BN69*VLOOKUP('Données projet'!$B$11,Paramètres!$A$1:$I$89,3,0)*0.475*44/12</f>
        <v>20.686746421374774</v>
      </c>
      <c r="BR69" s="21">
        <f>EXP(-LN(2)/2)*BR68+(1-EXP(-LN(2)/2))/(LN(2)/2)*BL69*BO69*VLOOKUP('Données projet'!$B$11,Paramètres!$A$1:$I$89,3,0)*0.475*44/12</f>
        <v>2.0365142498452471</v>
      </c>
      <c r="BS69" s="22">
        <f t="shared" si="63"/>
        <v>88.248691857664966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6.4599999999999991</v>
      </c>
      <c r="BY69" s="12">
        <f>IF('Données projet'!$A$114&gt;35,BY68+BX69-CG68,IF(A69&lt;'Données projet'!$A$114,$BV$205^A69,IF(A69='Données projet'!$A$114,'Données projet'!$B$114,BY68+BX69-CG68)))</f>
        <v>267.45999999999981</v>
      </c>
      <c r="BZ69" s="13">
        <f>BY69*VLOOKUP('Données projet'!$B$12,Paramètres!$A$1:$I$89,3,0)*VLOOKUP('Données projet'!$B$12,Paramètres!$A$1:$I$89,5,0)</f>
        <v>152.98711999999989</v>
      </c>
      <c r="CA69" s="13">
        <f t="shared" ref="CA69:CA132" si="93">EXP(-1.0587+0.8836*LN(BZ69)+0.284)</f>
        <v>39.256638359531429</v>
      </c>
      <c r="CB69" s="20">
        <f t="shared" si="64"/>
        <v>334.82454580951702</v>
      </c>
      <c r="CC69" s="59">
        <f t="shared" si="65"/>
        <v>628.15787914285033</v>
      </c>
      <c r="CD69" s="59">
        <f ca="1">AVERAGE(OFFSET($CC$3,0,0,'Données projet'!$E$12+1,1))-AVERAGE(OFFSET($H$3,0,0,'Données projet'!$E$12+1,1))</f>
        <v>268.71706840132384</v>
      </c>
      <c r="CE69" s="59">
        <f t="shared" ref="CE69:CE132" si="94">$CE$3</f>
        <v>199.92519498289477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26.893361377243263</v>
      </c>
      <c r="CL69" s="21">
        <f>EXP(-LN(2)/25)*CL68+(1-EXP(-LN(2)/25))/(LN(2)/25)*Calculateur!CG69*Calculateur!CI69*VLOOKUP('Données projet'!$B$12,Paramètres!$A$1:$I$89,3,0)*0.475*44/12</f>
        <v>11.115346120579229</v>
      </c>
      <c r="CM69" s="21">
        <f>EXP(-LN(2)/2)*CM68+(1-EXP(-LN(2)/2))/(LN(2)/2)*CG69*CJ69*VLOOKUP('Données projet'!$B$12,Paramètres!$A$1:$I$89,3,0)*0.475*44/12</f>
        <v>0.41982530769097526</v>
      </c>
      <c r="CN69" s="22">
        <f t="shared" si="66"/>
        <v>38.42853280551347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8.1001602564102626</v>
      </c>
      <c r="N70" s="13">
        <f>IF('Données projet'!$A$36&gt;35,N69+M70-V69,IF(A70&lt;'Données projet'!$A$36,$K$205^A70,IF(A70='Données projet'!$A$36,'Données projet'!$B$36,N69+M70-V69)))</f>
        <v>210.96474358974376</v>
      </c>
      <c r="O70" s="13">
        <f>N70*VLOOKUP('Données projet'!$B$9,Paramètres!$A$1:$I$89,3,0)*VLOOKUP('Données projet'!$B$9,Paramètres!$A$1:$I$89,5,0)</f>
        <v>190.88090000000014</v>
      </c>
      <c r="P70" s="13">
        <f t="shared" si="87"/>
        <v>47.734654873168694</v>
      </c>
      <c r="Q70" s="20">
        <f t="shared" si="54"/>
        <v>415.58875807076902</v>
      </c>
      <c r="R70" s="59">
        <f t="shared" si="55"/>
        <v>708.92209140410228</v>
      </c>
      <c r="S70" s="59">
        <f ca="1">AVERAGE(OFFSET($R$3,0,0,'Données projet'!$E$9+1,1))-AVERAGE(OFFSET($H$3,0,0,'Données projet'!$E$9+1,1))</f>
        <v>384.05928630855732</v>
      </c>
      <c r="T70" s="59">
        <f t="shared" si="88"/>
        <v>279.93992813630513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11.605195021055652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11.605195021055652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-1.1368683772161603E-13</v>
      </c>
      <c r="AJ70" s="13">
        <f>AI70*VLOOKUP('Données projet'!$B$10,Paramètres!$A$1:$I$89,3,0)*VLOOKUP('Données projet'!$B$10,Paramètres!$A$1:$I$89,5,0)</f>
        <v>-6.3550942286383367E-14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335.04906256888819</v>
      </c>
      <c r="AO70" s="59">
        <f t="shared" si="90"/>
        <v>440.84111898279554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178.71417845551724</v>
      </c>
      <c r="AV70" s="21">
        <f>EXP(-LN(2)/25)*AV69+(1-EXP(-LN(2)/25))/(LN(2)/25)*Calculateur!AQ70*Calculateur!AS70*VLOOKUP('Données projet'!$B$10,Paramètres!$A$1:$I$89,3,0)*0.475*44/12</f>
        <v>41.303417809367517</v>
      </c>
      <c r="AW70" s="21">
        <f>EXP(-LN(2)/2)*AW69+(1-EXP(-LN(2)/2))/(LN(2)/2)*AQ70*AT70*VLOOKUP('Données projet'!$B$10,Paramètres!$A$1:$I$89,3,0)*0.475*44/12</f>
        <v>0.5337703750642574</v>
      </c>
      <c r="AX70" s="21">
        <f t="shared" si="60"/>
        <v>220.55136663994901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13.296703296703283</v>
      </c>
      <c r="BD70" s="12">
        <f>IF('Données projet'!$A$88&gt;35,BD69+BC70-BL69,IF(A70&lt;'Données projet'!$A$88,$BA$205^A70,IF(A70='Données projet'!$A$88,'Données projet'!$B$88,BD69+BC70-BL69)))</f>
        <v>429.17912087912083</v>
      </c>
      <c r="BE70" s="13">
        <f>BD70*VLOOKUP('Données projet'!$B$11,Paramètres!$A$1:$I$89,3,0)*VLOOKUP('Données projet'!$B$11,Paramètres!$A$1:$I$89,5,0)</f>
        <v>189.69717142857141</v>
      </c>
      <c r="BF70" s="13">
        <f t="shared" si="91"/>
        <v>47.472995539561055</v>
      </c>
      <c r="BG70" s="20">
        <f t="shared" si="61"/>
        <v>413.07137413616397</v>
      </c>
      <c r="BH70" s="59">
        <f t="shared" si="62"/>
        <v>706.40470746949723</v>
      </c>
      <c r="BI70" s="59">
        <f ca="1">AVERAGE(OFFSET($BH$3,0,0,'Données projet'!$E$11+1,1))-AVERAGE(OFFSET($H$3,0,0,'Données projet'!$E$11+1,1))</f>
        <v>261.20475283925128</v>
      </c>
      <c r="BJ70" s="59">
        <f t="shared" si="92"/>
        <v>247.06045079522403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64.240517447445399</v>
      </c>
      <c r="BQ70" s="21">
        <f>EXP(-LN(2)/25)*BQ69+(1-EXP(-LN(2)/25))/(LN(2)/25)*Calculateur!BL70*Calculateur!BN70*VLOOKUP('Données projet'!$B$11,Paramètres!$A$1:$I$89,3,0)*0.475*44/12</f>
        <v>20.121066252613566</v>
      </c>
      <c r="BR70" s="21">
        <f>EXP(-LN(2)/2)*BR69+(1-EXP(-LN(2)/2))/(LN(2)/2)*BL70*BO70*VLOOKUP('Données projet'!$B$11,Paramètres!$A$1:$I$89,3,0)*0.475*44/12</f>
        <v>1.4400330360486091</v>
      </c>
      <c r="BS70" s="22">
        <f t="shared" si="63"/>
        <v>85.801616736107562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6.4599999999999991</v>
      </c>
      <c r="BY70" s="12">
        <f>IF('Données projet'!$A$114&gt;35,BY69+BX70-CG69,IF(A70&lt;'Données projet'!$A$114,$BV$205^A70,IF(A70='Données projet'!$A$114,'Données projet'!$B$114,BY69+BX70-CG69)))</f>
        <v>273.91999999999979</v>
      </c>
      <c r="BZ70" s="13">
        <f>BY70*VLOOKUP('Données projet'!$B$12,Paramètres!$A$1:$I$89,3,0)*VLOOKUP('Données projet'!$B$12,Paramètres!$A$1:$I$89,5,0)</f>
        <v>156.68223999999989</v>
      </c>
      <c r="CA70" s="13">
        <f t="shared" si="93"/>
        <v>40.09327522033233</v>
      </c>
      <c r="CB70" s="20">
        <f t="shared" si="64"/>
        <v>342.71735567541197</v>
      </c>
      <c r="CC70" s="59">
        <f t="shared" si="65"/>
        <v>636.05068900874528</v>
      </c>
      <c r="CD70" s="59">
        <f ca="1">AVERAGE(OFFSET($CC$3,0,0,'Données projet'!$E$12+1,1))-AVERAGE(OFFSET($H$3,0,0,'Données projet'!$E$12+1,1))</f>
        <v>268.71706840132384</v>
      </c>
      <c r="CE70" s="59">
        <f t="shared" si="94"/>
        <v>199.92519498289477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26.36599896396627</v>
      </c>
      <c r="CL70" s="21">
        <f>EXP(-LN(2)/25)*CL69+(1-EXP(-LN(2)/25))/(LN(2)/25)*Calculateur!CG70*Calculateur!CI70*VLOOKUP('Données projet'!$B$12,Paramètres!$A$1:$I$89,3,0)*0.475*44/12</f>
        <v>10.811396396381342</v>
      </c>
      <c r="CM70" s="21">
        <f>EXP(-LN(2)/2)*CM69+(1-EXP(-LN(2)/2))/(LN(2)/2)*CG70*CJ70*VLOOKUP('Données projet'!$B$12,Paramètres!$A$1:$I$89,3,0)*0.475*44/12</f>
        <v>0.29686132198201742</v>
      </c>
      <c r="CN70" s="22">
        <f t="shared" si="66"/>
        <v>37.474256682329624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8.1001602564102626</v>
      </c>
      <c r="N71" s="13">
        <f>IF('Données projet'!$A$36&gt;35,N70+M71-V70,IF(A71&lt;'Données projet'!$A$36,$K$205^A71,IF(A71='Données projet'!$A$36,'Données projet'!$B$36,N70+M71-V70)))</f>
        <v>219.06490384615404</v>
      </c>
      <c r="O71" s="13">
        <f>N71*VLOOKUP('Données projet'!$B$9,Paramètres!$A$1:$I$89,3,0)*VLOOKUP('Données projet'!$B$9,Paramètres!$A$1:$I$89,5,0)</f>
        <v>198.20992500000017</v>
      </c>
      <c r="P71" s="13">
        <f t="shared" si="87"/>
        <v>49.350557805795496</v>
      </c>
      <c r="Q71" s="20">
        <f t="shared" si="54"/>
        <v>431.16784088676076</v>
      </c>
      <c r="R71" s="59">
        <f t="shared" si="55"/>
        <v>724.50117422009407</v>
      </c>
      <c r="S71" s="59">
        <f ca="1">AVERAGE(OFFSET($R$3,0,0,'Données projet'!$E$9+1,1))-AVERAGE(OFFSET($H$3,0,0,'Données projet'!$E$9+1,1))</f>
        <v>384.05928630855732</v>
      </c>
      <c r="T71" s="59">
        <f t="shared" si="88"/>
        <v>279.93992813630513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11.377624225162773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11.377624225162773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-1.1368683772161603E-13</v>
      </c>
      <c r="AJ71" s="13">
        <f>AI71*VLOOKUP('Données projet'!$B$10,Paramètres!$A$1:$I$89,3,0)*VLOOKUP('Données projet'!$B$10,Paramètres!$A$1:$I$89,5,0)</f>
        <v>-6.3550942286383367E-14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335.04906256888819</v>
      </c>
      <c r="AO71" s="59">
        <f t="shared" si="90"/>
        <v>440.84111898279554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175.20970242089007</v>
      </c>
      <c r="AV71" s="21">
        <f>EXP(-LN(2)/25)*AV70+(1-EXP(-LN(2)/25))/(LN(2)/25)*Calculateur!AQ71*Calculateur!AS71*VLOOKUP('Données projet'!$B$10,Paramètres!$A$1:$I$89,3,0)*0.475*44/12</f>
        <v>40.173973677318017</v>
      </c>
      <c r="AW71" s="21">
        <f>EXP(-LN(2)/2)*AW70+(1-EXP(-LN(2)/2))/(LN(2)/2)*AQ71*AT71*VLOOKUP('Données projet'!$B$10,Paramètres!$A$1:$I$89,3,0)*0.475*44/12</f>
        <v>0.37743265180442326</v>
      </c>
      <c r="AX71" s="21">
        <f t="shared" si="60"/>
        <v>215.76110875001248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13.296703296703283</v>
      </c>
      <c r="BD71" s="12">
        <f>IF('Données projet'!$A$88&gt;35,BD70+BC71-BL70,IF(A71&lt;'Données projet'!$A$88,$BA$205^A71,IF(A71='Données projet'!$A$88,'Données projet'!$B$88,BD70+BC71-BL70)))</f>
        <v>442.47582417582413</v>
      </c>
      <c r="BE71" s="13">
        <f>BD71*VLOOKUP('Données projet'!$B$11,Paramètres!$A$1:$I$89,3,0)*VLOOKUP('Données projet'!$B$11,Paramètres!$A$1:$I$89,5,0)</f>
        <v>195.57431428571428</v>
      </c>
      <c r="BF71" s="13">
        <f t="shared" si="91"/>
        <v>48.770272892364588</v>
      </c>
      <c r="BG71" s="20">
        <f t="shared" si="61"/>
        <v>425.56682266848742</v>
      </c>
      <c r="BH71" s="59">
        <f t="shared" si="62"/>
        <v>718.90015600182073</v>
      </c>
      <c r="BI71" s="59">
        <f ca="1">AVERAGE(OFFSET($BH$3,0,0,'Données projet'!$E$11+1,1))-AVERAGE(OFFSET($H$3,0,0,'Données projet'!$E$11+1,1))</f>
        <v>261.20475283925128</v>
      </c>
      <c r="BJ71" s="59">
        <f t="shared" si="92"/>
        <v>247.06045079522403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62.980800083147649</v>
      </c>
      <c r="BQ71" s="21">
        <f>EXP(-LN(2)/25)*BQ70+(1-EXP(-LN(2)/25))/(LN(2)/25)*Calculateur!BL71*Calculateur!BN71*VLOOKUP('Données projet'!$B$11,Paramètres!$A$1:$I$89,3,0)*0.475*44/12</f>
        <v>19.570854637814961</v>
      </c>
      <c r="BR71" s="21">
        <f>EXP(-LN(2)/2)*BR70+(1-EXP(-LN(2)/2))/(LN(2)/2)*BL71*BO71*VLOOKUP('Données projet'!$B$11,Paramètres!$A$1:$I$89,3,0)*0.475*44/12</f>
        <v>1.0182571249226235</v>
      </c>
      <c r="BS71" s="22">
        <f t="shared" si="63"/>
        <v>83.56991184588523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6.4599999999999991</v>
      </c>
      <c r="BY71" s="12">
        <f>IF('Données projet'!$A$114&gt;35,BY70+BX71-CG70,IF(A71&lt;'Données projet'!$A$114,$BV$205^A71,IF(A71='Données projet'!$A$114,'Données projet'!$B$114,BY70+BX71-CG70)))</f>
        <v>280.37999999999977</v>
      </c>
      <c r="BZ71" s="13">
        <f>BY71*VLOOKUP('Données projet'!$B$12,Paramètres!$A$1:$I$89,3,0)*VLOOKUP('Données projet'!$B$12,Paramètres!$A$1:$I$89,5,0)</f>
        <v>160.37735999999987</v>
      </c>
      <c r="CA71" s="13">
        <f t="shared" si="93"/>
        <v>40.9276183350445</v>
      </c>
      <c r="CB71" s="20">
        <f t="shared" si="64"/>
        <v>350.60617060020223</v>
      </c>
      <c r="CC71" s="59">
        <f t="shared" si="65"/>
        <v>643.93950393353555</v>
      </c>
      <c r="CD71" s="59">
        <f ca="1">AVERAGE(OFFSET($CC$3,0,0,'Données projet'!$E$12+1,1))-AVERAGE(OFFSET($H$3,0,0,'Données projet'!$E$12+1,1))</f>
        <v>268.71706840132384</v>
      </c>
      <c r="CE71" s="59">
        <f t="shared" si="94"/>
        <v>199.92519498289477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25.848977805954327</v>
      </c>
      <c r="CL71" s="21">
        <f>EXP(-LN(2)/25)*CL70+(1-EXP(-LN(2)/25))/(LN(2)/25)*Calculateur!CG71*Calculateur!CI71*VLOOKUP('Données projet'!$B$12,Paramètres!$A$1:$I$89,3,0)*0.475*44/12</f>
        <v>10.515758193375667</v>
      </c>
      <c r="CM71" s="21">
        <f>EXP(-LN(2)/2)*CM70+(1-EXP(-LN(2)/2))/(LN(2)/2)*CG71*CJ71*VLOOKUP('Données projet'!$B$12,Paramètres!$A$1:$I$89,3,0)*0.475*44/12</f>
        <v>0.20991265384548763</v>
      </c>
      <c r="CN71" s="22">
        <f t="shared" si="66"/>
        <v>36.57464865317548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8.1001602564102626</v>
      </c>
      <c r="N72" s="13">
        <f>IF('Données projet'!$A$36&gt;35,N71+M72-V71,IF(A72&lt;'Données projet'!$A$36,$K$205^A72,IF(A72='Données projet'!$A$36,'Données projet'!$B$36,N71+M72-V71)))</f>
        <v>227.16506410256432</v>
      </c>
      <c r="O72" s="13">
        <f>N72*VLOOKUP('Données projet'!$B$9,Paramètres!$A$1:$I$89,3,0)*VLOOKUP('Données projet'!$B$9,Paramètres!$A$1:$I$89,5,0)</f>
        <v>205.53895000000017</v>
      </c>
      <c r="P72" s="13">
        <f t="shared" si="87"/>
        <v>50.959519142478193</v>
      </c>
      <c r="Q72" s="20">
        <f t="shared" si="54"/>
        <v>446.73483375648311</v>
      </c>
      <c r="R72" s="59">
        <f t="shared" si="55"/>
        <v>740.06816708981637</v>
      </c>
      <c r="S72" s="59">
        <f ca="1">AVERAGE(OFFSET($R$3,0,0,'Données projet'!$E$9+1,1))-AVERAGE(OFFSET($H$3,0,0,'Données projet'!$E$9+1,1))</f>
        <v>384.05928630855732</v>
      </c>
      <c r="T72" s="59">
        <f t="shared" si="88"/>
        <v>279.93992813630513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11.154515953772874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11.154515953772874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-1.1368683772161603E-13</v>
      </c>
      <c r="AJ72" s="13">
        <f>AI72*VLOOKUP('Données projet'!$B$10,Paramètres!$A$1:$I$89,3,0)*VLOOKUP('Données projet'!$B$10,Paramètres!$A$1:$I$89,5,0)</f>
        <v>-6.3550942286383367E-14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335.04906256888819</v>
      </c>
      <c r="AO72" s="59">
        <f t="shared" si="90"/>
        <v>440.84111898279554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171.77394702378263</v>
      </c>
      <c r="AV72" s="21">
        <f>EXP(-LN(2)/25)*AV71+(1-EXP(-LN(2)/25))/(LN(2)/25)*Calculateur!AQ72*Calculateur!AS72*VLOOKUP('Données projet'!$B$10,Paramètres!$A$1:$I$89,3,0)*0.475*44/12</f>
        <v>39.075414254454301</v>
      </c>
      <c r="AW72" s="21">
        <f>EXP(-LN(2)/2)*AW71+(1-EXP(-LN(2)/2))/(LN(2)/2)*AQ72*AT72*VLOOKUP('Données projet'!$B$10,Paramètres!$A$1:$I$89,3,0)*0.475*44/12</f>
        <v>0.2668851875321287</v>
      </c>
      <c r="AX72" s="21">
        <f t="shared" si="60"/>
        <v>211.11624646576905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13.296703296703283</v>
      </c>
      <c r="BD72" s="12">
        <f>IF('Données projet'!$A$88&gt;35,BD71+BC72-BL71,IF(A72&lt;'Données projet'!$A$88,$BA$205^A72,IF(A72='Données projet'!$A$88,'Données projet'!$B$88,BD71+BC72-BL71)))</f>
        <v>455.77252747252743</v>
      </c>
      <c r="BE72" s="13">
        <f>BD72*VLOOKUP('Données projet'!$B$11,Paramètres!$A$1:$I$89,3,0)*VLOOKUP('Données projet'!$B$11,Paramètres!$A$1:$I$89,5,0)</f>
        <v>201.45145714285715</v>
      </c>
      <c r="BF72" s="13">
        <f t="shared" si="91"/>
        <v>50.063019705071831</v>
      </c>
      <c r="BG72" s="20">
        <f t="shared" si="61"/>
        <v>438.05438051014295</v>
      </c>
      <c r="BH72" s="59">
        <f t="shared" si="62"/>
        <v>731.38771384347626</v>
      </c>
      <c r="BI72" s="59">
        <f ca="1">AVERAGE(OFFSET($BH$3,0,0,'Données projet'!$E$11+1,1))-AVERAGE(OFFSET($H$3,0,0,'Données projet'!$E$11+1,1))</f>
        <v>261.20475283925128</v>
      </c>
      <c r="BJ72" s="59">
        <f t="shared" si="92"/>
        <v>247.06045079522403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61.745785008012056</v>
      </c>
      <c r="BQ72" s="21">
        <f>EXP(-LN(2)/25)*BQ71+(1-EXP(-LN(2)/25))/(LN(2)/25)*Calculateur!BL72*Calculateur!BN72*VLOOKUP('Données projet'!$B$11,Paramètres!$A$1:$I$89,3,0)*0.475*44/12</f>
        <v>19.035688588557395</v>
      </c>
      <c r="BR72" s="21">
        <f>EXP(-LN(2)/2)*BR71+(1-EXP(-LN(2)/2))/(LN(2)/2)*BL72*BO72*VLOOKUP('Données projet'!$B$11,Paramètres!$A$1:$I$89,3,0)*0.475*44/12</f>
        <v>0.72001651802430455</v>
      </c>
      <c r="BS72" s="22">
        <f t="shared" si="63"/>
        <v>81.501490114593764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6.4599999999999991</v>
      </c>
      <c r="BY72" s="12">
        <f>IF('Données projet'!$A$114&gt;35,BY71+BX72-CG71,IF(A72&lt;'Données projet'!$A$114,$BV$205^A72,IF(A72='Données projet'!$A$114,'Données projet'!$B$114,BY71+BX72-CG71)))</f>
        <v>286.83999999999975</v>
      </c>
      <c r="BZ72" s="13">
        <f>BY72*VLOOKUP('Données projet'!$B$12,Paramètres!$A$1:$I$89,3,0)*VLOOKUP('Données projet'!$B$12,Paramètres!$A$1:$I$89,5,0)</f>
        <v>164.07247999999987</v>
      </c>
      <c r="CA72" s="13">
        <f t="shared" si="93"/>
        <v>41.759726634977412</v>
      </c>
      <c r="CB72" s="20">
        <f t="shared" si="64"/>
        <v>358.49109322258545</v>
      </c>
      <c r="CC72" s="59">
        <f t="shared" si="65"/>
        <v>651.82442655591876</v>
      </c>
      <c r="CD72" s="59">
        <f ca="1">AVERAGE(OFFSET($CC$3,0,0,'Données projet'!$E$12+1,1))-AVERAGE(OFFSET($H$3,0,0,'Données projet'!$E$12+1,1))</f>
        <v>268.71706840132384</v>
      </c>
      <c r="CE72" s="59">
        <f t="shared" si="94"/>
        <v>199.92519498289477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25.34209511749923</v>
      </c>
      <c r="CL72" s="21">
        <f>EXP(-LN(2)/25)*CL71+(1-EXP(-LN(2)/25))/(LN(2)/25)*Calculateur!CG72*Calculateur!CI72*VLOOKUP('Données projet'!$B$12,Paramètres!$A$1:$I$89,3,0)*0.475*44/12</f>
        <v>10.22820423257812</v>
      </c>
      <c r="CM72" s="21">
        <f>EXP(-LN(2)/2)*CM71+(1-EXP(-LN(2)/2))/(LN(2)/2)*CG72*CJ72*VLOOKUP('Données projet'!$B$12,Paramètres!$A$1:$I$89,3,0)*0.475*44/12</f>
        <v>0.14843066099100871</v>
      </c>
      <c r="CN72" s="22">
        <f t="shared" si="66"/>
        <v>35.718730011068359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8.1001602564102626</v>
      </c>
      <c r="N73" s="13">
        <f>IF('Données projet'!$A$36&gt;35,N72+M73-V72,IF(A73&lt;'Données projet'!$A$36,$K$205^A73,IF(A73='Données projet'!$A$36,'Données projet'!$B$36,N72+M73-V72)))</f>
        <v>235.26522435897459</v>
      </c>
      <c r="O73" s="13">
        <f>N73*VLOOKUP('Données projet'!$B$9,Paramètres!$A$1:$I$89,3,0)*VLOOKUP('Données projet'!$B$9,Paramètres!$A$1:$I$89,5,0)</f>
        <v>212.8679750000002</v>
      </c>
      <c r="P73" s="13">
        <f t="shared" si="87"/>
        <v>52.561814761455608</v>
      </c>
      <c r="Q73" s="20">
        <f t="shared" si="54"/>
        <v>462.29021716786883</v>
      </c>
      <c r="R73" s="59">
        <f t="shared" si="55"/>
        <v>755.62355050120209</v>
      </c>
      <c r="S73" s="59">
        <f ca="1">AVERAGE(OFFSET($R$3,0,0,'Données projet'!$E$9+1,1))-AVERAGE(OFFSET($H$3,0,0,'Données projet'!$E$9+1,1))</f>
        <v>384.05928630855732</v>
      </c>
      <c r="T73" s="59">
        <f t="shared" si="88"/>
        <v>279.93992813630513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10.935782699502322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10.935782699502322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-1.1368683772161603E-13</v>
      </c>
      <c r="AJ73" s="13">
        <f>AI73*VLOOKUP('Données projet'!$B$10,Paramètres!$A$1:$I$89,3,0)*VLOOKUP('Données projet'!$B$10,Paramètres!$A$1:$I$89,5,0)</f>
        <v>-6.3550942286383367E-14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335.04906256888819</v>
      </c>
      <c r="AO73" s="59">
        <f t="shared" si="90"/>
        <v>440.84111898279554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168.40556469440858</v>
      </c>
      <c r="AV73" s="21">
        <f>EXP(-LN(2)/25)*AV72+(1-EXP(-LN(2)/25))/(LN(2)/25)*Calculateur!AQ73*Calculateur!AS73*VLOOKUP('Données projet'!$B$10,Paramètres!$A$1:$I$89,3,0)*0.475*44/12</f>
        <v>38.006894996779522</v>
      </c>
      <c r="AW73" s="21">
        <f>EXP(-LN(2)/2)*AW72+(1-EXP(-LN(2)/2))/(LN(2)/2)*AQ73*AT73*VLOOKUP('Données projet'!$B$10,Paramètres!$A$1:$I$89,3,0)*0.475*44/12</f>
        <v>0.18871632590221163</v>
      </c>
      <c r="AX73" s="21">
        <f t="shared" si="60"/>
        <v>206.60117601709032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469.06923076923073</v>
      </c>
      <c r="BB73" s="12">
        <f>VLOOKUP(A73,'Données projet'!$A$87:$I$107,9,0)</f>
        <v>13.296703296703283</v>
      </c>
      <c r="BC73" s="12">
        <f t="array" ref="BC73">INDEX(BB:BB,MIN(IF(ISNUMBER(BB73:BB269),ROW(BB73:BB269),"")))</f>
        <v>13.296703296703283</v>
      </c>
      <c r="BD73" s="12">
        <f>IF('Données projet'!$A$88&gt;35,BD72+BC73-BL72,IF(A73&lt;'Données projet'!$A$88,$BA$205^A73,IF(A73='Données projet'!$A$88,'Données projet'!$B$88,BD72+BC73-BL72)))</f>
        <v>469.06923076923073</v>
      </c>
      <c r="BE73" s="13">
        <f>BD73*VLOOKUP('Données projet'!$B$11,Paramètres!$A$1:$I$89,3,0)*VLOOKUP('Données projet'!$B$11,Paramètres!$A$1:$I$89,5,0)</f>
        <v>207.32860000000002</v>
      </c>
      <c r="BF73" s="13">
        <f t="shared" si="91"/>
        <v>51.351383328770872</v>
      </c>
      <c r="BG73" s="20">
        <f t="shared" si="61"/>
        <v>450.53430429760925</v>
      </c>
      <c r="BH73" s="59">
        <f t="shared" si="62"/>
        <v>743.86763763094257</v>
      </c>
      <c r="BI73" s="59">
        <f ca="1">AVERAGE(OFFSET($BH$3,0,0,'Données projet'!$E$11+1,1))-AVERAGE(OFFSET($H$3,0,0,'Données projet'!$E$11+1,1))</f>
        <v>261.20475283925128</v>
      </c>
      <c r="BJ73" s="59">
        <f t="shared" si="92"/>
        <v>247.06045079522403</v>
      </c>
      <c r="BK73" s="15">
        <f>IF(ISNA(VLOOKUP(A73,'Données projet'!$A$87:$I$107,3,0)),0,VLOOKUP(A73,'Données projet'!$A$87:$I$107,3,0))</f>
        <v>8</v>
      </c>
      <c r="BL73" s="15">
        <f>IF(ISNA(VLOOKUP(A73,'Données projet'!$A$87:$I$107,4,0)),0,VLOOKUP(A73,'Données projet'!$A$87:$I$107,4,0))</f>
        <v>469.06923076923073</v>
      </c>
      <c r="BM73" s="16">
        <f>IF(ISNA(VLOOKUP(A73,'Données projet'!$A$87:$I$107,5,0)),0%,VLOOKUP(A73,'Données projet'!$A$87:$I$107,5,0)*VLOOKUP('Données projet'!$B$11,Paramètres!$A$1:$I$89,7,0))</f>
        <v>0.38500000000000001</v>
      </c>
      <c r="BN73" s="16">
        <f>IF(ISNA(VLOOKUP(A73,'Données projet'!$A$87:$I$107,6,0)),0%,VLOOKUP(A73,'Données projet'!$A$87:$I$107,6,0)*VLOOKUP('Données projet'!$B$11,Paramètres!$A$1:$I$89,7,0))</f>
        <v>9.240000000000001E-2</v>
      </c>
      <c r="BO73" s="16">
        <f>IF(ISNA(VLOOKUP(A73,'Données projet'!$A$87:$I$107,7,0)),0%,VLOOKUP(A73,'Données projet'!$A$87:$I$107,7,0))</f>
        <v>0.13200000000000001</v>
      </c>
      <c r="BP73" s="21">
        <f>EXP(-LN(2)/35)*BP72+(1-EXP(-LN(2)/35))/(LN(2)/35)*BL73*BM73*VLOOKUP('Données projet'!$B$11,Paramètres!$A$1:$I$89,3,0)*0.475*44/12</f>
        <v>166.42336709729133</v>
      </c>
      <c r="BQ73" s="21">
        <f>EXP(-LN(2)/25)*BQ72+(1-EXP(-LN(2)/25))/(LN(2)/25)*Calculateur!BL73*Calculateur!BN73*VLOOKUP('Données projet'!$B$11,Paramètres!$A$1:$I$89,3,0)*0.475*44/12</f>
        <v>43.828306213359099</v>
      </c>
      <c r="BR73" s="21">
        <f>EXP(-LN(2)/2)*BR72+(1-EXP(-LN(2)/2))/(LN(2)/2)*BL73*BO73*VLOOKUP('Données projet'!$B$11,Paramètres!$A$1:$I$89,3,0)*0.475*44/12</f>
        <v>31.495354662426138</v>
      </c>
      <c r="BS73" s="22">
        <f t="shared" si="63"/>
        <v>241.74702797307657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293.3</v>
      </c>
      <c r="BW73" s="12">
        <f>VLOOKUP(A73,'Données projet'!$A$113:$I$133,9,0)</f>
        <v>6.4599999999999991</v>
      </c>
      <c r="BX73" s="12">
        <f t="array" ref="BX73">INDEX(BW:BW,MIN(IF(ISNUMBER(BW73:BW269),ROW(BW73:BW269),"")))</f>
        <v>6.4599999999999991</v>
      </c>
      <c r="BY73" s="12">
        <f>IF('Données projet'!$A$114&gt;35,BY72+BX73-CG72,IF(A73&lt;'Données projet'!$A$114,$BV$205^A73,IF(A73='Données projet'!$A$114,'Données projet'!$B$114,BY72+BX73-CG72)))</f>
        <v>293.29999999999973</v>
      </c>
      <c r="BZ73" s="13">
        <f>BY73*VLOOKUP('Données projet'!$B$12,Paramètres!$A$1:$I$89,3,0)*VLOOKUP('Données projet'!$B$12,Paramètres!$A$1:$I$89,5,0)</f>
        <v>167.76759999999985</v>
      </c>
      <c r="CA73" s="13">
        <f t="shared" si="93"/>
        <v>42.589656245503377</v>
      </c>
      <c r="CB73" s="20">
        <f t="shared" si="64"/>
        <v>366.3722212942514</v>
      </c>
      <c r="CC73" s="59">
        <f t="shared" si="65"/>
        <v>659.70555462758466</v>
      </c>
      <c r="CD73" s="59">
        <f ca="1">AVERAGE(OFFSET($CC$3,0,0,'Données projet'!$E$12+1,1))-AVERAGE(OFFSET($H$3,0,0,'Données projet'!$E$12+1,1))</f>
        <v>268.71706840132384</v>
      </c>
      <c r="CE73" s="59">
        <f t="shared" si="94"/>
        <v>199.92519498289477</v>
      </c>
      <c r="CF73" s="15">
        <f>IF(ISNA(VLOOKUP(A73,'Données projet'!$A$113:$I$133,3,0)),0,VLOOKUP(A73,'Données projet'!$A$113:$I$133,3,0))</f>
        <v>7</v>
      </c>
      <c r="CG73" s="15">
        <f>IF(ISNA(VLOOKUP(A73,'Données projet'!$A$113:$I$133,4,0)),0,VLOOKUP(A73,'Données projet'!$A$113:$I$133,4,0))</f>
        <v>44.1</v>
      </c>
      <c r="CH73" s="16">
        <f>IF(ISNA(VLOOKUP(A73,'Données projet'!$A$113:$I$133,5,0)),0%,VLOOKUP(A73,'Données projet'!$A$113:$I$133,5,0)*VLOOKUP('Données projet'!$B$12,Paramètres!$A$1:$I$89,7,0))</f>
        <v>0.315</v>
      </c>
      <c r="CI73" s="16">
        <f>IF(ISNA(VLOOKUP(A73,'Données projet'!$A$113:$I$133,6,0)),0%,VLOOKUP(A73,'Données projet'!$A$113:$I$133,6,0)*VLOOKUP('Données projet'!$B$12,Paramètres!$A$1:$I$89,7,0))</f>
        <v>7.6500000000000012E-2</v>
      </c>
      <c r="CJ73" s="16">
        <f>IF(ISNA(VLOOKUP(A73,'Données projet'!$A$113:$I$133,7,0)),0%,VLOOKUP(A73,'Données projet'!$A$113:$I$133,7,0))</f>
        <v>0.13</v>
      </c>
      <c r="CK73" s="21">
        <f>EXP(-LN(2)/35)*CK72+(1-EXP(-LN(2)/35))/(LN(2)/35)*CG73*CH73*VLOOKUP('Données projet'!$B$12,Paramètres!$A$1:$I$89,3,0)*0.475*44/12</f>
        <v>35.385951005323179</v>
      </c>
      <c r="CL73" s="21">
        <f>EXP(-LN(2)/25)*CL72+(1-EXP(-LN(2)/25))/(LN(2)/25)*Calculateur!CG73*Calculateur!CI73*VLOOKUP('Données projet'!$B$12,Paramètres!$A$1:$I$89,3,0)*0.475*44/12</f>
        <v>12.498342423703194</v>
      </c>
      <c r="CM73" s="21">
        <f>EXP(-LN(2)/2)*CM72+(1-EXP(-LN(2)/2))/(LN(2)/2)*CG73*CJ73*VLOOKUP('Données projet'!$B$12,Paramètres!$A$1:$I$89,3,0)*0.475*44/12</f>
        <v>3.817858526626142</v>
      </c>
      <c r="CN73" s="22">
        <f t="shared" si="66"/>
        <v>51.702151955652511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243.36538461538464</v>
      </c>
      <c r="L74" s="12">
        <f>VLOOKUP(A74,'Données projet'!$A$35:$I$55,9,0)</f>
        <v>8.1001602564102626</v>
      </c>
      <c r="M74" s="12">
        <f t="array" ref="M74">INDEX(L:L,MIN(IF(ISNUMBER(L74:L270),ROW(L74:L270),"")))</f>
        <v>8.1001602564102626</v>
      </c>
      <c r="N74" s="13">
        <f>IF('Données projet'!$A$36&gt;35,N73+M74-V73,IF(A74&lt;'Données projet'!$A$36,$K$205^A74,IF(A74='Données projet'!$A$36,'Données projet'!$B$36,N73+M74-V73)))</f>
        <v>243.36538461538487</v>
      </c>
      <c r="O74" s="13">
        <f>N74*VLOOKUP('Données projet'!$B$9,Paramètres!$A$1:$I$89,3,0)*VLOOKUP('Données projet'!$B$9,Paramètres!$A$1:$I$89,5,0)</f>
        <v>220.19700000000023</v>
      </c>
      <c r="P74" s="13">
        <f t="shared" si="87"/>
        <v>54.157700466574305</v>
      </c>
      <c r="Q74" s="20">
        <f t="shared" si="54"/>
        <v>477.83443664595069</v>
      </c>
      <c r="R74" s="59">
        <f t="shared" si="55"/>
        <v>771.167769979284</v>
      </c>
      <c r="S74" s="59">
        <f ca="1">AVERAGE(OFFSET($R$3,0,0,'Données projet'!$E$9+1,1))-AVERAGE(OFFSET($H$3,0,0,'Données projet'!$E$9+1,1))</f>
        <v>384.05928630855732</v>
      </c>
      <c r="T74" s="59">
        <f t="shared" si="88"/>
        <v>279.93992813630513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39.935897435897431</v>
      </c>
      <c r="W74" s="16">
        <f>IF(ISNA(VLOOKUP(A74,'Données projet'!$A$35:$I$55,5,0)),0%,VLOOKUP(A74,'Données projet'!$A$35:$I$55,5,0)*VLOOKUP('Données projet'!$B$9,Paramètres!$A$1:$I$89,7,0))</f>
        <v>0.30099999999999999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22.744803745841033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22.744803745841033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-1.1368683772161603E-13</v>
      </c>
      <c r="AJ74" s="13">
        <f>AI74*VLOOKUP('Données projet'!$B$10,Paramètres!$A$1:$I$89,3,0)*VLOOKUP('Données projet'!$B$10,Paramètres!$A$1:$I$89,5,0)</f>
        <v>-6.3550942286383367E-14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335.04906256888819</v>
      </c>
      <c r="AO74" s="59">
        <f t="shared" si="90"/>
        <v>440.84111898279554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165.10323428800319</v>
      </c>
      <c r="AV74" s="21">
        <f>EXP(-LN(2)/25)*AV73+(1-EXP(-LN(2)/25))/(LN(2)/25)*Calculateur!AQ74*Calculateur!AS74*VLOOKUP('Données projet'!$B$10,Paramètres!$A$1:$I$89,3,0)*0.475*44/12</f>
        <v>36.967594454396846</v>
      </c>
      <c r="AW74" s="21">
        <f>EXP(-LN(2)/2)*AW73+(1-EXP(-LN(2)/2))/(LN(2)/2)*AQ74*AT74*VLOOKUP('Données projet'!$B$10,Paramètres!$A$1:$I$89,3,0)*0.475*44/12</f>
        <v>0.13344259376606435</v>
      </c>
      <c r="AX74" s="21">
        <f t="shared" si="60"/>
        <v>202.2042713361661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261.20475283925128</v>
      </c>
      <c r="BJ74" s="59">
        <f t="shared" si="92"/>
        <v>247.06045079522403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163.15990637674426</v>
      </c>
      <c r="BQ74" s="21">
        <f>EXP(-LN(2)/25)*BQ73+(1-EXP(-LN(2)/25))/(LN(2)/25)*Calculateur!BL74*Calculateur!BN74*VLOOKUP('Données projet'!$B$11,Paramètres!$A$1:$I$89,3,0)*0.475*44/12</f>
        <v>42.629818875124343</v>
      </c>
      <c r="BR74" s="21">
        <f>EXP(-LN(2)/2)*BR73+(1-EXP(-LN(2)/2))/(LN(2)/2)*BL74*BO74*VLOOKUP('Données projet'!$B$11,Paramètres!$A$1:$I$89,3,0)*0.475*44/12</f>
        <v>22.27057885767687</v>
      </c>
      <c r="BS74" s="22">
        <f t="shared" si="63"/>
        <v>228.06030410954548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5.519999999999996</v>
      </c>
      <c r="BY74" s="12">
        <f>IF('Données projet'!$A$114&gt;35,BY73+BX74-CG73,IF(A74&lt;'Données projet'!$A$114,$BV$205^A74,IF(A74='Données projet'!$A$114,'Données projet'!$B$114,BY73+BX74-CG73)))</f>
        <v>254.71999999999971</v>
      </c>
      <c r="BZ74" s="13">
        <f>BY74*VLOOKUP('Données projet'!$B$12,Paramètres!$A$1:$I$89,3,0)*VLOOKUP('Données projet'!$B$12,Paramètres!$A$1:$I$89,5,0)</f>
        <v>145.69983999999985</v>
      </c>
      <c r="CA74" s="13">
        <f t="shared" si="93"/>
        <v>37.599710701658815</v>
      </c>
      <c r="CB74" s="20">
        <f t="shared" si="64"/>
        <v>319.24671747205548</v>
      </c>
      <c r="CC74" s="59">
        <f t="shared" si="65"/>
        <v>612.58005080538874</v>
      </c>
      <c r="CD74" s="59">
        <f ca="1">AVERAGE(OFFSET($CC$3,0,0,'Données projet'!$E$12+1,1))-AVERAGE(OFFSET($H$3,0,0,'Données projet'!$E$12+1,1))</f>
        <v>268.71706840132384</v>
      </c>
      <c r="CE74" s="59">
        <f t="shared" si="94"/>
        <v>199.92519498289477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34.692054089407733</v>
      </c>
      <c r="CL74" s="21">
        <f>EXP(-LN(2)/25)*CL73+(1-EXP(-LN(2)/25))/(LN(2)/25)*Calculateur!CG74*Calculateur!CI74*VLOOKUP('Données projet'!$B$12,Paramètres!$A$1:$I$89,3,0)*0.475*44/12</f>
        <v>12.156574592867768</v>
      </c>
      <c r="CM74" s="21">
        <f>EXP(-LN(2)/2)*CM73+(1-EXP(-LN(2)/2))/(LN(2)/2)*CG74*CJ74*VLOOKUP('Données projet'!$B$12,Paramètres!$A$1:$I$89,3,0)*0.475*44/12</f>
        <v>2.6996336537882262</v>
      </c>
      <c r="CN74" s="22">
        <f t="shared" si="66"/>
        <v>49.548262336063729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7.8425925925925934</v>
      </c>
      <c r="N75" s="13">
        <f>IF('Données projet'!$A$36&gt;35,N74+M75-V74,IF(A75&lt;'Données projet'!$A$36,$K$205^A75,IF(A75='Données projet'!$A$36,'Données projet'!$B$36,N74+M75-V74)))</f>
        <v>211.27207977208002</v>
      </c>
      <c r="O75" s="13">
        <f>N75*VLOOKUP('Données projet'!$B$9,Paramètres!$A$1:$I$89,3,0)*VLOOKUP('Données projet'!$B$9,Paramètres!$A$1:$I$89,5,0)</f>
        <v>191.15897777777801</v>
      </c>
      <c r="P75" s="13">
        <f t="shared" si="87"/>
        <v>47.796095622022989</v>
      </c>
      <c r="Q75" s="20">
        <f t="shared" si="54"/>
        <v>416.18008617132006</v>
      </c>
      <c r="R75" s="59">
        <f t="shared" si="55"/>
        <v>709.51341950465337</v>
      </c>
      <c r="S75" s="59">
        <f ca="1">AVERAGE(OFFSET($R$3,0,0,'Données projet'!$E$9+1,1))-AVERAGE(OFFSET($H$3,0,0,'Données projet'!$E$9+1,1))</f>
        <v>384.05928630855732</v>
      </c>
      <c r="T75" s="59">
        <f t="shared" si="88"/>
        <v>279.93992813630513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22.298792017345534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22.298792017345534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-1.1368683772161603E-13</v>
      </c>
      <c r="AJ75" s="13">
        <f>AI75*VLOOKUP('Données projet'!$B$10,Paramètres!$A$1:$I$89,3,0)*VLOOKUP('Données projet'!$B$10,Paramètres!$A$1:$I$89,5,0)</f>
        <v>-6.3550942286383367E-14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335.04906256888819</v>
      </c>
      <c r="AO75" s="59">
        <f t="shared" si="90"/>
        <v>440.84111898279554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161.86566056664478</v>
      </c>
      <c r="AV75" s="21">
        <f>EXP(-LN(2)/25)*AV74+(1-EXP(-LN(2)/25))/(LN(2)/25)*Calculateur!AQ75*Calculateur!AS75*VLOOKUP('Données projet'!$B$10,Paramètres!$A$1:$I$89,3,0)*0.475*44/12</f>
        <v>35.956713640000061</v>
      </c>
      <c r="AW75" s="21">
        <f>EXP(-LN(2)/2)*AW74+(1-EXP(-LN(2)/2))/(LN(2)/2)*AQ75*AT75*VLOOKUP('Données projet'!$B$10,Paramètres!$A$1:$I$89,3,0)*0.475*44/12</f>
        <v>9.4358162951105815E-2</v>
      </c>
      <c r="AX75" s="21">
        <f t="shared" si="60"/>
        <v>197.91673236959593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261.20475283925128</v>
      </c>
      <c r="BJ75" s="59">
        <f t="shared" si="92"/>
        <v>247.06045079522403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159.96044013041265</v>
      </c>
      <c r="BQ75" s="21">
        <f>EXP(-LN(2)/25)*BQ74+(1-EXP(-LN(2)/25))/(LN(2)/25)*Calculateur!BL75*Calculateur!BN75*VLOOKUP('Données projet'!$B$11,Paramètres!$A$1:$I$89,3,0)*0.475*44/12</f>
        <v>41.464104236179324</v>
      </c>
      <c r="BR75" s="21">
        <f>EXP(-LN(2)/2)*BR74+(1-EXP(-LN(2)/2))/(LN(2)/2)*BL75*BO75*VLOOKUP('Données projet'!$B$11,Paramètres!$A$1:$I$89,3,0)*0.475*44/12</f>
        <v>15.747677331213071</v>
      </c>
      <c r="BS75" s="22">
        <f t="shared" si="63"/>
        <v>217.17222169780507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5.519999999999996</v>
      </c>
      <c r="BY75" s="12">
        <f>IF('Données projet'!$A$114&gt;35,BY74+BX75-CG74,IF(A75&lt;'Données projet'!$A$114,$BV$205^A75,IF(A75='Données projet'!$A$114,'Données projet'!$B$114,BY74+BX75-CG74)))</f>
        <v>260.23999999999972</v>
      </c>
      <c r="BZ75" s="13">
        <f>BY75*VLOOKUP('Données projet'!$B$12,Paramètres!$A$1:$I$89,3,0)*VLOOKUP('Données projet'!$B$12,Paramètres!$A$1:$I$89,5,0)</f>
        <v>148.85727999999983</v>
      </c>
      <c r="CA75" s="13">
        <f t="shared" si="93"/>
        <v>38.318782933707205</v>
      </c>
      <c r="CB75" s="20">
        <f t="shared" si="64"/>
        <v>325.99830960953977</v>
      </c>
      <c r="CC75" s="59">
        <f t="shared" si="65"/>
        <v>619.33164294287303</v>
      </c>
      <c r="CD75" s="59">
        <f ca="1">AVERAGE(OFFSET($CC$3,0,0,'Données projet'!$E$12+1,1))-AVERAGE(OFFSET($H$3,0,0,'Données projet'!$E$12+1,1))</f>
        <v>268.71706840132384</v>
      </c>
      <c r="CE75" s="59">
        <f t="shared" si="94"/>
        <v>199.92519498289477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34.011764068778056</v>
      </c>
      <c r="CL75" s="21">
        <f>EXP(-LN(2)/25)*CL74+(1-EXP(-LN(2)/25))/(LN(2)/25)*Calculateur!CG75*Calculateur!CI75*VLOOKUP('Données projet'!$B$12,Paramètres!$A$1:$I$89,3,0)*0.475*44/12</f>
        <v>11.824152421339326</v>
      </c>
      <c r="CM75" s="21">
        <f>EXP(-LN(2)/2)*CM74+(1-EXP(-LN(2)/2))/(LN(2)/2)*CG75*CJ75*VLOOKUP('Données projet'!$B$12,Paramètres!$A$1:$I$89,3,0)*0.475*44/12</f>
        <v>1.9089292633130712</v>
      </c>
      <c r="CN75" s="22">
        <f t="shared" si="66"/>
        <v>47.744845753430454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7.8425925925925934</v>
      </c>
      <c r="N76" s="13">
        <f>IF('Données projet'!$A$36&gt;35,N75+M76-V75,IF(A76&lt;'Données projet'!$A$36,$K$205^A76,IF(A76='Données projet'!$A$36,'Données projet'!$B$36,N75+M76-V75)))</f>
        <v>219.1146723646726</v>
      </c>
      <c r="O76" s="13">
        <f>N76*VLOOKUP('Données projet'!$B$9,Paramètres!$A$1:$I$89,3,0)*VLOOKUP('Données projet'!$B$9,Paramètres!$A$1:$I$89,5,0)</f>
        <v>198.25495555555577</v>
      </c>
      <c r="P76" s="13">
        <f t="shared" si="87"/>
        <v>49.360464390082804</v>
      </c>
      <c r="Q76" s="20">
        <f t="shared" si="54"/>
        <v>431.26352307198721</v>
      </c>
      <c r="R76" s="59">
        <f t="shared" si="55"/>
        <v>724.59685640532052</v>
      </c>
      <c r="S76" s="59">
        <f ca="1">AVERAGE(OFFSET($R$3,0,0,'Données projet'!$E$9+1,1))-AVERAGE(OFFSET($H$3,0,0,'Données projet'!$E$9+1,1))</f>
        <v>384.05928630855732</v>
      </c>
      <c r="T76" s="59">
        <f t="shared" si="88"/>
        <v>279.93992813630513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21.861526306805541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21.861526306805541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-1.1368683772161603E-13</v>
      </c>
      <c r="AJ76" s="13">
        <f>AI76*VLOOKUP('Données projet'!$B$10,Paramètres!$A$1:$I$89,3,0)*VLOOKUP('Données projet'!$B$10,Paramètres!$A$1:$I$89,5,0)</f>
        <v>-6.3550942286383367E-14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335.04906256888819</v>
      </c>
      <c r="AO76" s="59">
        <f t="shared" si="90"/>
        <v>440.84111898279554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158.69157369123721</v>
      </c>
      <c r="AV76" s="21">
        <f>EXP(-LN(2)/25)*AV75+(1-EXP(-LN(2)/25))/(LN(2)/25)*Calculateur!AQ76*Calculateur!AS76*VLOOKUP('Données projet'!$B$10,Paramètres!$A$1:$I$89,3,0)*0.475*44/12</f>
        <v>34.973475414632865</v>
      </c>
      <c r="AW76" s="21">
        <f>EXP(-LN(2)/2)*AW75+(1-EXP(-LN(2)/2))/(LN(2)/2)*AQ76*AT76*VLOOKUP('Données projet'!$B$10,Paramètres!$A$1:$I$89,3,0)*0.475*44/12</f>
        <v>6.6721296883032175E-2</v>
      </c>
      <c r="AX76" s="21">
        <f t="shared" si="60"/>
        <v>193.73177040275311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261.20475283925128</v>
      </c>
      <c r="BJ76" s="59">
        <f t="shared" si="92"/>
        <v>247.06045079522403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156.82371346568988</v>
      </c>
      <c r="BQ76" s="21">
        <f>EXP(-LN(2)/25)*BQ75+(1-EXP(-LN(2)/25))/(LN(2)/25)*Calculateur!BL76*Calculateur!BN76*VLOOKUP('Données projet'!$B$11,Paramètres!$A$1:$I$89,3,0)*0.475*44/12</f>
        <v>40.330266125338525</v>
      </c>
      <c r="BR76" s="21">
        <f>EXP(-LN(2)/2)*BR75+(1-EXP(-LN(2)/2))/(LN(2)/2)*BL76*BO76*VLOOKUP('Données projet'!$B$11,Paramètres!$A$1:$I$89,3,0)*0.475*44/12</f>
        <v>11.135289428838437</v>
      </c>
      <c r="BS76" s="22">
        <f t="shared" si="63"/>
        <v>208.28926901986685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5.519999999999996</v>
      </c>
      <c r="BY76" s="12">
        <f>IF('Données projet'!$A$114&gt;35,BY75+BX76-CG75,IF(A76&lt;'Données projet'!$A$114,$BV$205^A76,IF(A76='Données projet'!$A$114,'Données projet'!$B$114,BY75+BX76-CG75)))</f>
        <v>265.75999999999971</v>
      </c>
      <c r="BZ76" s="13">
        <f>BY76*VLOOKUP('Données projet'!$B$12,Paramètres!$A$1:$I$89,3,0)*VLOOKUP('Données projet'!$B$12,Paramètres!$A$1:$I$89,5,0)</f>
        <v>152.01471999999984</v>
      </c>
      <c r="CA76" s="13">
        <f t="shared" si="93"/>
        <v>39.036081838343797</v>
      </c>
      <c r="CB76" s="20">
        <f t="shared" si="64"/>
        <v>332.74681320178178</v>
      </c>
      <c r="CC76" s="59">
        <f t="shared" si="65"/>
        <v>626.08014653511509</v>
      </c>
      <c r="CD76" s="59">
        <f ca="1">AVERAGE(OFFSET($CC$3,0,0,'Données projet'!$E$12+1,1))-AVERAGE(OFFSET($H$3,0,0,'Données projet'!$E$12+1,1))</f>
        <v>268.71706840132384</v>
      </c>
      <c r="CE76" s="59">
        <f t="shared" si="94"/>
        <v>199.92519498289477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33.344814120516986</v>
      </c>
      <c r="CL76" s="21">
        <f>EXP(-LN(2)/25)*CL75+(1-EXP(-LN(2)/25))/(LN(2)/25)*Calculateur!CG76*Calculateur!CI76*VLOOKUP('Données projet'!$B$12,Paramètres!$A$1:$I$89,3,0)*0.475*44/12</f>
        <v>11.500820351572651</v>
      </c>
      <c r="CM76" s="21">
        <f>EXP(-LN(2)/2)*CM75+(1-EXP(-LN(2)/2))/(LN(2)/2)*CG76*CJ76*VLOOKUP('Données projet'!$B$12,Paramètres!$A$1:$I$89,3,0)*0.475*44/12</f>
        <v>1.3498168268941133</v>
      </c>
      <c r="CN76" s="22">
        <f t="shared" si="66"/>
        <v>46.195451298983748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7.8425925925925934</v>
      </c>
      <c r="N77" s="13">
        <f>IF('Données projet'!$A$36&gt;35,N76+M77-V76,IF(A77&lt;'Données projet'!$A$36,$K$205^A77,IF(A77='Données projet'!$A$36,'Données projet'!$B$36,N76+M77-V76)))</f>
        <v>226.95726495726518</v>
      </c>
      <c r="O77" s="13">
        <f>N77*VLOOKUP('Données projet'!$B$9,Paramètres!$A$1:$I$89,3,0)*VLOOKUP('Données projet'!$B$9,Paramètres!$A$1:$I$89,5,0)</f>
        <v>205.35093333333353</v>
      </c>
      <c r="P77" s="13">
        <f t="shared" si="87"/>
        <v>50.91832775961656</v>
      </c>
      <c r="Q77" s="20">
        <f t="shared" si="54"/>
        <v>446.33562973688805</v>
      </c>
      <c r="R77" s="59">
        <f t="shared" si="55"/>
        <v>739.66896307022137</v>
      </c>
      <c r="S77" s="59">
        <f ca="1">AVERAGE(OFFSET($R$3,0,0,'Données projet'!$E$9+1,1))-AVERAGE(OFFSET($H$3,0,0,'Données projet'!$E$9+1,1))</f>
        <v>384.05928630855732</v>
      </c>
      <c r="T77" s="59">
        <f t="shared" si="88"/>
        <v>279.93992813630513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21.432835110143486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21.432835110143486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-1.1368683772161603E-13</v>
      </c>
      <c r="AJ77" s="13">
        <f>AI77*VLOOKUP('Données projet'!$B$10,Paramètres!$A$1:$I$89,3,0)*VLOOKUP('Données projet'!$B$10,Paramètres!$A$1:$I$89,5,0)</f>
        <v>-6.3550942286383367E-14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335.04906256888819</v>
      </c>
      <c r="AO77" s="59">
        <f t="shared" si="90"/>
        <v>440.84111898279554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155.57972872345456</v>
      </c>
      <c r="AV77" s="21">
        <f>EXP(-LN(2)/25)*AV76+(1-EXP(-LN(2)/25))/(LN(2)/25)*Calculateur!AQ77*Calculateur!AS77*VLOOKUP('Données projet'!$B$10,Paramètres!$A$1:$I$89,3,0)*0.475*44/12</f>
        <v>34.017123890244591</v>
      </c>
      <c r="AW77" s="21">
        <f>EXP(-LN(2)/2)*AW76+(1-EXP(-LN(2)/2))/(LN(2)/2)*AQ77*AT77*VLOOKUP('Données projet'!$B$10,Paramètres!$A$1:$I$89,3,0)*0.475*44/12</f>
        <v>4.7179081475552907E-2</v>
      </c>
      <c r="AX77" s="21">
        <f t="shared" si="60"/>
        <v>189.6440316951747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261.20475283925128</v>
      </c>
      <c r="BJ77" s="59">
        <f t="shared" si="92"/>
        <v>247.06045079522403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153.74849609764797</v>
      </c>
      <c r="BQ77" s="21">
        <f>EXP(-LN(2)/25)*BQ76+(1-EXP(-LN(2)/25))/(LN(2)/25)*Calculateur!BL77*Calculateur!BN77*VLOOKUP('Données projet'!$B$11,Paramètres!$A$1:$I$89,3,0)*0.475*44/12</f>
        <v>39.227432877264626</v>
      </c>
      <c r="BR77" s="21">
        <f>EXP(-LN(2)/2)*BR76+(1-EXP(-LN(2)/2))/(LN(2)/2)*BL77*BO77*VLOOKUP('Données projet'!$B$11,Paramètres!$A$1:$I$89,3,0)*0.475*44/12</f>
        <v>7.8738386656065371</v>
      </c>
      <c r="BS77" s="22">
        <f t="shared" si="63"/>
        <v>200.84976764051913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5.519999999999996</v>
      </c>
      <c r="BY77" s="12">
        <f>IF('Données projet'!$A$114&gt;35,BY76+BX77-CG76,IF(A77&lt;'Données projet'!$A$114,$BV$205^A77,IF(A77='Données projet'!$A$114,'Données projet'!$B$114,BY76+BX77-CG76)))</f>
        <v>271.27999999999969</v>
      </c>
      <c r="BZ77" s="13">
        <f>BY77*VLOOKUP('Données projet'!$B$12,Paramètres!$A$1:$I$89,3,0)*VLOOKUP('Données projet'!$B$12,Paramètres!$A$1:$I$89,5,0)</f>
        <v>155.17215999999982</v>
      </c>
      <c r="CA77" s="13">
        <f t="shared" si="93"/>
        <v>39.751648492347208</v>
      </c>
      <c r="CB77" s="20">
        <f t="shared" si="64"/>
        <v>339.49229979083771</v>
      </c>
      <c r="CC77" s="59">
        <f t="shared" si="65"/>
        <v>632.82563312417096</v>
      </c>
      <c r="CD77" s="59">
        <f ca="1">AVERAGE(OFFSET($CC$3,0,0,'Données projet'!$E$12+1,1))-AVERAGE(OFFSET($H$3,0,0,'Données projet'!$E$12+1,1))</f>
        <v>268.71706840132384</v>
      </c>
      <c r="CE77" s="59">
        <f t="shared" si="94"/>
        <v>199.92519498289477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32.690942653942017</v>
      </c>
      <c r="CL77" s="21">
        <f>EXP(-LN(2)/25)*CL76+(1-EXP(-LN(2)/25))/(LN(2)/25)*Calculateur!CG77*Calculateur!CI77*VLOOKUP('Données projet'!$B$12,Paramètres!$A$1:$I$89,3,0)*0.475*44/12</f>
        <v>11.186329814257039</v>
      </c>
      <c r="CM77" s="21">
        <f>EXP(-LN(2)/2)*CM76+(1-EXP(-LN(2)/2))/(LN(2)/2)*CG77*CJ77*VLOOKUP('Données projet'!$B$12,Paramètres!$A$1:$I$89,3,0)*0.475*44/12</f>
        <v>0.95446463165653572</v>
      </c>
      <c r="CN77" s="22">
        <f t="shared" si="66"/>
        <v>44.831737099855587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7.8425925925925934</v>
      </c>
      <c r="N78" s="13">
        <f>IF('Données projet'!$A$36&gt;35,N77+M78-V77,IF(A78&lt;'Données projet'!$A$36,$K$205^A78,IF(A78='Données projet'!$A$36,'Données projet'!$B$36,N77+M78-V77)))</f>
        <v>234.79985754985776</v>
      </c>
      <c r="O78" s="13">
        <f>N78*VLOOKUP('Données projet'!$B$9,Paramètres!$A$1:$I$89,3,0)*VLOOKUP('Données projet'!$B$9,Paramètres!$A$1:$I$89,5,0)</f>
        <v>212.44691111111132</v>
      </c>
      <c r="P78" s="13">
        <f t="shared" si="87"/>
        <v>52.469936290697497</v>
      </c>
      <c r="Q78" s="20">
        <f t="shared" si="54"/>
        <v>461.39684255815035</v>
      </c>
      <c r="R78" s="59">
        <f t="shared" si="55"/>
        <v>754.73017589148367</v>
      </c>
      <c r="S78" s="59">
        <f ca="1">AVERAGE(OFFSET($R$3,0,0,'Données projet'!$E$9+1,1))-AVERAGE(OFFSET($H$3,0,0,'Données projet'!$E$9+1,1))</f>
        <v>384.05928630855732</v>
      </c>
      <c r="T78" s="59">
        <f t="shared" si="88"/>
        <v>279.93992813630513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21.012550286372164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21.012550286372164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-1.1368683772161603E-13</v>
      </c>
      <c r="AJ78" s="13">
        <f>AI78*VLOOKUP('Données projet'!$B$10,Paramètres!$A$1:$I$89,3,0)*VLOOKUP('Données projet'!$B$10,Paramètres!$A$1:$I$89,5,0)</f>
        <v>-6.3550942286383367E-14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335.04906256888819</v>
      </c>
      <c r="AO78" s="59">
        <f t="shared" si="90"/>
        <v>440.84111898279554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152.52890513745211</v>
      </c>
      <c r="AV78" s="21">
        <f>EXP(-LN(2)/25)*AV77+(1-EXP(-LN(2)/25))/(LN(2)/25)*Calculateur!AQ78*Calculateur!AS78*VLOOKUP('Données projet'!$B$10,Paramètres!$A$1:$I$89,3,0)*0.475*44/12</f>
        <v>33.086923848583055</v>
      </c>
      <c r="AW78" s="21">
        <f>EXP(-LN(2)/2)*AW77+(1-EXP(-LN(2)/2))/(LN(2)/2)*AQ78*AT78*VLOOKUP('Données projet'!$B$10,Paramètres!$A$1:$I$89,3,0)*0.475*44/12</f>
        <v>3.3360648441516087E-2</v>
      </c>
      <c r="AX78" s="21">
        <f t="shared" si="60"/>
        <v>185.6491896344767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261.20475283925128</v>
      </c>
      <c r="BJ78" s="59">
        <f t="shared" si="92"/>
        <v>247.06045079522403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150.73358186649597</v>
      </c>
      <c r="BQ78" s="21">
        <f>EXP(-LN(2)/25)*BQ77+(1-EXP(-LN(2)/25))/(LN(2)/25)*Calculateur!BL78*Calculateur!BN78*VLOOKUP('Données projet'!$B$11,Paramètres!$A$1:$I$89,3,0)*0.475*44/12</f>
        <v>38.154756662354785</v>
      </c>
      <c r="BR78" s="21">
        <f>EXP(-LN(2)/2)*BR77+(1-EXP(-LN(2)/2))/(LN(2)/2)*BL78*BO78*VLOOKUP('Données projet'!$B$11,Paramètres!$A$1:$I$89,3,0)*0.475*44/12</f>
        <v>5.5676447144192194</v>
      </c>
      <c r="BS78" s="22">
        <f t="shared" si="63"/>
        <v>194.45598324326997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5.519999999999996</v>
      </c>
      <c r="BY78" s="12">
        <f>IF('Données projet'!$A$114&gt;35,BY77+BX78-CG77,IF(A78&lt;'Données projet'!$A$114,$BV$205^A78,IF(A78='Données projet'!$A$114,'Données projet'!$B$114,BY77+BX78-CG77)))</f>
        <v>276.79999999999967</v>
      </c>
      <c r="BZ78" s="13">
        <f>BY78*VLOOKUP('Données projet'!$B$12,Paramètres!$A$1:$I$89,3,0)*VLOOKUP('Données projet'!$B$12,Paramètres!$A$1:$I$89,5,0)</f>
        <v>158.32959999999983</v>
      </c>
      <c r="CA78" s="13">
        <f t="shared" si="93"/>
        <v>40.46552220527397</v>
      </c>
      <c r="CB78" s="20">
        <f t="shared" si="64"/>
        <v>346.23483784085187</v>
      </c>
      <c r="CC78" s="59">
        <f t="shared" si="65"/>
        <v>639.56817117418518</v>
      </c>
      <c r="CD78" s="59">
        <f ca="1">AVERAGE(OFFSET($CC$3,0,0,'Données projet'!$E$12+1,1))-AVERAGE(OFFSET($H$3,0,0,'Données projet'!$E$12+1,1))</f>
        <v>268.71706840132384</v>
      </c>
      <c r="CE78" s="59">
        <f t="shared" si="94"/>
        <v>199.92519498289477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32.04989320800437</v>
      </c>
      <c r="CL78" s="21">
        <f>EXP(-LN(2)/25)*CL77+(1-EXP(-LN(2)/25))/(LN(2)/25)*Calculateur!CG78*Calculateur!CI78*VLOOKUP('Données projet'!$B$12,Paramètres!$A$1:$I$89,3,0)*0.475*44/12</f>
        <v>10.880439037222663</v>
      </c>
      <c r="CM78" s="21">
        <f>EXP(-LN(2)/2)*CM77+(1-EXP(-LN(2)/2))/(LN(2)/2)*CG78*CJ78*VLOOKUP('Données projet'!$B$12,Paramètres!$A$1:$I$89,3,0)*0.475*44/12</f>
        <v>0.67490841344705677</v>
      </c>
      <c r="CN78" s="22">
        <f t="shared" si="66"/>
        <v>43.605240658674091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7.8425925925925934</v>
      </c>
      <c r="N79" s="13">
        <f>IF('Données projet'!$A$36&gt;35,N78+M79-V78,IF(A79&lt;'Données projet'!$A$36,$K$205^A79,IF(A79='Données projet'!$A$36,'Données projet'!$B$36,N78+M79-V78)))</f>
        <v>242.64245014245034</v>
      </c>
      <c r="O79" s="13">
        <f>N79*VLOOKUP('Données projet'!$B$9,Paramètres!$A$1:$I$89,3,0)*VLOOKUP('Données projet'!$B$9,Paramètres!$A$1:$I$89,5,0)</f>
        <v>219.54288888888908</v>
      </c>
      <c r="P79" s="13">
        <f t="shared" si="87"/>
        <v>54.015522855627488</v>
      </c>
      <c r="Q79" s="20">
        <f t="shared" si="54"/>
        <v>476.44756712169959</v>
      </c>
      <c r="R79" s="59">
        <f t="shared" si="55"/>
        <v>769.78090045503291</v>
      </c>
      <c r="S79" s="59">
        <f ca="1">AVERAGE(OFFSET($R$3,0,0,'Données projet'!$E$9+1,1))-AVERAGE(OFFSET($H$3,0,0,'Données projet'!$E$9+1,1))</f>
        <v>384.05928630855732</v>
      </c>
      <c r="T79" s="59">
        <f t="shared" si="88"/>
        <v>279.93992813630513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20.600506991646569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20.600506991646569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-1.1368683772161603E-13</v>
      </c>
      <c r="AJ79" s="13">
        <f>AI79*VLOOKUP('Données projet'!$B$10,Paramètres!$A$1:$I$89,3,0)*VLOOKUP('Données projet'!$B$10,Paramètres!$A$1:$I$89,5,0)</f>
        <v>-6.3550942286383367E-14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335.04906256888819</v>
      </c>
      <c r="AO79" s="59">
        <f t="shared" si="90"/>
        <v>440.84111898279554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149.53790634115254</v>
      </c>
      <c r="AV79" s="21">
        <f>EXP(-LN(2)/25)*AV78+(1-EXP(-LN(2)/25))/(LN(2)/25)*Calculateur!AQ79*Calculateur!AS79*VLOOKUP('Données projet'!$B$10,Paramètres!$A$1:$I$89,3,0)*0.475*44/12</f>
        <v>32.182160175977849</v>
      </c>
      <c r="AW79" s="21">
        <f>EXP(-LN(2)/2)*AW78+(1-EXP(-LN(2)/2))/(LN(2)/2)*AQ79*AT79*VLOOKUP('Données projet'!$B$10,Paramètres!$A$1:$I$89,3,0)*0.475*44/12</f>
        <v>2.3589540737776454E-2</v>
      </c>
      <c r="AX79" s="21">
        <f t="shared" si="60"/>
        <v>181.74365605786818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261.20475283925128</v>
      </c>
      <c r="BJ79" s="59">
        <f t="shared" si="92"/>
        <v>247.06045079522403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147.77778826450074</v>
      </c>
      <c r="BQ79" s="21">
        <f>EXP(-LN(2)/25)*BQ78+(1-EXP(-LN(2)/25))/(LN(2)/25)*Calculateur!BL79*Calculateur!BN79*VLOOKUP('Données projet'!$B$11,Paramètres!$A$1:$I$89,3,0)*0.475*44/12</f>
        <v>37.111412834951246</v>
      </c>
      <c r="BR79" s="21">
        <f>EXP(-LN(2)/2)*BR78+(1-EXP(-LN(2)/2))/(LN(2)/2)*BL79*BO79*VLOOKUP('Données projet'!$B$11,Paramètres!$A$1:$I$89,3,0)*0.475*44/12</f>
        <v>3.936919332803269</v>
      </c>
      <c r="BS79" s="22">
        <f t="shared" si="63"/>
        <v>188.82612043225524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5.519999999999996</v>
      </c>
      <c r="BY79" s="12">
        <f>IF('Données projet'!$A$114&gt;35,BY78+BX79-CG78,IF(A79&lt;'Données projet'!$A$114,$BV$205^A79,IF(A79='Données projet'!$A$114,'Données projet'!$B$114,BY78+BX79-CG78)))</f>
        <v>282.31999999999965</v>
      </c>
      <c r="BZ79" s="13">
        <f>BY79*VLOOKUP('Données projet'!$B$12,Paramètres!$A$1:$I$89,3,0)*VLOOKUP('Données projet'!$B$12,Paramètres!$A$1:$I$89,5,0)</f>
        <v>161.48703999999981</v>
      </c>
      <c r="CA79" s="13">
        <f t="shared" si="93"/>
        <v>41.177740629189273</v>
      </c>
      <c r="CB79" s="20">
        <f t="shared" si="64"/>
        <v>352.97449292917099</v>
      </c>
      <c r="CC79" s="59">
        <f t="shared" si="65"/>
        <v>646.30782626250425</v>
      </c>
      <c r="CD79" s="59">
        <f ca="1">AVERAGE(OFFSET($CC$3,0,0,'Données projet'!$E$12+1,1))-AVERAGE(OFFSET($H$3,0,0,'Données projet'!$E$12+1,1))</f>
        <v>268.71706840132384</v>
      </c>
      <c r="CE79" s="59">
        <f t="shared" si="94"/>
        <v>199.92519498289477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31.421414350700008</v>
      </c>
      <c r="CL79" s="21">
        <f>EXP(-LN(2)/25)*CL78+(1-EXP(-LN(2)/25))/(LN(2)/25)*Calculateur!CG79*Calculateur!CI79*VLOOKUP('Données projet'!$B$12,Paramètres!$A$1:$I$89,3,0)*0.475*44/12</f>
        <v>10.582912859572389</v>
      </c>
      <c r="CM79" s="21">
        <f>EXP(-LN(2)/2)*CM78+(1-EXP(-LN(2)/2))/(LN(2)/2)*CG79*CJ79*VLOOKUP('Données projet'!$B$12,Paramètres!$A$1:$I$89,3,0)*0.475*44/12</f>
        <v>0.47723231582826797</v>
      </c>
      <c r="CN79" s="22">
        <f t="shared" si="66"/>
        <v>42.481559526100661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7.8425925925925934</v>
      </c>
      <c r="N80" s="13">
        <f>IF('Données projet'!$A$36&gt;35,N79+M80-V79,IF(A80&lt;'Données projet'!$A$36,$K$205^A80,IF(A80='Données projet'!$A$36,'Données projet'!$B$36,N79+M80-V79)))</f>
        <v>250.48504273504292</v>
      </c>
      <c r="O80" s="13">
        <f>N80*VLOOKUP('Données projet'!$B$9,Paramètres!$A$1:$I$89,3,0)*VLOOKUP('Données projet'!$B$9,Paramètres!$A$1:$I$89,5,0)</f>
        <v>226.63886666666684</v>
      </c>
      <c r="P80" s="13">
        <f t="shared" si="87"/>
        <v>55.555304418491261</v>
      </c>
      <c r="Q80" s="20">
        <f t="shared" si="54"/>
        <v>491.4881813066504</v>
      </c>
      <c r="R80" s="59">
        <f t="shared" si="55"/>
        <v>784.82151463998366</v>
      </c>
      <c r="S80" s="59">
        <f ca="1">AVERAGE(OFFSET($R$3,0,0,'Données projet'!$E$9+1,1))-AVERAGE(OFFSET($H$3,0,0,'Données projet'!$E$9+1,1))</f>
        <v>384.05928630855732</v>
      </c>
      <c r="T80" s="59">
        <f t="shared" si="88"/>
        <v>279.93992813630513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20.196543614608945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20.196543614608945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-6.3550942286383367E-14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335.04906256888819</v>
      </c>
      <c r="AO80" s="59">
        <f t="shared" si="90"/>
        <v>440.84111898279554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146.60555920691925</v>
      </c>
      <c r="AV80" s="21">
        <f>EXP(-LN(2)/25)*AV79+(1-EXP(-LN(2)/25))/(LN(2)/25)*Calculateur!AQ80*Calculateur!AS80*VLOOKUP('Données projet'!$B$10,Paramètres!$A$1:$I$89,3,0)*0.475*44/12</f>
        <v>31.302137313579482</v>
      </c>
      <c r="AW80" s="21">
        <f>EXP(-LN(2)/2)*AW79+(1-EXP(-LN(2)/2))/(LN(2)/2)*AQ80*AT80*VLOOKUP('Données projet'!$B$10,Paramètres!$A$1:$I$89,3,0)*0.475*44/12</f>
        <v>1.6680324220758044E-2</v>
      </c>
      <c r="AX80" s="21">
        <f t="shared" si="60"/>
        <v>177.92437684471952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261.20475283925128</v>
      </c>
      <c r="BJ80" s="59">
        <f t="shared" si="92"/>
        <v>247.06045079522403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144.87995597218458</v>
      </c>
      <c r="BQ80" s="21">
        <f>EXP(-LN(2)/25)*BQ79+(1-EXP(-LN(2)/25))/(LN(2)/25)*Calculateur!BL80*Calculateur!BN80*VLOOKUP('Données projet'!$B$11,Paramètres!$A$1:$I$89,3,0)*0.475*44/12</f>
        <v>36.096599299375121</v>
      </c>
      <c r="BR80" s="21">
        <f>EXP(-LN(2)/2)*BR79+(1-EXP(-LN(2)/2))/(LN(2)/2)*BL80*BO80*VLOOKUP('Données projet'!$B$11,Paramètres!$A$1:$I$89,3,0)*0.475*44/12</f>
        <v>2.7838223572096101</v>
      </c>
      <c r="BS80" s="22">
        <f t="shared" si="63"/>
        <v>183.76037762876931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5.519999999999996</v>
      </c>
      <c r="BY80" s="12">
        <f>IF('Données projet'!$A$114&gt;35,BY79+BX80-CG79,IF(A80&lt;'Données projet'!$A$114,$BV$205^A80,IF(A80='Données projet'!$A$114,'Données projet'!$B$114,BY79+BX80-CG79)))</f>
        <v>287.83999999999963</v>
      </c>
      <c r="BZ80" s="13">
        <f>BY80*VLOOKUP('Données projet'!$B$12,Paramètres!$A$1:$I$89,3,0)*VLOOKUP('Données projet'!$B$12,Paramètres!$A$1:$I$89,5,0)</f>
        <v>164.64447999999979</v>
      </c>
      <c r="CA80" s="13">
        <f t="shared" si="93"/>
        <v>41.888339859573193</v>
      </c>
      <c r="CB80" s="20">
        <f t="shared" si="64"/>
        <v>359.71132792208959</v>
      </c>
      <c r="CC80" s="59">
        <f t="shared" si="65"/>
        <v>653.04466125542285</v>
      </c>
      <c r="CD80" s="59">
        <f ca="1">AVERAGE(OFFSET($CC$3,0,0,'Données projet'!$E$12+1,1))-AVERAGE(OFFSET($H$3,0,0,'Données projet'!$E$12+1,1))</f>
        <v>268.71706840132384</v>
      </c>
      <c r="CE80" s="59">
        <f t="shared" si="94"/>
        <v>199.92519498289477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30.805259580453132</v>
      </c>
      <c r="CL80" s="21">
        <f>EXP(-LN(2)/25)*CL79+(1-EXP(-LN(2)/25))/(LN(2)/25)*Calculateur!CG80*Calculateur!CI80*VLOOKUP('Données projet'!$B$12,Paramètres!$A$1:$I$89,3,0)*0.475*44/12</f>
        <v>10.293522550896181</v>
      </c>
      <c r="CM80" s="21">
        <f>EXP(-LN(2)/2)*CM79+(1-EXP(-LN(2)/2))/(LN(2)/2)*CG80*CJ80*VLOOKUP('Données projet'!$B$12,Paramètres!$A$1:$I$89,3,0)*0.475*44/12</f>
        <v>0.33745420672352844</v>
      </c>
      <c r="CN80" s="22">
        <f t="shared" si="66"/>
        <v>41.436236338072838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7.8425925925925934</v>
      </c>
      <c r="N81" s="13">
        <f>IF('Données projet'!$A$36&gt;35,N80+M81-V80,IF(A81&lt;'Données projet'!$A$36,$K$205^A81,IF(A81='Données projet'!$A$36,'Données projet'!$B$36,N80+M81-V80)))</f>
        <v>258.32763532763551</v>
      </c>
      <c r="O81" s="13">
        <f>N81*VLOOKUP('Données projet'!$B$9,Paramètres!$A$1:$I$89,3,0)*VLOOKUP('Données projet'!$B$9,Paramètres!$A$1:$I$89,5,0)</f>
        <v>233.7348444444446</v>
      </c>
      <c r="P81" s="13">
        <f t="shared" si="87"/>
        <v>57.089483585580787</v>
      </c>
      <c r="Q81" s="20">
        <f t="shared" si="54"/>
        <v>506.51903798562756</v>
      </c>
      <c r="R81" s="59">
        <f t="shared" si="55"/>
        <v>799.85237131896088</v>
      </c>
      <c r="S81" s="59">
        <f ca="1">AVERAGE(OFFSET($R$3,0,0,'Données projet'!$E$9+1,1))-AVERAGE(OFFSET($H$3,0,0,'Données projet'!$E$9+1,1))</f>
        <v>384.05928630855732</v>
      </c>
      <c r="T81" s="59">
        <f t="shared" si="88"/>
        <v>279.93992813630513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19.800501713001701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19.800501713001701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-6.3550942286383367E-14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335.04906256888819</v>
      </c>
      <c r="AO81" s="59">
        <f t="shared" si="90"/>
        <v>440.84111898279554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143.73071361143315</v>
      </c>
      <c r="AV81" s="21">
        <f>EXP(-LN(2)/25)*AV80+(1-EXP(-LN(2)/25))/(LN(2)/25)*Calculateur!AQ81*Calculateur!AS81*VLOOKUP('Données projet'!$B$10,Paramètres!$A$1:$I$89,3,0)*0.475*44/12</f>
        <v>30.446178722631792</v>
      </c>
      <c r="AW81" s="21">
        <f>EXP(-LN(2)/2)*AW80+(1-EXP(-LN(2)/2))/(LN(2)/2)*AQ81*AT81*VLOOKUP('Données projet'!$B$10,Paramètres!$A$1:$I$89,3,0)*0.475*44/12</f>
        <v>1.1794770368888227E-2</v>
      </c>
      <c r="AX81" s="21">
        <f t="shared" si="60"/>
        <v>174.18868710443382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261.20475283925128</v>
      </c>
      <c r="BJ81" s="59">
        <f t="shared" si="92"/>
        <v>247.06045079522403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142.03894840361755</v>
      </c>
      <c r="BQ81" s="21">
        <f>EXP(-LN(2)/25)*BQ80+(1-EXP(-LN(2)/25))/(LN(2)/25)*Calculateur!BL81*Calculateur!BN81*VLOOKUP('Données projet'!$B$11,Paramètres!$A$1:$I$89,3,0)*0.475*44/12</f>
        <v>35.109535893296048</v>
      </c>
      <c r="BR81" s="21">
        <f>EXP(-LN(2)/2)*BR80+(1-EXP(-LN(2)/2))/(LN(2)/2)*BL81*BO81*VLOOKUP('Données projet'!$B$11,Paramètres!$A$1:$I$89,3,0)*0.475*44/12</f>
        <v>1.9684596664016349</v>
      </c>
      <c r="BS81" s="22">
        <f t="shared" si="63"/>
        <v>179.11694396331524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5.519999999999996</v>
      </c>
      <c r="BY81" s="12">
        <f>IF('Données projet'!$A$114&gt;35,BY80+BX81-CG80,IF(A81&lt;'Données projet'!$A$114,$BV$205^A81,IF(A81='Données projet'!$A$114,'Données projet'!$B$114,BY80+BX81-CG80)))</f>
        <v>293.35999999999962</v>
      </c>
      <c r="BZ81" s="13">
        <f>BY81*VLOOKUP('Données projet'!$B$12,Paramètres!$A$1:$I$89,3,0)*VLOOKUP('Données projet'!$B$12,Paramètres!$A$1:$I$89,5,0)</f>
        <v>167.8019199999998</v>
      </c>
      <c r="CA81" s="13">
        <f t="shared" si="93"/>
        <v>42.597354528267886</v>
      </c>
      <c r="CB81" s="20">
        <f t="shared" si="64"/>
        <v>366.44540313673292</v>
      </c>
      <c r="CC81" s="59">
        <f t="shared" si="65"/>
        <v>659.77873647006618</v>
      </c>
      <c r="CD81" s="59">
        <f ca="1">AVERAGE(OFFSET($CC$3,0,0,'Données projet'!$E$12+1,1))-AVERAGE(OFFSET($H$3,0,0,'Données projet'!$E$12+1,1))</f>
        <v>268.71706840132384</v>
      </c>
      <c r="CE81" s="59">
        <f t="shared" si="94"/>
        <v>199.92519498289477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30.201187229433497</v>
      </c>
      <c r="CL81" s="21">
        <f>EXP(-LN(2)/25)*CL80+(1-EXP(-LN(2)/25))/(LN(2)/25)*Calculateur!CG81*Calculateur!CI81*VLOOKUP('Données projet'!$B$12,Paramètres!$A$1:$I$89,3,0)*0.475*44/12</f>
        <v>10.0120456354291</v>
      </c>
      <c r="CM81" s="21">
        <f>EXP(-LN(2)/2)*CM80+(1-EXP(-LN(2)/2))/(LN(2)/2)*CG81*CJ81*VLOOKUP('Données projet'!$B$12,Paramètres!$A$1:$I$89,3,0)*0.475*44/12</f>
        <v>0.23861615791413401</v>
      </c>
      <c r="CN81" s="22">
        <f t="shared" si="66"/>
        <v>40.451849022776734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7.8425925925925934</v>
      </c>
      <c r="N82" s="13">
        <f>IF('Données projet'!$A$36&gt;35,N81+M82-V81,IF(A82&lt;'Données projet'!$A$36,$K$205^A82,IF(A82='Données projet'!$A$36,'Données projet'!$B$36,N81+M82-V81)))</f>
        <v>266.17022792022811</v>
      </c>
      <c r="O82" s="13">
        <f>N82*VLOOKUP('Données projet'!$B$9,Paramètres!$A$1:$I$89,3,0)*VLOOKUP('Données projet'!$B$9,Paramètres!$A$1:$I$89,5,0)</f>
        <v>240.83082222222239</v>
      </c>
      <c r="P82" s="13">
        <f t="shared" si="87"/>
        <v>58.618249962252264</v>
      </c>
      <c r="Q82" s="20">
        <f t="shared" si="54"/>
        <v>521.54046738795989</v>
      </c>
      <c r="R82" s="59">
        <f t="shared" si="55"/>
        <v>814.87380072129326</v>
      </c>
      <c r="S82" s="59">
        <f ca="1">AVERAGE(OFFSET($R$3,0,0,'Données projet'!$E$9+1,1))-AVERAGE(OFFSET($H$3,0,0,'Données projet'!$E$9+1,1))</f>
        <v>384.05928630855732</v>
      </c>
      <c r="T82" s="59">
        <f t="shared" si="88"/>
        <v>279.93992813630513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19.412225951523265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19.412225951523265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-6.3550942286383367E-14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335.04906256888819</v>
      </c>
      <c r="AO82" s="59">
        <f t="shared" si="90"/>
        <v>440.84111898279554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140.91224198459184</v>
      </c>
      <c r="AV82" s="21">
        <f>EXP(-LN(2)/25)*AV81+(1-EXP(-LN(2)/25))/(LN(2)/25)*Calculateur!AQ82*Calculateur!AS82*VLOOKUP('Données projet'!$B$10,Paramètres!$A$1:$I$89,3,0)*0.475*44/12</f>
        <v>29.613626364366471</v>
      </c>
      <c r="AW82" s="21">
        <f>EXP(-LN(2)/2)*AW81+(1-EXP(-LN(2)/2))/(LN(2)/2)*AQ82*AT82*VLOOKUP('Données projet'!$B$10,Paramètres!$A$1:$I$89,3,0)*0.475*44/12</f>
        <v>8.3401621103790218E-3</v>
      </c>
      <c r="AX82" s="21">
        <f t="shared" si="60"/>
        <v>170.5342085110687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261.20475283925128</v>
      </c>
      <c r="BJ82" s="59">
        <f t="shared" si="92"/>
        <v>247.06045079522403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139.25365126062661</v>
      </c>
      <c r="BQ82" s="21">
        <f>EXP(-LN(2)/25)*BQ81+(1-EXP(-LN(2)/25))/(LN(2)/25)*Calculateur!BL82*Calculateur!BN82*VLOOKUP('Données projet'!$B$11,Paramètres!$A$1:$I$89,3,0)*0.475*44/12</f>
        <v>34.149463787963619</v>
      </c>
      <c r="BR82" s="21">
        <f>EXP(-LN(2)/2)*BR81+(1-EXP(-LN(2)/2))/(LN(2)/2)*BL82*BO82*VLOOKUP('Données projet'!$B$11,Paramètres!$A$1:$I$89,3,0)*0.475*44/12</f>
        <v>1.3919111786048053</v>
      </c>
      <c r="BS82" s="22">
        <f t="shared" si="63"/>
        <v>174.79502622719502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5.519999999999996</v>
      </c>
      <c r="BY82" s="12">
        <f>IF('Données projet'!$A$114&gt;35,BY81+BX82-CG81,IF(A82&lt;'Données projet'!$A$114,$BV$205^A82,IF(A82='Données projet'!$A$114,'Données projet'!$B$114,BY81+BX82-CG81)))</f>
        <v>298.8799999999996</v>
      </c>
      <c r="BZ82" s="13">
        <f>BY82*VLOOKUP('Données projet'!$B$12,Paramètres!$A$1:$I$89,3,0)*VLOOKUP('Données projet'!$B$12,Paramètres!$A$1:$I$89,5,0)</f>
        <v>170.95935999999978</v>
      </c>
      <c r="CA82" s="13">
        <f t="shared" si="93"/>
        <v>43.304817889231124</v>
      </c>
      <c r="CB82" s="20">
        <f t="shared" si="64"/>
        <v>373.17677649041048</v>
      </c>
      <c r="CC82" s="59">
        <f t="shared" si="65"/>
        <v>666.51010982374373</v>
      </c>
      <c r="CD82" s="59">
        <f ca="1">AVERAGE(OFFSET($CC$3,0,0,'Données projet'!$E$12+1,1))-AVERAGE(OFFSET($H$3,0,0,'Données projet'!$E$12+1,1))</f>
        <v>268.71706840132384</v>
      </c>
      <c r="CE82" s="59">
        <f t="shared" si="94"/>
        <v>199.92519498289477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29.608960368769601</v>
      </c>
      <c r="CL82" s="21">
        <f>EXP(-LN(2)/25)*CL81+(1-EXP(-LN(2)/25))/(LN(2)/25)*Calculateur!CG82*Calculateur!CI82*VLOOKUP('Données projet'!$B$12,Paramètres!$A$1:$I$89,3,0)*0.475*44/12</f>
        <v>9.7382657210176937</v>
      </c>
      <c r="CM82" s="21">
        <f>EXP(-LN(2)/2)*CM81+(1-EXP(-LN(2)/2))/(LN(2)/2)*CG82*CJ82*VLOOKUP('Données projet'!$B$12,Paramètres!$A$1:$I$89,3,0)*0.475*44/12</f>
        <v>0.16872710336176425</v>
      </c>
      <c r="CN82" s="22">
        <f t="shared" si="66"/>
        <v>39.515953193149066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274.01282051282055</v>
      </c>
      <c r="L83" s="12">
        <f>VLOOKUP(A83,'Données projet'!$A$35:$I$55,9,0)</f>
        <v>7.8425925925925934</v>
      </c>
      <c r="M83" s="12">
        <f t="array" ref="M83">INDEX(L:L,MIN(IF(ISNUMBER(L83:L279),ROW(L83:L279),"")))</f>
        <v>7.8425925925925934</v>
      </c>
      <c r="N83" s="13">
        <f>IF('Données projet'!$A$36&gt;35,N82+M83-V82,IF(A83&lt;'Données projet'!$A$36,$K$205^A83,IF(A83='Données projet'!$A$36,'Données projet'!$B$36,N82+M83-V82)))</f>
        <v>274.01282051282072</v>
      </c>
      <c r="O83" s="13">
        <f>N83*VLOOKUP('Données projet'!$B$9,Paramètres!$A$1:$I$89,3,0)*VLOOKUP('Données projet'!$B$9,Paramètres!$A$1:$I$89,5,0)</f>
        <v>247.92680000000016</v>
      </c>
      <c r="P83" s="13">
        <f t="shared" si="87"/>
        <v>60.141781345371967</v>
      </c>
      <c r="Q83" s="20">
        <f t="shared" si="54"/>
        <v>536.55277917652313</v>
      </c>
      <c r="R83" s="59">
        <f t="shared" si="55"/>
        <v>829.8861125098565</v>
      </c>
      <c r="S83" s="59">
        <f ca="1">AVERAGE(OFFSET($R$3,0,0,'Données projet'!$E$9+1,1))-AVERAGE(OFFSET($H$3,0,0,'Données projet'!$E$9+1,1))</f>
        <v>384.05928630855732</v>
      </c>
      <c r="T83" s="59">
        <f t="shared" si="88"/>
        <v>279.93992813630513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45.608974358974358</v>
      </c>
      <c r="W83" s="16">
        <f>IF(ISNA(VLOOKUP(A83,'Données projet'!$A$35:$I$55,5,0)),0%,VLOOKUP(A83,'Données projet'!$A$35:$I$55,5,0)*VLOOKUP('Données projet'!$B$9,Paramètres!$A$1:$I$89,7,0))</f>
        <v>0.30099999999999999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32.763017332710646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32.763017332710646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-6.3550942286383367E-14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335.04906256888819</v>
      </c>
      <c r="AO83" s="59">
        <f t="shared" si="90"/>
        <v>440.84111898279554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138.14903886725494</v>
      </c>
      <c r="AV83" s="21">
        <f>EXP(-LN(2)/25)*AV82+(1-EXP(-LN(2)/25))/(LN(2)/25)*Calculateur!AQ83*Calculateur!AS83*VLOOKUP('Données projet'!$B$10,Paramètres!$A$1:$I$89,3,0)*0.475*44/12</f>
        <v>28.803840194119942</v>
      </c>
      <c r="AW83" s="21">
        <f>EXP(-LN(2)/2)*AW82+(1-EXP(-LN(2)/2))/(LN(2)/2)*AQ83*AT83*VLOOKUP('Données projet'!$B$10,Paramètres!$A$1:$I$89,3,0)*0.475*44/12</f>
        <v>5.8973851844441134E-3</v>
      </c>
      <c r="AX83" s="21">
        <f t="shared" si="60"/>
        <v>166.95877644655934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261.20475283925128</v>
      </c>
      <c r="BJ83" s="59">
        <f t="shared" si="92"/>
        <v>247.06045079522403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136.52297209574621</v>
      </c>
      <c r="BQ83" s="21">
        <f>EXP(-LN(2)/25)*BQ82+(1-EXP(-LN(2)/25))/(LN(2)/25)*Calculateur!BL83*Calculateur!BN83*VLOOKUP('Données projet'!$B$11,Paramètres!$A$1:$I$89,3,0)*0.475*44/12</f>
        <v>33.2156449048395</v>
      </c>
      <c r="BR83" s="21">
        <f>EXP(-LN(2)/2)*BR82+(1-EXP(-LN(2)/2))/(LN(2)/2)*BL83*BO83*VLOOKUP('Données projet'!$B$11,Paramètres!$A$1:$I$89,3,0)*0.475*44/12</f>
        <v>0.98422983320081758</v>
      </c>
      <c r="BS83" s="22">
        <f t="shared" si="63"/>
        <v>170.72284683378655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304.39999999999998</v>
      </c>
      <c r="BW83" s="12">
        <f>VLOOKUP(A83,'Données projet'!$A$113:$I$133,9,0)</f>
        <v>5.519999999999996</v>
      </c>
      <c r="BX83" s="12">
        <f t="array" ref="BX83">INDEX(BW:BW,MIN(IF(ISNUMBER(BW83:BW279),ROW(BW83:BW279),"")))</f>
        <v>5.519999999999996</v>
      </c>
      <c r="BY83" s="12">
        <f>IF('Données projet'!$A$114&gt;35,BY82+BX83-CG82,IF(A83&lt;'Données projet'!$A$114,$BV$205^A83,IF(A83='Données projet'!$A$114,'Données projet'!$B$114,BY82+BX83-CG82)))</f>
        <v>304.39999999999958</v>
      </c>
      <c r="BZ83" s="13">
        <f>BY83*VLOOKUP('Données projet'!$B$12,Paramètres!$A$1:$I$89,3,0)*VLOOKUP('Données projet'!$B$12,Paramètres!$A$1:$I$89,5,0)</f>
        <v>174.11679999999976</v>
      </c>
      <c r="CA83" s="13">
        <f t="shared" si="93"/>
        <v>44.01076189777541</v>
      </c>
      <c r="CB83" s="20">
        <f t="shared" si="64"/>
        <v>379.90550363862508</v>
      </c>
      <c r="CC83" s="59">
        <f t="shared" si="65"/>
        <v>673.23883697195834</v>
      </c>
      <c r="CD83" s="59">
        <f ca="1">AVERAGE(OFFSET($CC$3,0,0,'Données projet'!$E$12+1,1))-AVERAGE(OFFSET($H$3,0,0,'Données projet'!$E$12+1,1))</f>
        <v>268.71706840132384</v>
      </c>
      <c r="CE83" s="59">
        <f t="shared" si="94"/>
        <v>199.92519498289477</v>
      </c>
      <c r="CF83" s="15">
        <f>IF(ISNA(VLOOKUP(A83,'Données projet'!$A$113:$I$133,3,0)),0,VLOOKUP(A83,'Données projet'!$A$113:$I$133,3,0))</f>
        <v>8</v>
      </c>
      <c r="CG83" s="15">
        <f>IF(ISNA(VLOOKUP(A83,'Données projet'!$A$113:$I$133,4,0)),0,VLOOKUP(A83,'Données projet'!$A$113:$I$133,4,0))</f>
        <v>34.9</v>
      </c>
      <c r="CH83" s="16">
        <f>IF(ISNA(VLOOKUP(A83,'Données projet'!$A$113:$I$133,5,0)),0%,VLOOKUP(A83,'Données projet'!$A$113:$I$133,5,0)*VLOOKUP('Données projet'!$B$12,Paramètres!$A$1:$I$89,7,0))</f>
        <v>0.315</v>
      </c>
      <c r="CI83" s="16">
        <f>IF(ISNA(VLOOKUP(A83,'Données projet'!$A$113:$I$133,6,0)),0%,VLOOKUP(A83,'Données projet'!$A$113:$I$133,6,0)*VLOOKUP('Données projet'!$B$12,Paramètres!$A$1:$I$89,7,0))</f>
        <v>7.6500000000000012E-2</v>
      </c>
      <c r="CJ83" s="16">
        <f>IF(ISNA(VLOOKUP(A83,'Données projet'!$A$113:$I$133,7,0)),0%,VLOOKUP(A83,'Données projet'!$A$113:$I$133,7,0))</f>
        <v>0.13</v>
      </c>
      <c r="CK83" s="21">
        <f>EXP(-LN(2)/35)*CK82+(1-EXP(-LN(2)/35))/(LN(2)/35)*CG83*CH83*VLOOKUP('Données projet'!$B$12,Paramètres!$A$1:$I$89,3,0)*0.475*44/12</f>
        <v>37.370158102600868</v>
      </c>
      <c r="CL83" s="21">
        <f>EXP(-LN(2)/25)*CL82+(1-EXP(-LN(2)/25))/(LN(2)/25)*Calculateur!CG83*Calculateur!CI83*VLOOKUP('Données projet'!$B$12,Paramètres!$A$1:$I$89,3,0)*0.475*44/12</f>
        <v>11.489864196337566</v>
      </c>
      <c r="CM83" s="21">
        <f>EXP(-LN(2)/2)*CM82+(1-EXP(-LN(2)/2))/(LN(2)/2)*CG83*CJ83*VLOOKUP('Données projet'!$B$12,Paramètres!$A$1:$I$89,3,0)*0.475*44/12</f>
        <v>3.0576365771350402</v>
      </c>
      <c r="CN83" s="22">
        <f t="shared" si="66"/>
        <v>51.917658876073475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7.4950142450142421</v>
      </c>
      <c r="N84" s="13">
        <f>IF('Données projet'!$A$36&gt;35,N83+M84-V83,IF(A84&lt;'Données projet'!$A$36,$K$205^A84,IF(A84='Données projet'!$A$36,'Données projet'!$B$36,N83+M84-V83)))</f>
        <v>235.89886039886062</v>
      </c>
      <c r="O84" s="13">
        <f>N84*VLOOKUP('Données projet'!$B$9,Paramètres!$A$1:$I$89,3,0)*VLOOKUP('Données projet'!$B$9,Paramètres!$A$1:$I$89,5,0)</f>
        <v>213.44128888888909</v>
      </c>
      <c r="P84" s="13">
        <f t="shared" si="87"/>
        <v>52.686881026481977</v>
      </c>
      <c r="Q84" s="20">
        <f t="shared" si="54"/>
        <v>463.50656260260456</v>
      </c>
      <c r="R84" s="59">
        <f t="shared" si="55"/>
        <v>756.83989593593788</v>
      </c>
      <c r="S84" s="59">
        <f ca="1">AVERAGE(OFFSET($R$3,0,0,'Données projet'!$E$9+1,1))-AVERAGE(OFFSET($H$3,0,0,'Données projet'!$E$9+1,1))</f>
        <v>384.05928630855732</v>
      </c>
      <c r="T84" s="59">
        <f t="shared" si="88"/>
        <v>279.93992813630513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32.120554546283557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32.120554546283557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-6.3550942286383367E-14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335.04906256888819</v>
      </c>
      <c r="AO84" s="59">
        <f t="shared" si="90"/>
        <v>440.84111898279554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135.44002047766153</v>
      </c>
      <c r="AV84" s="21">
        <f>EXP(-LN(2)/25)*AV83+(1-EXP(-LN(2)/25))/(LN(2)/25)*Calculateur!AQ84*Calculateur!AS84*VLOOKUP('Données projet'!$B$10,Paramètres!$A$1:$I$89,3,0)*0.475*44/12</f>
        <v>28.01619766928361</v>
      </c>
      <c r="AW84" s="21">
        <f>EXP(-LN(2)/2)*AW83+(1-EXP(-LN(2)/2))/(LN(2)/2)*AQ84*AT84*VLOOKUP('Données projet'!$B$10,Paramètres!$A$1:$I$89,3,0)*0.475*44/12</f>
        <v>4.1700810551895109E-3</v>
      </c>
      <c r="AX84" s="21">
        <f t="shared" si="60"/>
        <v>163.46038822800031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261.20475283925128</v>
      </c>
      <c r="BJ84" s="59">
        <f t="shared" si="92"/>
        <v>247.06045079522403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133.8458398837393</v>
      </c>
      <c r="BQ84" s="21">
        <f>EXP(-LN(2)/25)*BQ83+(1-EXP(-LN(2)/25))/(LN(2)/25)*Calculateur!BL84*Calculateur!BN84*VLOOKUP('Données projet'!$B$11,Paramètres!$A$1:$I$89,3,0)*0.475*44/12</f>
        <v>32.307361348181814</v>
      </c>
      <c r="BR84" s="21">
        <f>EXP(-LN(2)/2)*BR83+(1-EXP(-LN(2)/2))/(LN(2)/2)*BL84*BO84*VLOOKUP('Données projet'!$B$11,Paramètres!$A$1:$I$89,3,0)*0.475*44/12</f>
        <v>0.69595558930240276</v>
      </c>
      <c r="BS84" s="22">
        <f t="shared" si="63"/>
        <v>166.84915682122352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4.7699999999999987</v>
      </c>
      <c r="BY84" s="12">
        <f>IF('Données projet'!$A$114&gt;35,BY83+BX84-CG83,IF(A84&lt;'Données projet'!$A$114,$BV$205^A84,IF(A84='Données projet'!$A$114,'Données projet'!$B$114,BY83+BX84-CG83)))</f>
        <v>274.26999999999958</v>
      </c>
      <c r="BZ84" s="13">
        <f>BY84*VLOOKUP('Données projet'!$B$12,Paramètres!$A$1:$I$89,3,0)*VLOOKUP('Données projet'!$B$12,Paramètres!$A$1:$I$89,5,0)</f>
        <v>156.88243999999975</v>
      </c>
      <c r="CA84" s="13">
        <f t="shared" si="93"/>
        <v>40.138537795776138</v>
      </c>
      <c r="CB84" s="20">
        <f t="shared" si="64"/>
        <v>343.14486966097633</v>
      </c>
      <c r="CC84" s="59">
        <f t="shared" si="65"/>
        <v>636.47820299430964</v>
      </c>
      <c r="CD84" s="59">
        <f ca="1">AVERAGE(OFFSET($CC$3,0,0,'Données projet'!$E$12+1,1))-AVERAGE(OFFSET($H$3,0,0,'Données projet'!$E$12+1,1))</f>
        <v>268.71706840132384</v>
      </c>
      <c r="CE84" s="59">
        <f t="shared" si="94"/>
        <v>199.92519498289477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36.637352095754629</v>
      </c>
      <c r="CL84" s="21">
        <f>EXP(-LN(2)/25)*CL83+(1-EXP(-LN(2)/25))/(LN(2)/25)*Calculateur!CG84*Calculateur!CI84*VLOOKUP('Données projet'!$B$12,Paramètres!$A$1:$I$89,3,0)*0.475*44/12</f>
        <v>11.175673255663018</v>
      </c>
      <c r="CM84" s="21">
        <f>EXP(-LN(2)/2)*CM83+(1-EXP(-LN(2)/2))/(LN(2)/2)*CG84*CJ84*VLOOKUP('Données projet'!$B$12,Paramètres!$A$1:$I$89,3,0)*0.475*44/12</f>
        <v>2.1620755580962112</v>
      </c>
      <c r="CN84" s="22">
        <f t="shared" si="66"/>
        <v>49.975100909513863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7.4950142450142421</v>
      </c>
      <c r="N85" s="13">
        <f>IF('Données projet'!$A$36&gt;35,N84+M85-V84,IF(A85&lt;'Données projet'!$A$36,$K$205^A85,IF(A85='Données projet'!$A$36,'Données projet'!$B$36,N84+M85-V84)))</f>
        <v>243.39387464387485</v>
      </c>
      <c r="O85" s="13">
        <f>N85*VLOOKUP('Données projet'!$B$9,Paramètres!$A$1:$I$89,3,0)*VLOOKUP('Données projet'!$B$9,Paramètres!$A$1:$I$89,5,0)</f>
        <v>220.22277777777796</v>
      </c>
      <c r="P85" s="13">
        <f t="shared" si="87"/>
        <v>54.163302517364365</v>
      </c>
      <c r="Q85" s="20">
        <f t="shared" si="54"/>
        <v>477.88908984737282</v>
      </c>
      <c r="R85" s="59">
        <f t="shared" si="55"/>
        <v>771.22242318070607</v>
      </c>
      <c r="S85" s="59">
        <f ca="1">AVERAGE(OFFSET($R$3,0,0,'Données projet'!$E$9+1,1))-AVERAGE(OFFSET($H$3,0,0,'Données projet'!$E$9+1,1))</f>
        <v>384.05928630855732</v>
      </c>
      <c r="T85" s="59">
        <f t="shared" si="88"/>
        <v>279.93992813630513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31.490690063234698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31.490690063234698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-6.3550942286383367E-14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335.04906256888819</v>
      </c>
      <c r="AO85" s="59">
        <f t="shared" si="90"/>
        <v>440.84111898279554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132.78412428634999</v>
      </c>
      <c r="AV85" s="21">
        <f>EXP(-LN(2)/25)*AV84+(1-EXP(-LN(2)/25))/(LN(2)/25)*Calculateur!AQ85*Calculateur!AS85*VLOOKUP('Données projet'!$B$10,Paramètres!$A$1:$I$89,3,0)*0.475*44/12</f>
        <v>27.250093270709247</v>
      </c>
      <c r="AW85" s="21">
        <f>EXP(-LN(2)/2)*AW84+(1-EXP(-LN(2)/2))/(LN(2)/2)*AQ85*AT85*VLOOKUP('Données projet'!$B$10,Paramètres!$A$1:$I$89,3,0)*0.475*44/12</f>
        <v>2.9486925922220567E-3</v>
      </c>
      <c r="AX85" s="21">
        <f t="shared" si="60"/>
        <v>160.03716624965145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261.20475283925128</v>
      </c>
      <c r="BJ85" s="59">
        <f t="shared" si="92"/>
        <v>247.06045079522403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131.22120460152044</v>
      </c>
      <c r="BQ85" s="21">
        <f>EXP(-LN(2)/25)*BQ84+(1-EXP(-LN(2)/25))/(LN(2)/25)*Calculateur!BL85*Calculateur!BN85*VLOOKUP('Données projet'!$B$11,Paramètres!$A$1:$I$89,3,0)*0.475*44/12</f>
        <v>31.42391485314549</v>
      </c>
      <c r="BR85" s="21">
        <f>EXP(-LN(2)/2)*BR84+(1-EXP(-LN(2)/2))/(LN(2)/2)*BL85*BO85*VLOOKUP('Données projet'!$B$11,Paramètres!$A$1:$I$89,3,0)*0.475*44/12</f>
        <v>0.49211491660040885</v>
      </c>
      <c r="BS85" s="22">
        <f t="shared" si="63"/>
        <v>163.13723437126632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4.7699999999999987</v>
      </c>
      <c r="BY85" s="12">
        <f>IF('Données projet'!$A$114&gt;35,BY84+BX85-CG84,IF(A85&lt;'Données projet'!$A$114,$BV$205^A85,IF(A85='Données projet'!$A$114,'Données projet'!$B$114,BY84+BX85-CG84)))</f>
        <v>279.03999999999957</v>
      </c>
      <c r="BZ85" s="13">
        <f>BY85*VLOOKUP('Données projet'!$B$12,Paramètres!$A$1:$I$89,3,0)*VLOOKUP('Données projet'!$B$12,Paramètres!$A$1:$I$89,5,0)</f>
        <v>159.61087999999975</v>
      </c>
      <c r="CA85" s="13">
        <f t="shared" si="93"/>
        <v>40.754735870508377</v>
      </c>
      <c r="CB85" s="20">
        <f t="shared" si="64"/>
        <v>348.97011430780162</v>
      </c>
      <c r="CC85" s="59">
        <f t="shared" si="65"/>
        <v>642.30344764113488</v>
      </c>
      <c r="CD85" s="59">
        <f ca="1">AVERAGE(OFFSET($CC$3,0,0,'Données projet'!$E$12+1,1))-AVERAGE(OFFSET($H$3,0,0,'Données projet'!$E$12+1,1))</f>
        <v>268.71706840132384</v>
      </c>
      <c r="CE85" s="59">
        <f t="shared" si="94"/>
        <v>199.92519498289477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35.918915967735117</v>
      </c>
      <c r="CL85" s="21">
        <f>EXP(-LN(2)/25)*CL84+(1-EXP(-LN(2)/25))/(LN(2)/25)*Calculateur!CG85*Calculateur!CI85*VLOOKUP('Données projet'!$B$12,Paramètres!$A$1:$I$89,3,0)*0.475*44/12</f>
        <v>10.870073882783798</v>
      </c>
      <c r="CM85" s="21">
        <f>EXP(-LN(2)/2)*CM84+(1-EXP(-LN(2)/2))/(LN(2)/2)*CG85*CJ85*VLOOKUP('Données projet'!$B$12,Paramètres!$A$1:$I$89,3,0)*0.475*44/12</f>
        <v>1.5288182885675203</v>
      </c>
      <c r="CN85" s="22">
        <f t="shared" si="66"/>
        <v>48.317808139086438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7.4950142450142421</v>
      </c>
      <c r="N86" s="13">
        <f>IF('Données projet'!$A$36&gt;35,N85+M86-V85,IF(A86&lt;'Données projet'!$A$36,$K$205^A86,IF(A86='Données projet'!$A$36,'Données projet'!$B$36,N85+M86-V85)))</f>
        <v>250.88888888888908</v>
      </c>
      <c r="O86" s="13">
        <f>N86*VLOOKUP('Données projet'!$B$9,Paramètres!$A$1:$I$89,3,0)*VLOOKUP('Données projet'!$B$9,Paramètres!$A$1:$I$89,5,0)</f>
        <v>227.00426666666684</v>
      </c>
      <c r="P86" s="13">
        <f t="shared" si="87"/>
        <v>55.634440522110118</v>
      </c>
      <c r="Q86" s="20">
        <f t="shared" si="54"/>
        <v>492.26241502045315</v>
      </c>
      <c r="R86" s="59">
        <f t="shared" si="55"/>
        <v>785.59574835378646</v>
      </c>
      <c r="S86" s="59">
        <f ca="1">AVERAGE(OFFSET($R$3,0,0,'Données projet'!$E$9+1,1))-AVERAGE(OFFSET($H$3,0,0,'Données projet'!$E$9+1,1))</f>
        <v>384.05928630855732</v>
      </c>
      <c r="T86" s="59">
        <f t="shared" si="88"/>
        <v>279.93992813630513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30.873176838519029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30.873176838519029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-6.3550942286383367E-14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335.04906256888819</v>
      </c>
      <c r="AO86" s="59">
        <f t="shared" si="90"/>
        <v>440.84111898279554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130.18030859941337</v>
      </c>
      <c r="AV86" s="21">
        <f>EXP(-LN(2)/25)*AV85+(1-EXP(-LN(2)/25))/(LN(2)/25)*Calculateur!AQ86*Calculateur!AS86*VLOOKUP('Données projet'!$B$10,Paramètres!$A$1:$I$89,3,0)*0.475*44/12</f>
        <v>26.50493803720158</v>
      </c>
      <c r="AW86" s="21">
        <f>EXP(-LN(2)/2)*AW85+(1-EXP(-LN(2)/2))/(LN(2)/2)*AQ86*AT86*VLOOKUP('Données projet'!$B$10,Paramètres!$A$1:$I$89,3,0)*0.475*44/12</f>
        <v>2.0850405275947555E-3</v>
      </c>
      <c r="AX86" s="21">
        <f t="shared" si="60"/>
        <v>156.68733167714254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261.20475283925128</v>
      </c>
      <c r="BJ86" s="59">
        <f t="shared" si="92"/>
        <v>247.06045079522403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128.64803681631642</v>
      </c>
      <c r="BQ86" s="21">
        <f>EXP(-LN(2)/25)*BQ85+(1-EXP(-LN(2)/25))/(LN(2)/25)*Calculateur!BL86*Calculateur!BN86*VLOOKUP('Données projet'!$B$11,Paramètres!$A$1:$I$89,3,0)*0.475*44/12</f>
        <v>30.564626248974363</v>
      </c>
      <c r="BR86" s="21">
        <f>EXP(-LN(2)/2)*BR85+(1-EXP(-LN(2)/2))/(LN(2)/2)*BL86*BO86*VLOOKUP('Données projet'!$B$11,Paramètres!$A$1:$I$89,3,0)*0.475*44/12</f>
        <v>0.34797779465120143</v>
      </c>
      <c r="BS86" s="22">
        <f t="shared" si="63"/>
        <v>159.56064085994197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4.7699999999999987</v>
      </c>
      <c r="BY86" s="12">
        <f>IF('Données projet'!$A$114&gt;35,BY85+BX86-CG85,IF(A86&lt;'Données projet'!$A$114,$BV$205^A86,IF(A86='Données projet'!$A$114,'Données projet'!$B$114,BY85+BX86-CG85)))</f>
        <v>283.80999999999955</v>
      </c>
      <c r="BZ86" s="13">
        <f>BY86*VLOOKUP('Données projet'!$B$12,Paramètres!$A$1:$I$89,3,0)*VLOOKUP('Données projet'!$B$12,Paramètres!$A$1:$I$89,5,0)</f>
        <v>162.33931999999976</v>
      </c>
      <c r="CA86" s="13">
        <f t="shared" si="93"/>
        <v>41.369709003053778</v>
      </c>
      <c r="CB86" s="20">
        <f t="shared" si="64"/>
        <v>354.79322551365152</v>
      </c>
      <c r="CC86" s="59">
        <f t="shared" si="65"/>
        <v>648.12655884698484</v>
      </c>
      <c r="CD86" s="59">
        <f ca="1">AVERAGE(OFFSET($CC$3,0,0,'Données projet'!$E$12+1,1))-AVERAGE(OFFSET($H$3,0,0,'Données projet'!$E$12+1,1))</f>
        <v>268.71706840132384</v>
      </c>
      <c r="CE86" s="59">
        <f t="shared" si="94"/>
        <v>199.92519498289477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35.214567933983297</v>
      </c>
      <c r="CL86" s="21">
        <f>EXP(-LN(2)/25)*CL85+(1-EXP(-LN(2)/25))/(LN(2)/25)*Calculateur!CG86*Calculateur!CI86*VLOOKUP('Données projet'!$B$12,Paramètres!$A$1:$I$89,3,0)*0.475*44/12</f>
        <v>10.572831140826732</v>
      </c>
      <c r="CM86" s="21">
        <f>EXP(-LN(2)/2)*CM85+(1-EXP(-LN(2)/2))/(LN(2)/2)*CG86*CJ86*VLOOKUP('Données projet'!$B$12,Paramètres!$A$1:$I$89,3,0)*0.475*44/12</f>
        <v>1.0810377790481058</v>
      </c>
      <c r="CN86" s="22">
        <f t="shared" si="66"/>
        <v>46.868436853858128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7.4950142450142421</v>
      </c>
      <c r="N87" s="13">
        <f>IF('Données projet'!$A$36&gt;35,N86+M87-V86,IF(A87&lt;'Données projet'!$A$36,$K$205^A87,IF(A87='Données projet'!$A$36,'Données projet'!$B$36,N86+M87-V86)))</f>
        <v>258.38390313390335</v>
      </c>
      <c r="O87" s="13">
        <f>N87*VLOOKUP('Données projet'!$B$9,Paramètres!$A$1:$I$89,3,0)*VLOOKUP('Données projet'!$B$9,Paramètres!$A$1:$I$89,5,0)</f>
        <v>233.78575555555574</v>
      </c>
      <c r="P87" s="13">
        <f t="shared" si="87"/>
        <v>57.10047099813341</v>
      </c>
      <c r="Q87" s="20">
        <f t="shared" si="54"/>
        <v>506.62684458100858</v>
      </c>
      <c r="R87" s="59">
        <f t="shared" si="55"/>
        <v>799.9601779143419</v>
      </c>
      <c r="S87" s="59">
        <f ca="1">AVERAGE(OFFSET($R$3,0,0,'Données projet'!$E$9+1,1))-AVERAGE(OFFSET($H$3,0,0,'Données projet'!$E$9+1,1))</f>
        <v>384.05928630855732</v>
      </c>
      <c r="T87" s="59">
        <f t="shared" si="88"/>
        <v>279.93992813630513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30.267772671494157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30.267772671494157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-6.3550942286383367E-14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335.04906256888819</v>
      </c>
      <c r="AO87" s="59">
        <f t="shared" si="90"/>
        <v>440.84111898279554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127.6275521499268</v>
      </c>
      <c r="AV87" s="21">
        <f>EXP(-LN(2)/25)*AV86+(1-EXP(-LN(2)/25))/(LN(2)/25)*Calculateur!AQ87*Calculateur!AS87*VLOOKUP('Données projet'!$B$10,Paramètres!$A$1:$I$89,3,0)*0.475*44/12</f>
        <v>25.78015911274019</v>
      </c>
      <c r="AW87" s="21">
        <f>EXP(-LN(2)/2)*AW86+(1-EXP(-LN(2)/2))/(LN(2)/2)*AQ87*AT87*VLOOKUP('Données projet'!$B$10,Paramètres!$A$1:$I$89,3,0)*0.475*44/12</f>
        <v>1.4743462961110284E-3</v>
      </c>
      <c r="AX87" s="21">
        <f t="shared" si="60"/>
        <v>153.4091856089631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261.20475283925128</v>
      </c>
      <c r="BJ87" s="59">
        <f t="shared" si="92"/>
        <v>247.06045079522403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126.12532728190288</v>
      </c>
      <c r="BQ87" s="21">
        <f>EXP(-LN(2)/25)*BQ86+(1-EXP(-LN(2)/25))/(LN(2)/25)*Calculateur!BL87*Calculateur!BN87*VLOOKUP('Données projet'!$B$11,Paramètres!$A$1:$I$89,3,0)*0.475*44/12</f>
        <v>29.728834936872321</v>
      </c>
      <c r="BR87" s="21">
        <f>EXP(-LN(2)/2)*BR86+(1-EXP(-LN(2)/2))/(LN(2)/2)*BL87*BO87*VLOOKUP('Données projet'!$B$11,Paramètres!$A$1:$I$89,3,0)*0.475*44/12</f>
        <v>0.24605745830020448</v>
      </c>
      <c r="BS87" s="22">
        <f t="shared" si="63"/>
        <v>156.10021967707542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4.7699999999999987</v>
      </c>
      <c r="BY87" s="12">
        <f>IF('Données projet'!$A$114&gt;35,BY86+BX87-CG86,IF(A87&lt;'Données projet'!$A$114,$BV$205^A87,IF(A87='Données projet'!$A$114,'Données projet'!$B$114,BY86+BX87-CG86)))</f>
        <v>288.57999999999953</v>
      </c>
      <c r="BZ87" s="13">
        <f>BY87*VLOOKUP('Données projet'!$B$12,Paramètres!$A$1:$I$89,3,0)*VLOOKUP('Données projet'!$B$12,Paramètres!$A$1:$I$89,5,0)</f>
        <v>165.06775999999974</v>
      </c>
      <c r="CA87" s="13">
        <f t="shared" si="93"/>
        <v>41.983480157149536</v>
      </c>
      <c r="CB87" s="20">
        <f t="shared" si="64"/>
        <v>360.61424327370167</v>
      </c>
      <c r="CC87" s="59">
        <f t="shared" si="65"/>
        <v>653.94757660703499</v>
      </c>
      <c r="CD87" s="59">
        <f ca="1">AVERAGE(OFFSET($CC$3,0,0,'Données projet'!$E$12+1,1))-AVERAGE(OFFSET($H$3,0,0,'Données projet'!$E$12+1,1))</f>
        <v>268.71706840132384</v>
      </c>
      <c r="CE87" s="59">
        <f t="shared" si="94"/>
        <v>199.92519498289477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34.524031735563469</v>
      </c>
      <c r="CL87" s="21">
        <f>EXP(-LN(2)/25)*CL86+(1-EXP(-LN(2)/25))/(LN(2)/25)*Calculateur!CG87*Calculateur!CI87*VLOOKUP('Données projet'!$B$12,Paramètres!$A$1:$I$89,3,0)*0.475*44/12</f>
        <v>10.2837165172798</v>
      </c>
      <c r="CM87" s="21">
        <f>EXP(-LN(2)/2)*CM86+(1-EXP(-LN(2)/2))/(LN(2)/2)*CG87*CJ87*VLOOKUP('Données projet'!$B$12,Paramètres!$A$1:$I$89,3,0)*0.475*44/12</f>
        <v>0.76440914428376028</v>
      </c>
      <c r="CN87" s="22">
        <f t="shared" si="66"/>
        <v>45.572157397127029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7.4950142450142421</v>
      </c>
      <c r="N88" s="13">
        <f>IF('Données projet'!$A$36&gt;35,N87+M88-V87,IF(A88&lt;'Données projet'!$A$36,$K$205^A88,IF(A88='Données projet'!$A$36,'Données projet'!$B$36,N87+M88-V87)))</f>
        <v>265.87891737891761</v>
      </c>
      <c r="O88" s="13">
        <f>N88*VLOOKUP('Données projet'!$B$9,Paramètres!$A$1:$I$89,3,0)*VLOOKUP('Données projet'!$B$9,Paramètres!$A$1:$I$89,5,0)</f>
        <v>240.56724444444464</v>
      </c>
      <c r="P88" s="13">
        <f t="shared" si="87"/>
        <v>58.5615591142816</v>
      </c>
      <c r="Q88" s="20">
        <f t="shared" si="54"/>
        <v>520.98266619811488</v>
      </c>
      <c r="R88" s="59">
        <f t="shared" si="55"/>
        <v>814.31599953144814</v>
      </c>
      <c r="S88" s="59">
        <f ca="1">AVERAGE(OFFSET($R$3,0,0,'Données projet'!$E$9+1,1))-AVERAGE(OFFSET($H$3,0,0,'Données projet'!$E$9+1,1))</f>
        <v>384.05928630855732</v>
      </c>
      <c r="T88" s="59">
        <f t="shared" si="88"/>
        <v>279.93992813630513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29.674240110924561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29.674240110924561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-6.3550942286383367E-14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335.04906256888819</v>
      </c>
      <c r="AO88" s="59">
        <f t="shared" si="90"/>
        <v>440.84111898279554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125.12485369738698</v>
      </c>
      <c r="AV88" s="21">
        <f>EXP(-LN(2)/25)*AV87+(1-EXP(-LN(2)/25))/(LN(2)/25)*Calculateur!AQ88*Calculateur!AS88*VLOOKUP('Données projet'!$B$10,Paramètres!$A$1:$I$89,3,0)*0.475*44/12</f>
        <v>25.075199306082663</v>
      </c>
      <c r="AW88" s="21">
        <f>EXP(-LN(2)/2)*AW87+(1-EXP(-LN(2)/2))/(LN(2)/2)*AQ88*AT88*VLOOKUP('Données projet'!$B$10,Paramètres!$A$1:$I$89,3,0)*0.475*44/12</f>
        <v>1.0425202637973777E-3</v>
      </c>
      <c r="AX88" s="21">
        <f t="shared" si="60"/>
        <v>150.20109552373344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261.20475283925128</v>
      </c>
      <c r="BJ88" s="59">
        <f t="shared" si="92"/>
        <v>247.06045079522403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123.65208654275831</v>
      </c>
      <c r="BQ88" s="21">
        <f>EXP(-LN(2)/25)*BQ87+(1-EXP(-LN(2)/25))/(LN(2)/25)*Calculateur!BL88*Calculateur!BN88*VLOOKUP('Données projet'!$B$11,Paramètres!$A$1:$I$89,3,0)*0.475*44/12</f>
        <v>28.915898382152065</v>
      </c>
      <c r="BR88" s="21">
        <f>EXP(-LN(2)/2)*BR87+(1-EXP(-LN(2)/2))/(LN(2)/2)*BL88*BO88*VLOOKUP('Données projet'!$B$11,Paramètres!$A$1:$I$89,3,0)*0.475*44/12</f>
        <v>0.17398889732560074</v>
      </c>
      <c r="BS88" s="22">
        <f t="shared" si="63"/>
        <v>152.74197382223599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4.7699999999999987</v>
      </c>
      <c r="BY88" s="12">
        <f>IF('Données projet'!$A$114&gt;35,BY87+BX88-CG87,IF(A88&lt;'Données projet'!$A$114,$BV$205^A88,IF(A88='Données projet'!$A$114,'Données projet'!$B$114,BY87+BX88-CG87)))</f>
        <v>293.34999999999951</v>
      </c>
      <c r="BZ88" s="13">
        <f>BY88*VLOOKUP('Données projet'!$B$12,Paramètres!$A$1:$I$89,3,0)*VLOOKUP('Données projet'!$B$12,Paramètres!$A$1:$I$89,5,0)</f>
        <v>167.79619999999971</v>
      </c>
      <c r="CA88" s="13">
        <f t="shared" si="93"/>
        <v>42.596071493868706</v>
      </c>
      <c r="CB88" s="20">
        <f t="shared" si="64"/>
        <v>366.43320618515412</v>
      </c>
      <c r="CC88" s="59">
        <f t="shared" si="65"/>
        <v>659.76653951848743</v>
      </c>
      <c r="CD88" s="59">
        <f ca="1">AVERAGE(OFFSET($CC$3,0,0,'Données projet'!$E$12+1,1))-AVERAGE(OFFSET($H$3,0,0,'Données projet'!$E$12+1,1))</f>
        <v>268.71706840132384</v>
      </c>
      <c r="CE88" s="59">
        <f t="shared" si="94"/>
        <v>199.92519498289477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33.847036530809163</v>
      </c>
      <c r="CL88" s="21">
        <f>EXP(-LN(2)/25)*CL87+(1-EXP(-LN(2)/25))/(LN(2)/25)*Calculateur!CG88*Calculateur!CI88*VLOOKUP('Données projet'!$B$12,Paramètres!$A$1:$I$89,3,0)*0.475*44/12</f>
        <v>10.002507748317635</v>
      </c>
      <c r="CM88" s="21">
        <f>EXP(-LN(2)/2)*CM87+(1-EXP(-LN(2)/2))/(LN(2)/2)*CG88*CJ88*VLOOKUP('Données projet'!$B$12,Paramètres!$A$1:$I$89,3,0)*0.475*44/12</f>
        <v>0.54051888952405291</v>
      </c>
      <c r="CN88" s="22">
        <f t="shared" si="66"/>
        <v>44.390063168650848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7.4950142450142421</v>
      </c>
      <c r="N89" s="13">
        <f>IF('Données projet'!$A$36&gt;35,N88+M89-V88,IF(A89&lt;'Données projet'!$A$36,$K$205^A89,IF(A89='Données projet'!$A$36,'Données projet'!$B$36,N88+M89-V88)))</f>
        <v>273.37393162393187</v>
      </c>
      <c r="O89" s="13">
        <f>N89*VLOOKUP('Données projet'!$B$9,Paramètres!$A$1:$I$89,3,0)*VLOOKUP('Données projet'!$B$9,Paramètres!$A$1:$I$89,5,0)</f>
        <v>247.34873333333351</v>
      </c>
      <c r="P89" s="13">
        <f t="shared" si="87"/>
        <v>60.017860197565874</v>
      </c>
      <c r="Q89" s="20">
        <f t="shared" si="54"/>
        <v>535.33015039964971</v>
      </c>
      <c r="R89" s="59">
        <f t="shared" si="55"/>
        <v>828.66348373298297</v>
      </c>
      <c r="S89" s="59">
        <f ca="1">AVERAGE(OFFSET($R$3,0,0,'Données projet'!$E$9+1,1))-AVERAGE(OFFSET($H$3,0,0,'Données projet'!$E$9+1,1))</f>
        <v>384.05928630855732</v>
      </c>
      <c r="T89" s="59">
        <f t="shared" si="88"/>
        <v>279.93992813630513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29.09234636184862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29.09234636184862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-6.3550942286383367E-14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335.04906256888819</v>
      </c>
      <c r="AO89" s="59">
        <f t="shared" si="90"/>
        <v>440.84111898279554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122.67123163500614</v>
      </c>
      <c r="AV89" s="21">
        <f>EXP(-LN(2)/25)*AV88+(1-EXP(-LN(2)/25))/(LN(2)/25)*Calculateur!AQ89*Calculateur!AS89*VLOOKUP('Données projet'!$B$10,Paramètres!$A$1:$I$89,3,0)*0.475*44/12</f>
        <v>24.389516662410411</v>
      </c>
      <c r="AW89" s="21">
        <f>EXP(-LN(2)/2)*AW88+(1-EXP(-LN(2)/2))/(LN(2)/2)*AQ89*AT89*VLOOKUP('Données projet'!$B$10,Paramètres!$A$1:$I$89,3,0)*0.475*44/12</f>
        <v>7.3717314805551418E-4</v>
      </c>
      <c r="AX89" s="21">
        <f t="shared" si="60"/>
        <v>147.06148547056461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261.20475283925128</v>
      </c>
      <c r="BJ89" s="59">
        <f t="shared" si="92"/>
        <v>247.06045079522403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121.22734454598047</v>
      </c>
      <c r="BQ89" s="21">
        <f>EXP(-LN(2)/25)*BQ88+(1-EXP(-LN(2)/25))/(LN(2)/25)*Calculateur!BL89*Calculateur!BN89*VLOOKUP('Données projet'!$B$11,Paramètres!$A$1:$I$89,3,0)*0.475*44/12</f>
        <v>28.12519162027111</v>
      </c>
      <c r="BR89" s="21">
        <f>EXP(-LN(2)/2)*BR88+(1-EXP(-LN(2)/2))/(LN(2)/2)*BL89*BO89*VLOOKUP('Données projet'!$B$11,Paramètres!$A$1:$I$89,3,0)*0.475*44/12</f>
        <v>0.12302872915010225</v>
      </c>
      <c r="BS89" s="22">
        <f t="shared" si="63"/>
        <v>149.47556489540167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4.7699999999999987</v>
      </c>
      <c r="BY89" s="12">
        <f>IF('Données projet'!$A$114&gt;35,BY88+BX89-CG88,IF(A89&lt;'Données projet'!$A$114,$BV$205^A89,IF(A89='Données projet'!$A$114,'Données projet'!$B$114,BY88+BX89-CG88)))</f>
        <v>298.11999999999949</v>
      </c>
      <c r="BZ89" s="13">
        <f>BY89*VLOOKUP('Données projet'!$B$12,Paramètres!$A$1:$I$89,3,0)*VLOOKUP('Données projet'!$B$12,Paramètres!$A$1:$I$89,5,0)</f>
        <v>170.52463999999969</v>
      </c>
      <c r="CA89" s="13">
        <f t="shared" si="93"/>
        <v>43.207504412262985</v>
      </c>
      <c r="CB89" s="20">
        <f t="shared" si="64"/>
        <v>372.2501515180241</v>
      </c>
      <c r="CC89" s="59">
        <f t="shared" si="65"/>
        <v>665.58348485135741</v>
      </c>
      <c r="CD89" s="59">
        <f ca="1">AVERAGE(OFFSET($CC$3,0,0,'Données projet'!$E$12+1,1))-AVERAGE(OFFSET($H$3,0,0,'Données projet'!$E$12+1,1))</f>
        <v>268.71706840132384</v>
      </c>
      <c r="CE89" s="59">
        <f t="shared" si="94"/>
        <v>199.92519498289477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33.183316789093787</v>
      </c>
      <c r="CL89" s="21">
        <f>EXP(-LN(2)/25)*CL88+(1-EXP(-LN(2)/25))/(LN(2)/25)*Calculateur!CG89*Calculateur!CI89*VLOOKUP('Données projet'!$B$12,Paramètres!$A$1:$I$89,3,0)*0.475*44/12</f>
        <v>9.7289886479308674</v>
      </c>
      <c r="CM89" s="21">
        <f>EXP(-LN(2)/2)*CM88+(1-EXP(-LN(2)/2))/(LN(2)/2)*CG89*CJ89*VLOOKUP('Données projet'!$B$12,Paramètres!$A$1:$I$89,3,0)*0.475*44/12</f>
        <v>0.38220457214188014</v>
      </c>
      <c r="CN89" s="22">
        <f t="shared" si="66"/>
        <v>43.294510009166537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7.4950142450142421</v>
      </c>
      <c r="N90" s="13">
        <f>IF('Données projet'!$A$36&gt;35,N89+M90-V89,IF(A90&lt;'Données projet'!$A$36,$K$205^A90,IF(A90='Données projet'!$A$36,'Données projet'!$B$36,N89+M90-V89)))</f>
        <v>280.86894586894613</v>
      </c>
      <c r="O90" s="13">
        <f>N90*VLOOKUP('Données projet'!$B$9,Paramètres!$A$1:$I$89,3,0)*VLOOKUP('Données projet'!$B$9,Paramètres!$A$1:$I$89,5,0)</f>
        <v>254.13022222222247</v>
      </c>
      <c r="P90" s="13">
        <f t="shared" si="87"/>
        <v>61.469520573147591</v>
      </c>
      <c r="Q90" s="20">
        <f t="shared" si="54"/>
        <v>549.66955203526948</v>
      </c>
      <c r="R90" s="59">
        <f t="shared" si="55"/>
        <v>843.00288536860285</v>
      </c>
      <c r="S90" s="59">
        <f ca="1">AVERAGE(OFFSET($R$3,0,0,'Données projet'!$E$9+1,1))-AVERAGE(OFFSET($H$3,0,0,'Données projet'!$E$9+1,1))</f>
        <v>384.05928630855732</v>
      </c>
      <c r="T90" s="59">
        <f t="shared" si="88"/>
        <v>279.93992813630513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28.521863194271916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28.521863194271916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-6.3550942286383367E-14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335.04906256888819</v>
      </c>
      <c r="AO90" s="59">
        <f t="shared" si="90"/>
        <v>440.84111898279554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120.26572360470689</v>
      </c>
      <c r="AV90" s="21">
        <f>EXP(-LN(2)/25)*AV89+(1-EXP(-LN(2)/25))/(LN(2)/25)*Calculateur!AQ90*Calculateur!AS90*VLOOKUP('Données projet'!$B$10,Paramètres!$A$1:$I$89,3,0)*0.475*44/12</f>
        <v>23.72258404668786</v>
      </c>
      <c r="AW90" s="21">
        <f>EXP(-LN(2)/2)*AW89+(1-EXP(-LN(2)/2))/(LN(2)/2)*AQ90*AT90*VLOOKUP('Données projet'!$B$10,Paramètres!$A$1:$I$89,3,0)*0.475*44/12</f>
        <v>5.2126013189868886E-4</v>
      </c>
      <c r="AX90" s="21">
        <f t="shared" si="60"/>
        <v>143.98882891152667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261.20475283925128</v>
      </c>
      <c r="BJ90" s="59">
        <f t="shared" si="92"/>
        <v>247.06045079522403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118.85015026081287</v>
      </c>
      <c r="BQ90" s="21">
        <f>EXP(-LN(2)/25)*BQ89+(1-EXP(-LN(2)/25))/(LN(2)/25)*Calculateur!BL90*Calculateur!BN90*VLOOKUP('Données projet'!$B$11,Paramètres!$A$1:$I$89,3,0)*0.475*44/12</f>
        <v>27.356106776375249</v>
      </c>
      <c r="BR90" s="21">
        <f>EXP(-LN(2)/2)*BR89+(1-EXP(-LN(2)/2))/(LN(2)/2)*BL90*BO90*VLOOKUP('Données projet'!$B$11,Paramètres!$A$1:$I$89,3,0)*0.475*44/12</f>
        <v>8.6994448662800386E-2</v>
      </c>
      <c r="BS90" s="22">
        <f t="shared" si="63"/>
        <v>146.29325148585093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4.7699999999999987</v>
      </c>
      <c r="BY90" s="12">
        <f>IF('Données projet'!$A$114&gt;35,BY89+BX90-CG89,IF(A90&lt;'Données projet'!$A$114,$BV$205^A90,IF(A90='Données projet'!$A$114,'Données projet'!$B$114,BY89+BX90-CG89)))</f>
        <v>302.88999999999947</v>
      </c>
      <c r="BZ90" s="13">
        <f>BY90*VLOOKUP('Données projet'!$B$12,Paramètres!$A$1:$I$89,3,0)*VLOOKUP('Données projet'!$B$12,Paramètres!$A$1:$I$89,5,0)</f>
        <v>173.25307999999973</v>
      </c>
      <c r="CA90" s="13">
        <f t="shared" si="93"/>
        <v>43.817799587330867</v>
      </c>
      <c r="CB90" s="20">
        <f t="shared" si="64"/>
        <v>378.06511528126742</v>
      </c>
      <c r="CC90" s="59">
        <f t="shared" si="65"/>
        <v>671.39844861460074</v>
      </c>
      <c r="CD90" s="59">
        <f ca="1">AVERAGE(OFFSET($CC$3,0,0,'Données projet'!$E$12+1,1))-AVERAGE(OFFSET($H$3,0,0,'Données projet'!$E$12+1,1))</f>
        <v>268.71706840132384</v>
      </c>
      <c r="CE90" s="59">
        <f t="shared" si="94"/>
        <v>199.92519498289477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32.532612186684382</v>
      </c>
      <c r="CL90" s="21">
        <f>EXP(-LN(2)/25)*CL89+(1-EXP(-LN(2)/25))/(LN(2)/25)*Calculateur!CG90*Calculateur!CI90*VLOOKUP('Données projet'!$B$12,Paramètres!$A$1:$I$89,3,0)*0.475*44/12</f>
        <v>9.4629489417279213</v>
      </c>
      <c r="CM90" s="21">
        <f>EXP(-LN(2)/2)*CM89+(1-EXP(-LN(2)/2))/(LN(2)/2)*CG90*CJ90*VLOOKUP('Données projet'!$B$12,Paramètres!$A$1:$I$89,3,0)*0.475*44/12</f>
        <v>0.27025944476202646</v>
      </c>
      <c r="CN90" s="22">
        <f t="shared" si="66"/>
        <v>42.265820573174331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7.4950142450142421</v>
      </c>
      <c r="N91" s="13">
        <f>IF('Données projet'!$A$36&gt;35,N90+M91-V90,IF(A91&lt;'Données projet'!$A$36,$K$205^A91,IF(A91='Données projet'!$A$36,'Données projet'!$B$36,N90+M91-V90)))</f>
        <v>288.36396011396039</v>
      </c>
      <c r="O91" s="13">
        <f>N91*VLOOKUP('Données projet'!$B$9,Paramètres!$A$1:$I$89,3,0)*VLOOKUP('Données projet'!$B$9,Paramètres!$A$1:$I$89,5,0)</f>
        <v>260.91171111111134</v>
      </c>
      <c r="P91" s="13">
        <f t="shared" si="87"/>
        <v>62.916678312142118</v>
      </c>
      <c r="Q91" s="20">
        <f t="shared" si="54"/>
        <v>564.00111157883305</v>
      </c>
      <c r="R91" s="59">
        <f t="shared" si="55"/>
        <v>857.33444491216642</v>
      </c>
      <c r="S91" s="59">
        <f ca="1">AVERAGE(OFFSET($R$3,0,0,'Données projet'!$E$9+1,1))-AVERAGE(OFFSET($H$3,0,0,'Données projet'!$E$9+1,1))</f>
        <v>384.05928630855732</v>
      </c>
      <c r="T91" s="59">
        <f t="shared" si="88"/>
        <v>279.93992813630513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27.962566853651019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27.962566853651019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-6.3550942286383367E-14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335.04906256888819</v>
      </c>
      <c r="AO91" s="59">
        <f t="shared" si="90"/>
        <v>440.84111898279554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117.9073861196668</v>
      </c>
      <c r="AV91" s="21">
        <f>EXP(-LN(2)/25)*AV90+(1-EXP(-LN(2)/25))/(LN(2)/25)*Calculateur!AQ91*Calculateur!AS91*VLOOKUP('Données projet'!$B$10,Paramètres!$A$1:$I$89,3,0)*0.475*44/12</f>
        <v>23.073888738414706</v>
      </c>
      <c r="AW91" s="21">
        <f>EXP(-LN(2)/2)*AW90+(1-EXP(-LN(2)/2))/(LN(2)/2)*AQ91*AT91*VLOOKUP('Données projet'!$B$10,Paramètres!$A$1:$I$89,3,0)*0.475*44/12</f>
        <v>3.6858657402775709E-4</v>
      </c>
      <c r="AX91" s="21">
        <f t="shared" si="60"/>
        <v>140.98164344465553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261.20475283925128</v>
      </c>
      <c r="BJ91" s="59">
        <f t="shared" si="92"/>
        <v>247.06045079522403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116.51957130563206</v>
      </c>
      <c r="BQ91" s="21">
        <f>EXP(-LN(2)/25)*BQ90+(1-EXP(-LN(2)/25))/(LN(2)/25)*Calculateur!BL91*Calculateur!BN91*VLOOKUP('Données projet'!$B$11,Paramètres!$A$1:$I$89,3,0)*0.475*44/12</f>
        <v>26.608052597980137</v>
      </c>
      <c r="BR91" s="21">
        <f>EXP(-LN(2)/2)*BR90+(1-EXP(-LN(2)/2))/(LN(2)/2)*BL91*BO91*VLOOKUP('Données projet'!$B$11,Paramètres!$A$1:$I$89,3,0)*0.475*44/12</f>
        <v>6.1514364575051141E-2</v>
      </c>
      <c r="BS91" s="22">
        <f t="shared" si="63"/>
        <v>143.18913826818726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4.7699999999999987</v>
      </c>
      <c r="BY91" s="12">
        <f>IF('Données projet'!$A$114&gt;35,BY90+BX91-CG90,IF(A91&lt;'Données projet'!$A$114,$BV$205^A91,IF(A91='Données projet'!$A$114,'Données projet'!$B$114,BY90+BX91-CG90)))</f>
        <v>307.65999999999946</v>
      </c>
      <c r="BZ91" s="13">
        <f>BY91*VLOOKUP('Données projet'!$B$12,Paramètres!$A$1:$I$89,3,0)*VLOOKUP('Données projet'!$B$12,Paramètres!$A$1:$I$89,5,0)</f>
        <v>175.9815199999997</v>
      </c>
      <c r="CA91" s="13">
        <f t="shared" si="93"/>
        <v>44.426977005525821</v>
      </c>
      <c r="CB91" s="20">
        <f t="shared" si="64"/>
        <v>383.87813228462363</v>
      </c>
      <c r="CC91" s="59">
        <f t="shared" si="65"/>
        <v>677.21146561795695</v>
      </c>
      <c r="CD91" s="59">
        <f ca="1">AVERAGE(OFFSET($CC$3,0,0,'Données projet'!$E$12+1,1))-AVERAGE(OFFSET($H$3,0,0,'Données projet'!$E$12+1,1))</f>
        <v>268.71706840132384</v>
      </c>
      <c r="CE91" s="59">
        <f t="shared" si="94"/>
        <v>199.92519498289477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31.894667504637606</v>
      </c>
      <c r="CL91" s="21">
        <f>EXP(-LN(2)/25)*CL90+(1-EXP(-LN(2)/25))/(LN(2)/25)*Calculateur!CG91*Calculateur!CI91*VLOOKUP('Données projet'!$B$12,Paramètres!$A$1:$I$89,3,0)*0.475*44/12</f>
        <v>9.2041841052815148</v>
      </c>
      <c r="CM91" s="21">
        <f>EXP(-LN(2)/2)*CM90+(1-EXP(-LN(2)/2))/(LN(2)/2)*CG91*CJ91*VLOOKUP('Données projet'!$B$12,Paramètres!$A$1:$I$89,3,0)*0.475*44/12</f>
        <v>0.19110228607094007</v>
      </c>
      <c r="CN91" s="22">
        <f t="shared" si="66"/>
        <v>41.28995389599006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295.85897435897436</v>
      </c>
      <c r="L92" s="12">
        <f>VLOOKUP(A92,'Données projet'!$A$35:$I$55,9,0)</f>
        <v>7.4950142450142421</v>
      </c>
      <c r="M92" s="12">
        <f t="array" ref="M92">INDEX(L:L,MIN(IF(ISNUMBER(L92:L288),ROW(L92:L288),"")))</f>
        <v>7.4950142450142421</v>
      </c>
      <c r="N92" s="13">
        <f>IF('Données projet'!$A$36&gt;35,N91+M92-V91,IF(A92&lt;'Données projet'!$A$36,$K$205^A92,IF(A92='Données projet'!$A$36,'Données projet'!$B$36,N91+M92-V91)))</f>
        <v>295.85897435897465</v>
      </c>
      <c r="O92" s="13">
        <f>N92*VLOOKUP('Données projet'!$B$9,Paramètres!$A$1:$I$89,3,0)*VLOOKUP('Données projet'!$B$9,Paramètres!$A$1:$I$89,5,0)</f>
        <v>267.69320000000022</v>
      </c>
      <c r="P92" s="13">
        <f t="shared" si="87"/>
        <v>64.359463899490166</v>
      </c>
      <c r="Q92" s="20">
        <f t="shared" si="54"/>
        <v>578.32505629161233</v>
      </c>
      <c r="R92" s="59">
        <f t="shared" si="55"/>
        <v>871.65838962494558</v>
      </c>
      <c r="S92" s="59">
        <f ca="1">AVERAGE(OFFSET($R$3,0,0,'Données projet'!$E$9+1,1))-AVERAGE(OFFSET($H$3,0,0,'Données projet'!$E$9+1,1))</f>
        <v>384.05928630855732</v>
      </c>
      <c r="T92" s="59">
        <f t="shared" si="88"/>
        <v>279.93992813630513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49.391025641025635</v>
      </c>
      <c r="W92" s="16">
        <f>IF(ISNA(VLOOKUP(A92,'Données projet'!$A$35:$I$55,5,0)),0%,VLOOKUP(A92,'Données projet'!$A$35:$I$55,5,0)*VLOOKUP('Données projet'!$B$9,Paramètres!$A$1:$I$89,7,0))</f>
        <v>0.30099999999999999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42.284350076207964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42.284350076207964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-6.3550942286383367E-14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335.04906256888819</v>
      </c>
      <c r="AO92" s="59">
        <f t="shared" si="90"/>
        <v>440.84111898279554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115.59529419426451</v>
      </c>
      <c r="AV92" s="21">
        <f>EXP(-LN(2)/25)*AV91+(1-EXP(-LN(2)/25))/(LN(2)/25)*Calculateur!AQ92*Calculateur!AS92*VLOOKUP('Données projet'!$B$10,Paramètres!$A$1:$I$89,3,0)*0.475*44/12</f>
        <v>22.442932037459684</v>
      </c>
      <c r="AW92" s="21">
        <f>EXP(-LN(2)/2)*AW91+(1-EXP(-LN(2)/2))/(LN(2)/2)*AQ92*AT92*VLOOKUP('Données projet'!$B$10,Paramètres!$A$1:$I$89,3,0)*0.475*44/12</f>
        <v>2.6063006594934443E-4</v>
      </c>
      <c r="AX92" s="21">
        <f t="shared" si="60"/>
        <v>138.03848686179015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261.20475283925128</v>
      </c>
      <c r="BJ92" s="59">
        <f t="shared" si="92"/>
        <v>247.06045079522403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114.23469358224953</v>
      </c>
      <c r="BQ92" s="21">
        <f>EXP(-LN(2)/25)*BQ91+(1-EXP(-LN(2)/25))/(LN(2)/25)*Calculateur!BL92*Calculateur!BN92*VLOOKUP('Données projet'!$B$11,Paramètres!$A$1:$I$89,3,0)*0.475*44/12</f>
        <v>25.880454000431698</v>
      </c>
      <c r="BR92" s="21">
        <f>EXP(-LN(2)/2)*BR91+(1-EXP(-LN(2)/2))/(LN(2)/2)*BL92*BO92*VLOOKUP('Données projet'!$B$11,Paramètres!$A$1:$I$89,3,0)*0.475*44/12</f>
        <v>4.34972243314002E-2</v>
      </c>
      <c r="BS92" s="22">
        <f t="shared" si="63"/>
        <v>140.15864480701262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4.7699999999999987</v>
      </c>
      <c r="BY92" s="12">
        <f>IF('Données projet'!$A$114&gt;35,BY91+BX92-CG91,IF(A92&lt;'Données projet'!$A$114,$BV$205^A92,IF(A92='Données projet'!$A$114,'Données projet'!$B$114,BY91+BX92-CG91)))</f>
        <v>312.42999999999944</v>
      </c>
      <c r="BZ92" s="13">
        <f>BY92*VLOOKUP('Données projet'!$B$12,Paramètres!$A$1:$I$89,3,0)*VLOOKUP('Données projet'!$B$12,Paramètres!$A$1:$I$89,5,0)</f>
        <v>178.70995999999968</v>
      </c>
      <c r="CA92" s="13">
        <f t="shared" si="93"/>
        <v>45.03505599800009</v>
      </c>
      <c r="CB92" s="20">
        <f t="shared" si="64"/>
        <v>389.68923619651622</v>
      </c>
      <c r="CC92" s="59">
        <f t="shared" si="65"/>
        <v>683.02256952984953</v>
      </c>
      <c r="CD92" s="59">
        <f ca="1">AVERAGE(OFFSET($CC$3,0,0,'Données projet'!$E$12+1,1))-AVERAGE(OFFSET($H$3,0,0,'Données projet'!$E$12+1,1))</f>
        <v>268.71706840132384</v>
      </c>
      <c r="CE92" s="59">
        <f t="shared" si="94"/>
        <v>199.92519498289477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31.269232528697934</v>
      </c>
      <c r="CL92" s="21">
        <f>EXP(-LN(2)/25)*CL91+(1-EXP(-LN(2)/25))/(LN(2)/25)*Calculateur!CG92*Calculateur!CI92*VLOOKUP('Données projet'!$B$12,Paramètres!$A$1:$I$89,3,0)*0.475*44/12</f>
        <v>8.9524952068955859</v>
      </c>
      <c r="CM92" s="21">
        <f>EXP(-LN(2)/2)*CM91+(1-EXP(-LN(2)/2))/(LN(2)/2)*CG92*CJ92*VLOOKUP('Données projet'!$B$12,Paramètres!$A$1:$I$89,3,0)*0.475*44/12</f>
        <v>0.13512972238101323</v>
      </c>
      <c r="CN92" s="22">
        <f t="shared" si="66"/>
        <v>40.356857457974534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7.1782051282051267</v>
      </c>
      <c r="N93" s="13">
        <f>IF('Données projet'!$A$36&gt;35,N92+M93-V92,IF(A93&lt;'Données projet'!$A$36,$K$205^A93,IF(A93='Données projet'!$A$36,'Données projet'!$B$36,N92+M93-V92)))</f>
        <v>253.64615384615416</v>
      </c>
      <c r="O93" s="13">
        <f>N93*VLOOKUP('Données projet'!$B$9,Paramètres!$A$1:$I$89,3,0)*VLOOKUP('Données projet'!$B$9,Paramètres!$A$1:$I$89,5,0)</f>
        <v>229.49904000000029</v>
      </c>
      <c r="P93" s="13">
        <f t="shared" si="87"/>
        <v>56.174348524497042</v>
      </c>
      <c r="Q93" s="20">
        <f t="shared" si="54"/>
        <v>497.54781834683286</v>
      </c>
      <c r="R93" s="59">
        <f t="shared" si="55"/>
        <v>790.88115168016611</v>
      </c>
      <c r="S93" s="59">
        <f ca="1">AVERAGE(OFFSET($R$3,0,0,'Données projet'!$E$9+1,1))-AVERAGE(OFFSET($H$3,0,0,'Données projet'!$E$9+1,1))</f>
        <v>384.05928630855732</v>
      </c>
      <c r="T93" s="59">
        <f t="shared" si="88"/>
        <v>279.93992813630513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41.45517976212043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41.45517976212043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-6.3550942286383367E-14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335.04906256888819</v>
      </c>
      <c r="AO93" s="59">
        <f t="shared" si="90"/>
        <v>440.84111898279554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113.32854098128254</v>
      </c>
      <c r="AV93" s="21">
        <f>EXP(-LN(2)/25)*AV92+(1-EXP(-LN(2)/25))/(LN(2)/25)*Calculateur!AQ93*Calculateur!AS93*VLOOKUP('Données projet'!$B$10,Paramètres!$A$1:$I$89,3,0)*0.475*44/12</f>
        <v>21.829228880672847</v>
      </c>
      <c r="AW93" s="21">
        <f>EXP(-LN(2)/2)*AW92+(1-EXP(-LN(2)/2))/(LN(2)/2)*AQ93*AT93*VLOOKUP('Données projet'!$B$10,Paramètres!$A$1:$I$89,3,0)*0.475*44/12</f>
        <v>1.8429328701387854E-4</v>
      </c>
      <c r="AX93" s="21">
        <f t="shared" si="60"/>
        <v>135.15795415524241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261.20475283925128</v>
      </c>
      <c r="BJ93" s="59">
        <f t="shared" si="92"/>
        <v>247.06045079522403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111.99462091738475</v>
      </c>
      <c r="BQ93" s="21">
        <f>EXP(-LN(2)/25)*BQ92+(1-EXP(-LN(2)/25))/(LN(2)/25)*Calculateur!BL93*Calculateur!BN93*VLOOKUP('Données projet'!$B$11,Paramètres!$A$1:$I$89,3,0)*0.475*44/12</f>
        <v>25.172751624795968</v>
      </c>
      <c r="BR93" s="21">
        <f>EXP(-LN(2)/2)*BR92+(1-EXP(-LN(2)/2))/(LN(2)/2)*BL93*BO93*VLOOKUP('Données projet'!$B$11,Paramètres!$A$1:$I$89,3,0)*0.475*44/12</f>
        <v>3.0757182287525574E-2</v>
      </c>
      <c r="BS93" s="22">
        <f t="shared" si="63"/>
        <v>137.19812972446823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317.2</v>
      </c>
      <c r="BW93" s="12">
        <f>VLOOKUP(A93,'Données projet'!$A$113:$I$133,9,0)</f>
        <v>4.7699999999999987</v>
      </c>
      <c r="BX93" s="12">
        <f t="array" ref="BX93">INDEX(BW:BW,MIN(IF(ISNUMBER(BW93:BW289),ROW(BW93:BW289),"")))</f>
        <v>4.7699999999999987</v>
      </c>
      <c r="BY93" s="12">
        <f>IF('Données projet'!$A$114&gt;35,BY92+BX93-CG92,IF(A93&lt;'Données projet'!$A$114,$BV$205^A93,IF(A93='Données projet'!$A$114,'Données projet'!$B$114,BY92+BX93-CG92)))</f>
        <v>317.19999999999942</v>
      </c>
      <c r="BZ93" s="13">
        <f>BY93*VLOOKUP('Données projet'!$B$12,Paramètres!$A$1:$I$89,3,0)*VLOOKUP('Données projet'!$B$12,Paramètres!$A$1:$I$89,5,0)</f>
        <v>181.43839999999969</v>
      </c>
      <c r="CA93" s="13">
        <f t="shared" si="93"/>
        <v>45.64205527176064</v>
      </c>
      <c r="CB93" s="20">
        <f t="shared" si="64"/>
        <v>395.49845959831595</v>
      </c>
      <c r="CC93" s="59">
        <f t="shared" si="65"/>
        <v>688.83179293164926</v>
      </c>
      <c r="CD93" s="59">
        <f ca="1">AVERAGE(OFFSET($CC$3,0,0,'Données projet'!$E$12+1,1))-AVERAGE(OFFSET($H$3,0,0,'Données projet'!$E$12+1,1))</f>
        <v>268.71706840132384</v>
      </c>
      <c r="CE93" s="59">
        <f t="shared" si="94"/>
        <v>199.92519498289477</v>
      </c>
      <c r="CF93" s="15">
        <f>IF(ISNA(VLOOKUP(A93,'Données projet'!$A$113:$I$133,3,0)),0,VLOOKUP(A93,'Données projet'!$A$113:$I$133,3,0))</f>
        <v>9</v>
      </c>
      <c r="CG93" s="15">
        <f>IF(ISNA(VLOOKUP(A93,'Données projet'!$A$113:$I$133,4,0)),0,VLOOKUP(A93,'Données projet'!$A$113:$I$133,4,0))</f>
        <v>35.200000000000003</v>
      </c>
      <c r="CH93" s="16">
        <f>IF(ISNA(VLOOKUP(A93,'Données projet'!$A$113:$I$133,5,0)),0%,VLOOKUP(A93,'Données projet'!$A$113:$I$133,5,0)*VLOOKUP('Données projet'!$B$12,Paramètres!$A$1:$I$89,7,0))</f>
        <v>0.315</v>
      </c>
      <c r="CI93" s="16">
        <f>IF(ISNA(VLOOKUP(A93,'Données projet'!$A$113:$I$133,6,0)),0%,VLOOKUP(A93,'Données projet'!$A$113:$I$133,6,0)*VLOOKUP('Données projet'!$B$12,Paramètres!$A$1:$I$89,7,0))</f>
        <v>7.6500000000000012E-2</v>
      </c>
      <c r="CJ93" s="16">
        <f>IF(ISNA(VLOOKUP(A93,'Données projet'!$A$113:$I$133,7,0)),0%,VLOOKUP(A93,'Données projet'!$A$113:$I$133,7,0))</f>
        <v>0.13</v>
      </c>
      <c r="CK93" s="21">
        <f>EXP(-LN(2)/35)*CK92+(1-EXP(-LN(2)/35))/(LN(2)/35)*CG93*CH93*VLOOKUP('Données projet'!$B$12,Paramètres!$A$1:$I$89,3,0)*0.475*44/12</f>
        <v>39.069579453213365</v>
      </c>
      <c r="CL93" s="21">
        <f>EXP(-LN(2)/25)*CL92+(1-EXP(-LN(2)/25))/(LN(2)/25)*Calculateur!CG93*Calculateur!CI93*VLOOKUP('Données projet'!$B$12,Paramètres!$A$1:$I$89,3,0)*0.475*44/12</f>
        <v>10.742926393577587</v>
      </c>
      <c r="CM93" s="21">
        <f>EXP(-LN(2)/2)*CM92+(1-EXP(-LN(2)/2))/(LN(2)/2)*CG93*CJ93*VLOOKUP('Données projet'!$B$12,Paramètres!$A$1:$I$89,3,0)*0.475*44/12</f>
        <v>3.0591374793066639</v>
      </c>
      <c r="CN93" s="22">
        <f t="shared" si="66"/>
        <v>52.871643326097619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7.1782051282051267</v>
      </c>
      <c r="N94" s="13">
        <f>IF('Données projet'!$A$36&gt;35,N93+M94-V93,IF(A94&lt;'Données projet'!$A$36,$K$205^A94,IF(A94='Données projet'!$A$36,'Données projet'!$B$36,N93+M94-V93)))</f>
        <v>260.82435897435931</v>
      </c>
      <c r="O94" s="13">
        <f>N94*VLOOKUP('Données projet'!$B$9,Paramètres!$A$1:$I$89,3,0)*VLOOKUP('Données projet'!$B$9,Paramètres!$A$1:$I$89,5,0)</f>
        <v>235.99388000000027</v>
      </c>
      <c r="P94" s="13">
        <f t="shared" si="87"/>
        <v>57.57675164364376</v>
      </c>
      <c r="Q94" s="20">
        <f t="shared" si="54"/>
        <v>511.30218344601343</v>
      </c>
      <c r="R94" s="59">
        <f t="shared" si="55"/>
        <v>804.63551677934674</v>
      </c>
      <c r="S94" s="59">
        <f ca="1">AVERAGE(OFFSET($R$3,0,0,'Données projet'!$E$9+1,1))-AVERAGE(OFFSET($H$3,0,0,'Données projet'!$E$9+1,1))</f>
        <v>384.05928630855732</v>
      </c>
      <c r="T94" s="59">
        <f t="shared" si="88"/>
        <v>279.93992813630513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40.642268972148202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40.642268972148202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-6.3550942286383367E-14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335.04906256888819</v>
      </c>
      <c r="AO94" s="59">
        <f t="shared" si="90"/>
        <v>440.84111898279554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111.1062374162242</v>
      </c>
      <c r="AV94" s="21">
        <f>EXP(-LN(2)/25)*AV93+(1-EXP(-LN(2)/25))/(LN(2)/25)*Calculateur!AQ94*Calculateur!AS94*VLOOKUP('Données projet'!$B$10,Paramètres!$A$1:$I$89,3,0)*0.475*44/12</f>
        <v>21.232307468981592</v>
      </c>
      <c r="AW94" s="21">
        <f>EXP(-LN(2)/2)*AW93+(1-EXP(-LN(2)/2))/(LN(2)/2)*AQ94*AT94*VLOOKUP('Données projet'!$B$10,Paramètres!$A$1:$I$89,3,0)*0.475*44/12</f>
        <v>1.3031503297467222E-4</v>
      </c>
      <c r="AX94" s="21">
        <f t="shared" si="60"/>
        <v>132.33867520023878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261.20475283925128</v>
      </c>
      <c r="BJ94" s="59">
        <f t="shared" si="92"/>
        <v>247.06045079522403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109.79847471116855</v>
      </c>
      <c r="BQ94" s="21">
        <f>EXP(-LN(2)/25)*BQ93+(1-EXP(-LN(2)/25))/(LN(2)/25)*Calculateur!BL94*Calculateur!BN94*VLOOKUP('Données projet'!$B$11,Paramètres!$A$1:$I$89,3,0)*0.475*44/12</f>
        <v>24.484401407838448</v>
      </c>
      <c r="BR94" s="21">
        <f>EXP(-LN(2)/2)*BR93+(1-EXP(-LN(2)/2))/(LN(2)/2)*BL94*BO94*VLOOKUP('Données projet'!$B$11,Paramètres!$A$1:$I$89,3,0)*0.475*44/12</f>
        <v>2.1748612165700103E-2</v>
      </c>
      <c r="BS94" s="22">
        <f t="shared" si="63"/>
        <v>134.30462473117271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4.1199999999999992</v>
      </c>
      <c r="BY94" s="12">
        <f>IF('Données projet'!$A$114&gt;35,BY93+BX94-CG93,IF(A94&lt;'Données projet'!$A$114,$BV$205^A94,IF(A94='Données projet'!$A$114,'Données projet'!$B$114,BY93+BX94-CG93)))</f>
        <v>286.11999999999944</v>
      </c>
      <c r="BZ94" s="13">
        <f>BY94*VLOOKUP('Données projet'!$B$12,Paramètres!$A$1:$I$89,3,0)*VLOOKUP('Données projet'!$B$12,Paramètres!$A$1:$I$89,5,0)</f>
        <v>163.66063999999969</v>
      </c>
      <c r="CA94" s="13">
        <f t="shared" si="93"/>
        <v>41.667092801487662</v>
      </c>
      <c r="CB94" s="20">
        <f t="shared" si="64"/>
        <v>357.61246796259042</v>
      </c>
      <c r="CC94" s="59">
        <f t="shared" si="65"/>
        <v>650.94580129592373</v>
      </c>
      <c r="CD94" s="59">
        <f ca="1">AVERAGE(OFFSET($CC$3,0,0,'Données projet'!$E$12+1,1))-AVERAGE(OFFSET($H$3,0,0,'Données projet'!$E$12+1,1))</f>
        <v>268.71706840132384</v>
      </c>
      <c r="CE94" s="59">
        <f t="shared" si="94"/>
        <v>199.92519498289477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38.303448830226294</v>
      </c>
      <c r="CL94" s="21">
        <f>EXP(-LN(2)/25)*CL93+(1-EXP(-LN(2)/25))/(LN(2)/25)*Calculateur!CG94*Calculateur!CI94*VLOOKUP('Données projet'!$B$12,Paramètres!$A$1:$I$89,3,0)*0.475*44/12</f>
        <v>10.449160506399263</v>
      </c>
      <c r="CM94" s="21">
        <f>EXP(-LN(2)/2)*CM93+(1-EXP(-LN(2)/2))/(LN(2)/2)*CG94*CJ94*VLOOKUP('Données projet'!$B$12,Paramètres!$A$1:$I$89,3,0)*0.475*44/12</f>
        <v>2.1631368561996638</v>
      </c>
      <c r="CN94" s="22">
        <f t="shared" si="66"/>
        <v>50.915746192825218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7.1782051282051267</v>
      </c>
      <c r="N95" s="13">
        <f>IF('Données projet'!$A$36&gt;35,N94+M95-V94,IF(A95&lt;'Données projet'!$A$36,$K$205^A95,IF(A95='Données projet'!$A$36,'Données projet'!$B$36,N94+M95-V94)))</f>
        <v>268.00256410256446</v>
      </c>
      <c r="O95" s="13">
        <f>N95*VLOOKUP('Données projet'!$B$9,Paramètres!$A$1:$I$89,3,0)*VLOOKUP('Données projet'!$B$9,Paramètres!$A$1:$I$89,5,0)</f>
        <v>242.48872000000031</v>
      </c>
      <c r="P95" s="13">
        <f t="shared" si="87"/>
        <v>58.974668795914049</v>
      </c>
      <c r="Q95" s="20">
        <f t="shared" si="54"/>
        <v>525.04873548621742</v>
      </c>
      <c r="R95" s="59">
        <f t="shared" si="55"/>
        <v>818.3820688195508</v>
      </c>
      <c r="S95" s="59">
        <f ca="1">AVERAGE(OFFSET($R$3,0,0,'Données projet'!$E$9+1,1))-AVERAGE(OFFSET($H$3,0,0,'Données projet'!$E$9+1,1))</f>
        <v>384.05928630855732</v>
      </c>
      <c r="T95" s="59">
        <f t="shared" si="88"/>
        <v>279.93992813630513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39.845298866940702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39.845298866940702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-6.3550942286383367E-14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335.04906256888819</v>
      </c>
      <c r="AO95" s="59">
        <f t="shared" si="90"/>
        <v>440.84111898279554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108.92751186860532</v>
      </c>
      <c r="AV95" s="21">
        <f>EXP(-LN(2)/25)*AV94+(1-EXP(-LN(2)/25))/(LN(2)/25)*Calculateur!AQ95*Calculateur!AS95*VLOOKUP('Données projet'!$B$10,Paramètres!$A$1:$I$89,3,0)*0.475*44/12</f>
        <v>20.651708904683769</v>
      </c>
      <c r="AW95" s="21">
        <f>EXP(-LN(2)/2)*AW94+(1-EXP(-LN(2)/2))/(LN(2)/2)*AQ95*AT95*VLOOKUP('Données projet'!$B$10,Paramètres!$A$1:$I$89,3,0)*0.475*44/12</f>
        <v>9.2146643506939272E-5</v>
      </c>
      <c r="AX95" s="21">
        <f t="shared" si="60"/>
        <v>129.57931291993259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261.20475283925128</v>
      </c>
      <c r="BJ95" s="59">
        <f t="shared" si="92"/>
        <v>247.06045079522403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107.64539359253932</v>
      </c>
      <c r="BQ95" s="21">
        <f>EXP(-LN(2)/25)*BQ94+(1-EXP(-LN(2)/25))/(LN(2)/25)*Calculateur!BL95*Calculateur!BN95*VLOOKUP('Données projet'!$B$11,Paramètres!$A$1:$I$89,3,0)*0.475*44/12</f>
        <v>23.814874163762394</v>
      </c>
      <c r="BR95" s="21">
        <f>EXP(-LN(2)/2)*BR94+(1-EXP(-LN(2)/2))/(LN(2)/2)*BL95*BO95*VLOOKUP('Données projet'!$B$11,Paramètres!$A$1:$I$89,3,0)*0.475*44/12</f>
        <v>1.537859114376279E-2</v>
      </c>
      <c r="BS95" s="22">
        <f t="shared" si="63"/>
        <v>131.47564634744546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4.1199999999999992</v>
      </c>
      <c r="BY95" s="12">
        <f>IF('Données projet'!$A$114&gt;35,BY94+BX95-CG94,IF(A95&lt;'Données projet'!$A$114,$BV$205^A95,IF(A95='Données projet'!$A$114,'Données projet'!$B$114,BY94+BX95-CG94)))</f>
        <v>290.23999999999944</v>
      </c>
      <c r="BZ95" s="13">
        <f>BY95*VLOOKUP('Données projet'!$B$12,Paramètres!$A$1:$I$89,3,0)*VLOOKUP('Données projet'!$B$12,Paramètres!$A$1:$I$89,5,0)</f>
        <v>166.01727999999969</v>
      </c>
      <c r="CA95" s="13">
        <f t="shared" si="93"/>
        <v>42.19679982227467</v>
      </c>
      <c r="CB95" s="20">
        <f t="shared" si="64"/>
        <v>362.63952235712782</v>
      </c>
      <c r="CC95" s="59">
        <f t="shared" si="65"/>
        <v>655.97285569046107</v>
      </c>
      <c r="CD95" s="59">
        <f ca="1">AVERAGE(OFFSET($CC$3,0,0,'Données projet'!$E$12+1,1))-AVERAGE(OFFSET($H$3,0,0,'Données projet'!$E$12+1,1))</f>
        <v>268.71706840132384</v>
      </c>
      <c r="CE95" s="59">
        <f t="shared" si="94"/>
        <v>199.92519498289477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37.552341561462455</v>
      </c>
      <c r="CL95" s="21">
        <f>EXP(-LN(2)/25)*CL94+(1-EXP(-LN(2)/25))/(LN(2)/25)*Calculateur!CG95*Calculateur!CI95*VLOOKUP('Données projet'!$B$12,Paramètres!$A$1:$I$89,3,0)*0.475*44/12</f>
        <v>10.163427662854305</v>
      </c>
      <c r="CM95" s="21">
        <f>EXP(-LN(2)/2)*CM94+(1-EXP(-LN(2)/2))/(LN(2)/2)*CG95*CJ95*VLOOKUP('Données projet'!$B$12,Paramètres!$A$1:$I$89,3,0)*0.475*44/12</f>
        <v>1.5295687396533322</v>
      </c>
      <c r="CN95" s="22">
        <f t="shared" si="66"/>
        <v>49.245337963970094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7.1782051282051267</v>
      </c>
      <c r="N96" s="13">
        <f>IF('Données projet'!$A$36&gt;35,N95+M96-V95,IF(A96&lt;'Données projet'!$A$36,$K$205^A96,IF(A96='Données projet'!$A$36,'Données projet'!$B$36,N95+M96-V95)))</f>
        <v>275.18076923076961</v>
      </c>
      <c r="O96" s="13">
        <f>N96*VLOOKUP('Données projet'!$B$9,Paramètres!$A$1:$I$89,3,0)*VLOOKUP('Données projet'!$B$9,Paramètres!$A$1:$I$89,5,0)</f>
        <v>248.98356000000032</v>
      </c>
      <c r="P96" s="13">
        <f t="shared" si="87"/>
        <v>60.368233943158614</v>
      </c>
      <c r="Q96" s="20">
        <f t="shared" si="54"/>
        <v>538.78770778433511</v>
      </c>
      <c r="R96" s="59">
        <f t="shared" si="55"/>
        <v>832.12104111766848</v>
      </c>
      <c r="S96" s="59">
        <f ca="1">AVERAGE(OFFSET($R$3,0,0,'Données projet'!$E$9+1,1))-AVERAGE(OFFSET($H$3,0,0,'Données projet'!$E$9+1,1))</f>
        <v>384.05928630855732</v>
      </c>
      <c r="T96" s="59">
        <f t="shared" si="88"/>
        <v>279.93992813630513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39.063956859392562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39.063956859392562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-6.3550942286383367E-14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335.04906256888819</v>
      </c>
      <c r="AO96" s="59">
        <f t="shared" si="90"/>
        <v>440.84111898279554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106.79150980008389</v>
      </c>
      <c r="AV96" s="21">
        <f>EXP(-LN(2)/25)*AV95+(1-EXP(-LN(2)/25))/(LN(2)/25)*Calculateur!AQ96*Calculateur!AS96*VLOOKUP('Données projet'!$B$10,Paramètres!$A$1:$I$89,3,0)*0.475*44/12</f>
        <v>20.086986838659019</v>
      </c>
      <c r="AW96" s="21">
        <f>EXP(-LN(2)/2)*AW95+(1-EXP(-LN(2)/2))/(LN(2)/2)*AQ96*AT96*VLOOKUP('Données projet'!$B$10,Paramètres!$A$1:$I$89,3,0)*0.475*44/12</f>
        <v>6.5157516487336108E-5</v>
      </c>
      <c r="AX96" s="21">
        <f t="shared" si="60"/>
        <v>126.87856179625939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261.20475283925128</v>
      </c>
      <c r="BJ96" s="59">
        <f t="shared" si="92"/>
        <v>247.06045079522403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105.5345330813966</v>
      </c>
      <c r="BQ96" s="21">
        <f>EXP(-LN(2)/25)*BQ95+(1-EXP(-LN(2)/25))/(LN(2)/25)*Calculateur!BL96*Calculateur!BN96*VLOOKUP('Données projet'!$B$11,Paramètres!$A$1:$I$89,3,0)*0.475*44/12</f>
        <v>23.163655177384509</v>
      </c>
      <c r="BR96" s="21">
        <f>EXP(-LN(2)/2)*BR95+(1-EXP(-LN(2)/2))/(LN(2)/2)*BL96*BO96*VLOOKUP('Données projet'!$B$11,Paramètres!$A$1:$I$89,3,0)*0.475*44/12</f>
        <v>1.0874306082850053E-2</v>
      </c>
      <c r="BS96" s="22">
        <f t="shared" si="63"/>
        <v>128.70906256486396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4.1199999999999992</v>
      </c>
      <c r="BY96" s="12">
        <f>IF('Données projet'!$A$114&gt;35,BY95+BX96-CG95,IF(A96&lt;'Données projet'!$A$114,$BV$205^A96,IF(A96='Données projet'!$A$114,'Données projet'!$B$114,BY95+BX96-CG95)))</f>
        <v>294.35999999999945</v>
      </c>
      <c r="BZ96" s="13">
        <f>BY96*VLOOKUP('Données projet'!$B$12,Paramètres!$A$1:$I$89,3,0)*VLOOKUP('Données projet'!$B$12,Paramètres!$A$1:$I$89,5,0)</f>
        <v>168.37391999999969</v>
      </c>
      <c r="CA96" s="13">
        <f t="shared" si="93"/>
        <v>42.725632291668113</v>
      </c>
      <c r="CB96" s="20">
        <f t="shared" si="64"/>
        <v>367.66505357465468</v>
      </c>
      <c r="CC96" s="59">
        <f t="shared" si="65"/>
        <v>660.99838690798799</v>
      </c>
      <c r="CD96" s="59">
        <f ca="1">AVERAGE(OFFSET($CC$3,0,0,'Données projet'!$E$12+1,1))-AVERAGE(OFFSET($H$3,0,0,'Données projet'!$E$12+1,1))</f>
        <v>268.71706840132384</v>
      </c>
      <c r="CE96" s="59">
        <f t="shared" si="94"/>
        <v>199.92519498289477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36.815963048108884</v>
      </c>
      <c r="CL96" s="21">
        <f>EXP(-LN(2)/25)*CL95+(1-EXP(-LN(2)/25))/(LN(2)/25)*Calculateur!CG96*Calculateur!CI96*VLOOKUP('Données projet'!$B$12,Paramètres!$A$1:$I$89,3,0)*0.475*44/12</f>
        <v>9.885508198942123</v>
      </c>
      <c r="CM96" s="21">
        <f>EXP(-LN(2)/2)*CM95+(1-EXP(-LN(2)/2))/(LN(2)/2)*CG96*CJ96*VLOOKUP('Données projet'!$B$12,Paramètres!$A$1:$I$89,3,0)*0.475*44/12</f>
        <v>1.0815684280998321</v>
      </c>
      <c r="CN96" s="22">
        <f t="shared" si="66"/>
        <v>47.783039675150839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7.1782051282051267</v>
      </c>
      <c r="N97" s="13">
        <f>IF('Données projet'!$A$36&gt;35,N96+M97-V96,IF(A97&lt;'Données projet'!$A$36,$K$205^A97,IF(A97='Données projet'!$A$36,'Données projet'!$B$36,N96+M97-V96)))</f>
        <v>282.35897435897476</v>
      </c>
      <c r="O97" s="13">
        <f>N97*VLOOKUP('Données projet'!$B$9,Paramètres!$A$1:$I$89,3,0)*VLOOKUP('Données projet'!$B$9,Paramètres!$A$1:$I$89,5,0)</f>
        <v>255.47840000000036</v>
      </c>
      <c r="P97" s="13">
        <f t="shared" si="87"/>
        <v>61.757573660260803</v>
      </c>
      <c r="Q97" s="20">
        <f t="shared" si="54"/>
        <v>552.51932079162145</v>
      </c>
      <c r="R97" s="59">
        <f t="shared" si="55"/>
        <v>845.85265412495482</v>
      </c>
      <c r="S97" s="59">
        <f ca="1">AVERAGE(OFFSET($R$3,0,0,'Données projet'!$E$9+1,1))-AVERAGE(OFFSET($H$3,0,0,'Données projet'!$E$9+1,1))</f>
        <v>384.05928630855732</v>
      </c>
      <c r="T97" s="59">
        <f t="shared" si="88"/>
        <v>279.93992813630513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38.297936492040868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38.297936492040868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-6.3550942286383367E-14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335.04906256888819</v>
      </c>
      <c r="AO97" s="59">
        <f t="shared" si="90"/>
        <v>440.84111898279554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104.69739342929354</v>
      </c>
      <c r="AV97" s="21">
        <f>EXP(-LN(2)/25)*AV96+(1-EXP(-LN(2)/25))/(LN(2)/25)*Calculateur!AQ97*Calculateur!AS97*VLOOKUP('Données projet'!$B$10,Paramètres!$A$1:$I$89,3,0)*0.475*44/12</f>
        <v>19.537707127227161</v>
      </c>
      <c r="AW97" s="21">
        <f>EXP(-LN(2)/2)*AW96+(1-EXP(-LN(2)/2))/(LN(2)/2)*AQ97*AT97*VLOOKUP('Données projet'!$B$10,Paramètres!$A$1:$I$89,3,0)*0.475*44/12</f>
        <v>4.6073321753469636E-5</v>
      </c>
      <c r="AX97" s="21">
        <f t="shared" si="60"/>
        <v>124.23514662984246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261.20475283925128</v>
      </c>
      <c r="BJ97" s="59">
        <f t="shared" si="92"/>
        <v>247.06045079522403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103.46506525737962</v>
      </c>
      <c r="BQ97" s="21">
        <f>EXP(-LN(2)/25)*BQ96+(1-EXP(-LN(2)/25))/(LN(2)/25)*Calculateur!BL97*Calculateur!BN97*VLOOKUP('Données projet'!$B$11,Paramètres!$A$1:$I$89,3,0)*0.475*44/12</f>
        <v>22.530243808435245</v>
      </c>
      <c r="BR97" s="21">
        <f>EXP(-LN(2)/2)*BR96+(1-EXP(-LN(2)/2))/(LN(2)/2)*BL97*BO97*VLOOKUP('Données projet'!$B$11,Paramètres!$A$1:$I$89,3,0)*0.475*44/12</f>
        <v>7.689295571881396E-3</v>
      </c>
      <c r="BS97" s="22">
        <f t="shared" si="63"/>
        <v>126.00299836138674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4.1199999999999992</v>
      </c>
      <c r="BY97" s="12">
        <f>IF('Données projet'!$A$114&gt;35,BY96+BX97-CG96,IF(A97&lt;'Données projet'!$A$114,$BV$205^A97,IF(A97='Données projet'!$A$114,'Données projet'!$B$114,BY96+BX97-CG96)))</f>
        <v>298.47999999999945</v>
      </c>
      <c r="BZ97" s="13">
        <f>BY97*VLOOKUP('Données projet'!$B$12,Paramètres!$A$1:$I$89,3,0)*VLOOKUP('Données projet'!$B$12,Paramètres!$A$1:$I$89,5,0)</f>
        <v>170.73055999999971</v>
      </c>
      <c r="CA97" s="13">
        <f t="shared" si="93"/>
        <v>43.253603864878492</v>
      </c>
      <c r="CB97" s="20">
        <f t="shared" si="64"/>
        <v>372.68908539799622</v>
      </c>
      <c r="CC97" s="59">
        <f t="shared" si="65"/>
        <v>666.02241873132948</v>
      </c>
      <c r="CD97" s="59">
        <f ca="1">AVERAGE(OFFSET($CC$3,0,0,'Données projet'!$E$12+1,1))-AVERAGE(OFFSET($H$3,0,0,'Données projet'!$E$12+1,1))</f>
        <v>268.71706840132384</v>
      </c>
      <c r="CE97" s="59">
        <f t="shared" si="94"/>
        <v>199.92519498289477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36.094024468255633</v>
      </c>
      <c r="CL97" s="21">
        <f>EXP(-LN(2)/25)*CL96+(1-EXP(-LN(2)/25))/(LN(2)/25)*Calculateur!CG97*Calculateur!CI97*VLOOKUP('Données projet'!$B$12,Paramètres!$A$1:$I$89,3,0)*0.475*44/12</f>
        <v>9.6151884573857682</v>
      </c>
      <c r="CM97" s="21">
        <f>EXP(-LN(2)/2)*CM96+(1-EXP(-LN(2)/2))/(LN(2)/2)*CG97*CJ97*VLOOKUP('Données projet'!$B$12,Paramètres!$A$1:$I$89,3,0)*0.475*44/12</f>
        <v>0.7647843698266662</v>
      </c>
      <c r="CN97" s="22">
        <f t="shared" si="66"/>
        <v>46.473997295468067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7.1782051282051267</v>
      </c>
      <c r="N98" s="13">
        <f>IF('Données projet'!$A$36&gt;35,N97+M98-V97,IF(A98&lt;'Données projet'!$A$36,$K$205^A98,IF(A98='Données projet'!$A$36,'Données projet'!$B$36,N97+M98-V97)))</f>
        <v>289.53717948717991</v>
      </c>
      <c r="O98" s="13">
        <f>N98*VLOOKUP('Données projet'!$B$9,Paramètres!$A$1:$I$89,3,0)*VLOOKUP('Données projet'!$B$9,Paramètres!$A$1:$I$89,5,0)</f>
        <v>261.97324000000037</v>
      </c>
      <c r="P98" s="13">
        <f t="shared" si="87"/>
        <v>63.142807719765102</v>
      </c>
      <c r="Q98" s="20">
        <f t="shared" si="54"/>
        <v>566.24378311192481</v>
      </c>
      <c r="R98" s="59">
        <f t="shared" si="55"/>
        <v>859.57711644525807</v>
      </c>
      <c r="S98" s="59">
        <f ca="1">AVERAGE(OFFSET($R$3,0,0,'Données projet'!$E$9+1,1))-AVERAGE(OFFSET($H$3,0,0,'Données projet'!$E$9+1,1))</f>
        <v>384.05928630855732</v>
      </c>
      <c r="T98" s="59">
        <f t="shared" si="88"/>
        <v>279.93992813630513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37.546937316866654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37.546937316866654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-6.3550942286383367E-14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335.04906256888819</v>
      </c>
      <c r="AO98" s="59">
        <f t="shared" si="90"/>
        <v>440.84111898279554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102.64434140324953</v>
      </c>
      <c r="AV98" s="21">
        <f>EXP(-LN(2)/25)*AV97+(1-EXP(-LN(2)/25))/(LN(2)/25)*Calculateur!AQ98*Calculateur!AS98*VLOOKUP('Données projet'!$B$10,Paramètres!$A$1:$I$89,3,0)*0.475*44/12</f>
        <v>19.003447498389772</v>
      </c>
      <c r="AW98" s="21">
        <f>EXP(-LN(2)/2)*AW97+(1-EXP(-LN(2)/2))/(LN(2)/2)*AQ98*AT98*VLOOKUP('Données projet'!$B$10,Paramètres!$A$1:$I$89,3,0)*0.475*44/12</f>
        <v>3.2578758243668054E-5</v>
      </c>
      <c r="AX98" s="21">
        <f t="shared" si="60"/>
        <v>121.64782148039754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261.20475283925128</v>
      </c>
      <c r="BJ98" s="59">
        <f t="shared" si="92"/>
        <v>247.06045079522403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101.43617843514087</v>
      </c>
      <c r="BQ98" s="21">
        <f>EXP(-LN(2)/25)*BQ97+(1-EXP(-LN(2)/25))/(LN(2)/25)*Calculateur!BL98*Calculateur!BN98*VLOOKUP('Données projet'!$B$11,Paramètres!$A$1:$I$89,3,0)*0.475*44/12</f>
        <v>21.914153106679553</v>
      </c>
      <c r="BR98" s="21">
        <f>EXP(-LN(2)/2)*BR97+(1-EXP(-LN(2)/2))/(LN(2)/2)*BL98*BO98*VLOOKUP('Données projet'!$B$11,Paramètres!$A$1:$I$89,3,0)*0.475*44/12</f>
        <v>5.4371530414250276E-3</v>
      </c>
      <c r="BS98" s="22">
        <f t="shared" si="63"/>
        <v>123.35576869486185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4.1199999999999992</v>
      </c>
      <c r="BY98" s="12">
        <f>IF('Données projet'!$A$114&gt;35,BY97+BX98-CG97,IF(A98&lt;'Données projet'!$A$114,$BV$205^A98,IF(A98='Données projet'!$A$114,'Données projet'!$B$114,BY97+BX98-CG97)))</f>
        <v>302.59999999999945</v>
      </c>
      <c r="BZ98" s="13">
        <f>BY98*VLOOKUP('Données projet'!$B$12,Paramètres!$A$1:$I$89,3,0)*VLOOKUP('Données projet'!$B$12,Paramètres!$A$1:$I$89,5,0)</f>
        <v>173.08719999999968</v>
      </c>
      <c r="CA98" s="13">
        <f t="shared" si="93"/>
        <v>43.78072779848587</v>
      </c>
      <c r="CB98" s="20">
        <f t="shared" si="64"/>
        <v>377.71164091569563</v>
      </c>
      <c r="CC98" s="59">
        <f t="shared" si="65"/>
        <v>671.04497424902888</v>
      </c>
      <c r="CD98" s="59">
        <f ca="1">AVERAGE(OFFSET($CC$3,0,0,'Données projet'!$E$12+1,1))-AVERAGE(OFFSET($H$3,0,0,'Données projet'!$E$12+1,1))</f>
        <v>268.71706840132384</v>
      </c>
      <c r="CE98" s="59">
        <f t="shared" si="94"/>
        <v>199.92519498289477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35.386242663614247</v>
      </c>
      <c r="CL98" s="21">
        <f>EXP(-LN(2)/25)*CL97+(1-EXP(-LN(2)/25))/(LN(2)/25)*Calculateur!CG98*Calculateur!CI98*VLOOKUP('Données projet'!$B$12,Paramètres!$A$1:$I$89,3,0)*0.475*44/12</f>
        <v>9.3522606233777701</v>
      </c>
      <c r="CM98" s="21">
        <f>EXP(-LN(2)/2)*CM97+(1-EXP(-LN(2)/2))/(LN(2)/2)*CG98*CJ98*VLOOKUP('Données projet'!$B$12,Paramètres!$A$1:$I$89,3,0)*0.475*44/12</f>
        <v>0.54078421404991617</v>
      </c>
      <c r="CN98" s="22">
        <f t="shared" si="66"/>
        <v>45.279287501041928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7.1782051282051267</v>
      </c>
      <c r="N99" s="13">
        <f>IF('Données projet'!$A$36&gt;35,N98+M99-V98,IF(A99&lt;'Données projet'!$A$36,$K$205^A99,IF(A99='Données projet'!$A$36,'Données projet'!$B$36,N98+M99-V98)))</f>
        <v>296.71538461538506</v>
      </c>
      <c r="O99" s="13">
        <f>N99*VLOOKUP('Données projet'!$B$9,Paramètres!$A$1:$I$89,3,0)*VLOOKUP('Données projet'!$B$9,Paramètres!$A$1:$I$89,5,0)</f>
        <v>268.46808000000038</v>
      </c>
      <c r="P99" s="13">
        <f t="shared" si="87"/>
        <v>64.524049616897415</v>
      </c>
      <c r="Q99" s="20">
        <f t="shared" ref="Q99:Q130" si="107">(O99+P99)*0.475*44/12</f>
        <v>579.96129241609697</v>
      </c>
      <c r="R99" s="59">
        <f t="shared" si="55"/>
        <v>873.29462574943022</v>
      </c>
      <c r="S99" s="59">
        <f ca="1">AVERAGE(OFFSET($R$3,0,0,'Données projet'!$E$9+1,1))-AVERAGE(OFFSET($H$3,0,0,'Données projet'!$E$9+1,1))</f>
        <v>384.05928630855732</v>
      </c>
      <c r="T99" s="59">
        <f t="shared" si="88"/>
        <v>279.93992813630513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36.81066477745334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36.81066477745334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-6.3550942286383367E-14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335.04906256888819</v>
      </c>
      <c r="AO99" s="59">
        <f t="shared" si="90"/>
        <v>440.84111898279554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100.63154847519814</v>
      </c>
      <c r="AV99" s="21">
        <f>EXP(-LN(2)/25)*AV98+(1-EXP(-LN(2)/25))/(LN(2)/25)*Calculateur!AQ99*Calculateur!AS99*VLOOKUP('Données projet'!$B$10,Paramètres!$A$1:$I$89,3,0)*0.475*44/12</f>
        <v>18.483797227198433</v>
      </c>
      <c r="AW99" s="21">
        <f>EXP(-LN(2)/2)*AW98+(1-EXP(-LN(2)/2))/(LN(2)/2)*AQ99*AT99*VLOOKUP('Données projet'!$B$10,Paramètres!$A$1:$I$89,3,0)*0.475*44/12</f>
        <v>2.3036660876734818E-5</v>
      </c>
      <c r="AX99" s="21">
        <f t="shared" si="60"/>
        <v>119.11536873905746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261.20475283925128</v>
      </c>
      <c r="BJ99" s="59">
        <f t="shared" si="92"/>
        <v>247.06045079522403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99.447076845987453</v>
      </c>
      <c r="BQ99" s="21">
        <f>EXP(-LN(2)/25)*BQ98+(1-EXP(-LN(2)/25))/(LN(2)/25)*Calculateur!BL99*Calculateur!BN99*VLOOKUP('Données projet'!$B$11,Paramètres!$A$1:$I$89,3,0)*0.475*44/12</f>
        <v>21.314909437562175</v>
      </c>
      <c r="BR99" s="21">
        <f>EXP(-LN(2)/2)*BR98+(1-EXP(-LN(2)/2))/(LN(2)/2)*BL99*BO99*VLOOKUP('Données projet'!$B$11,Paramètres!$A$1:$I$89,3,0)*0.475*44/12</f>
        <v>3.8446477859406985E-3</v>
      </c>
      <c r="BS99" s="22">
        <f t="shared" si="63"/>
        <v>120.76583093133557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4.1199999999999992</v>
      </c>
      <c r="BY99" s="12">
        <f>IF('Données projet'!$A$114&gt;35,BY98+BX99-CG98,IF(A99&lt;'Données projet'!$A$114,$BV$205^A99,IF(A99='Données projet'!$A$114,'Données projet'!$B$114,BY98+BX99-CG98)))</f>
        <v>306.71999999999946</v>
      </c>
      <c r="BZ99" s="13">
        <f>BY99*VLOOKUP('Données projet'!$B$12,Paramètres!$A$1:$I$89,3,0)*VLOOKUP('Données projet'!$B$12,Paramètres!$A$1:$I$89,5,0)</f>
        <v>175.44383999999968</v>
      </c>
      <c r="CA99" s="13">
        <f t="shared" si="93"/>
        <v>44.307016967342896</v>
      </c>
      <c r="CB99" s="20">
        <f t="shared" si="64"/>
        <v>382.73274255145498</v>
      </c>
      <c r="CC99" s="59">
        <f t="shared" si="65"/>
        <v>676.06607588478823</v>
      </c>
      <c r="CD99" s="59">
        <f ca="1">AVERAGE(OFFSET($CC$3,0,0,'Données projet'!$E$12+1,1))-AVERAGE(OFFSET($H$3,0,0,'Données projet'!$E$12+1,1))</f>
        <v>268.71706840132384</v>
      </c>
      <c r="CE99" s="59">
        <f t="shared" si="94"/>
        <v>199.92519498289477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34.692340028457608</v>
      </c>
      <c r="CL99" s="21">
        <f>EXP(-LN(2)/25)*CL98+(1-EXP(-LN(2)/25))/(LN(2)/25)*Calculateur!CG99*Calculateur!CI99*VLOOKUP('Données projet'!$B$12,Paramètres!$A$1:$I$89,3,0)*0.475*44/12</f>
        <v>9.0965225648174943</v>
      </c>
      <c r="CM99" s="21">
        <f>EXP(-LN(2)/2)*CM98+(1-EXP(-LN(2)/2))/(LN(2)/2)*CG99*CJ99*VLOOKUP('Données projet'!$B$12,Paramètres!$A$1:$I$89,3,0)*0.475*44/12</f>
        <v>0.38239218491333316</v>
      </c>
      <c r="CN99" s="22">
        <f t="shared" si="66"/>
        <v>44.171254778188434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7.1782051282051267</v>
      </c>
      <c r="N100" s="13">
        <f>IF('Données projet'!$A$36&gt;35,N99+M100-V99,IF(A100&lt;'Données projet'!$A$36,$K$205^A100,IF(A100='Données projet'!$A$36,'Données projet'!$B$36,N99+M100-V99)))</f>
        <v>303.89358974359021</v>
      </c>
      <c r="O100" s="13">
        <f>N100*VLOOKUP('Données projet'!$B$9,Paramètres!$A$1:$I$89,3,0)*VLOOKUP('Données projet'!$B$9,Paramètres!$A$1:$I$89,5,0)</f>
        <v>274.96292000000045</v>
      </c>
      <c r="P100" s="13">
        <f t="shared" si="87"/>
        <v>65.901407042348566</v>
      </c>
      <c r="Q100" s="20">
        <f t="shared" si="107"/>
        <v>593.67203626542459</v>
      </c>
      <c r="R100" s="59">
        <f t="shared" si="55"/>
        <v>887.00536959875785</v>
      </c>
      <c r="S100" s="59">
        <f ca="1">AVERAGE(OFFSET($R$3,0,0,'Données projet'!$E$9+1,1))-AVERAGE(OFFSET($H$3,0,0,'Données projet'!$E$9+1,1))</f>
        <v>384.05928630855732</v>
      </c>
      <c r="T100" s="59">
        <f t="shared" si="88"/>
        <v>279.93992813630513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36.088830093456018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36.088830093456018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-6.3550942286383367E-14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335.04906256888819</v>
      </c>
      <c r="AO100" s="59">
        <f t="shared" si="90"/>
        <v>440.84111898279554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98.658225188783391</v>
      </c>
      <c r="AV100" s="21">
        <f>EXP(-LN(2)/25)*AV99+(1-EXP(-LN(2)/25))/(LN(2)/25)*Calculateur!AQ100*Calculateur!AS100*VLOOKUP('Données projet'!$B$10,Paramètres!$A$1:$I$89,3,0)*0.475*44/12</f>
        <v>17.978356820000041</v>
      </c>
      <c r="AW100" s="21">
        <f>EXP(-LN(2)/2)*AW99+(1-EXP(-LN(2)/2))/(LN(2)/2)*AQ100*AT100*VLOOKUP('Données projet'!$B$10,Paramètres!$A$1:$I$89,3,0)*0.475*44/12</f>
        <v>1.6289379121834027E-5</v>
      </c>
      <c r="AX100" s="21">
        <f t="shared" si="60"/>
        <v>116.63659829816255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261.20475283925128</v>
      </c>
      <c r="BJ100" s="59">
        <f t="shared" si="92"/>
        <v>247.06045079522403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97.496980325765165</v>
      </c>
      <c r="BQ100" s="21">
        <f>EXP(-LN(2)/25)*BQ99+(1-EXP(-LN(2)/25))/(LN(2)/25)*Calculateur!BL100*Calculateur!BN100*VLOOKUP('Données projet'!$B$11,Paramètres!$A$1:$I$89,3,0)*0.475*44/12</f>
        <v>20.732052118089666</v>
      </c>
      <c r="BR100" s="21">
        <f>EXP(-LN(2)/2)*BR99+(1-EXP(-LN(2)/2))/(LN(2)/2)*BL100*BO100*VLOOKUP('Données projet'!$B$11,Paramètres!$A$1:$I$89,3,0)*0.475*44/12</f>
        <v>2.7185765207125142E-3</v>
      </c>
      <c r="BS100" s="22">
        <f t="shared" si="63"/>
        <v>118.23175102037554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4.1199999999999992</v>
      </c>
      <c r="BY100" s="12">
        <f>IF('Données projet'!$A$114&gt;35,BY99+BX100-CG99,IF(A100&lt;'Données projet'!$A$114,$BV$205^A100,IF(A100='Données projet'!$A$114,'Données projet'!$B$114,BY99+BX100-CG99)))</f>
        <v>310.83999999999946</v>
      </c>
      <c r="BZ100" s="13">
        <f>BY100*VLOOKUP('Données projet'!$B$12,Paramètres!$A$1:$I$89,3,0)*VLOOKUP('Données projet'!$B$12,Paramètres!$A$1:$I$89,5,0)</f>
        <v>177.80047999999971</v>
      </c>
      <c r="CA100" s="13">
        <f t="shared" si="93"/>
        <v>44.832483880543585</v>
      </c>
      <c r="CB100" s="20">
        <f t="shared" si="64"/>
        <v>387.75241209194616</v>
      </c>
      <c r="CC100" s="59">
        <f t="shared" si="65"/>
        <v>681.08574542527947</v>
      </c>
      <c r="CD100" s="59">
        <f ca="1">AVERAGE(OFFSET($CC$3,0,0,'Données projet'!$E$12+1,1))-AVERAGE(OFFSET($H$3,0,0,'Données projet'!$E$12+1,1))</f>
        <v>268.71706840132384</v>
      </c>
      <c r="CE100" s="59">
        <f t="shared" si="94"/>
        <v>199.92519498289477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34.012044400737572</v>
      </c>
      <c r="CL100" s="21">
        <f>EXP(-LN(2)/25)*CL99+(1-EXP(-LN(2)/25))/(LN(2)/25)*Calculateur!CG100*Calculateur!CI100*VLOOKUP('Données projet'!$B$12,Paramètres!$A$1:$I$89,3,0)*0.475*44/12</f>
        <v>8.8477776769172287</v>
      </c>
      <c r="CM100" s="21">
        <f>EXP(-LN(2)/2)*CM99+(1-EXP(-LN(2)/2))/(LN(2)/2)*CG100*CJ100*VLOOKUP('Données projet'!$B$12,Paramètres!$A$1:$I$89,3,0)*0.475*44/12</f>
        <v>0.27039210702495808</v>
      </c>
      <c r="CN100" s="22">
        <f t="shared" si="66"/>
        <v>43.130214184679758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7.1782051282051267</v>
      </c>
      <c r="N101" s="13">
        <f>IF('Données projet'!$A$36&gt;35,N100+M101-V100,IF(A101&lt;'Données projet'!$A$36,$K$205^A101,IF(A101='Données projet'!$A$36,'Données projet'!$B$36,N100+M101-V100)))</f>
        <v>311.07179487179536</v>
      </c>
      <c r="O101" s="13">
        <f>N101*VLOOKUP('Données projet'!$B$9,Paramètres!$A$1:$I$89,3,0)*VLOOKUP('Données projet'!$B$9,Paramètres!$A$1:$I$89,5,0)</f>
        <v>281.45776000000041</v>
      </c>
      <c r="P101" s="13">
        <f t="shared" si="87"/>
        <v>67.274982309129811</v>
      </c>
      <c r="Q101" s="20">
        <f t="shared" si="107"/>
        <v>607.37619285506855</v>
      </c>
      <c r="R101" s="59">
        <f t="shared" si="55"/>
        <v>900.70952618840192</v>
      </c>
      <c r="S101" s="59">
        <f ca="1">AVERAGE(OFFSET($R$3,0,0,'Données projet'!$E$9+1,1))-AVERAGE(OFFSET($H$3,0,0,'Données projet'!$E$9+1,1))</f>
        <v>384.05928630855732</v>
      </c>
      <c r="T101" s="59">
        <f t="shared" si="88"/>
        <v>279.93992813630513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35.3811501473362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35.3811501473362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-6.3550942286383367E-14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335.04906256888819</v>
      </c>
      <c r="AO101" s="59">
        <f t="shared" si="90"/>
        <v>440.84111898279554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96.723597568406873</v>
      </c>
      <c r="AV101" s="21">
        <f>EXP(-LN(2)/25)*AV100+(1-EXP(-LN(2)/25))/(LN(2)/25)*Calculateur!AQ101*Calculateur!AS101*VLOOKUP('Données projet'!$B$10,Paramètres!$A$1:$I$89,3,0)*0.475*44/12</f>
        <v>17.486737707316443</v>
      </c>
      <c r="AW101" s="21">
        <f>EXP(-LN(2)/2)*AW100+(1-EXP(-LN(2)/2))/(LN(2)/2)*AQ101*AT101*VLOOKUP('Données projet'!$B$10,Paramètres!$A$1:$I$89,3,0)*0.475*44/12</f>
        <v>1.1518330438367409E-5</v>
      </c>
      <c r="AX101" s="21">
        <f t="shared" si="60"/>
        <v>114.21034679405375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261.20475283925128</v>
      </c>
      <c r="BJ101" s="59">
        <f t="shared" si="92"/>
        <v>247.06045079522403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95.585124008863005</v>
      </c>
      <c r="BQ101" s="21">
        <f>EXP(-LN(2)/25)*BQ100+(1-EXP(-LN(2)/25))/(LN(2)/25)*Calculateur!BL101*Calculateur!BN101*VLOOKUP('Données projet'!$B$11,Paramètres!$A$1:$I$89,3,0)*0.475*44/12</f>
        <v>20.165133062669266</v>
      </c>
      <c r="BR101" s="21">
        <f>EXP(-LN(2)/2)*BR100+(1-EXP(-LN(2)/2))/(LN(2)/2)*BL101*BO101*VLOOKUP('Données projet'!$B$11,Paramètres!$A$1:$I$89,3,0)*0.475*44/12</f>
        <v>1.9223238929703497E-3</v>
      </c>
      <c r="BS101" s="22">
        <f t="shared" si="63"/>
        <v>115.75217939542524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4.1199999999999992</v>
      </c>
      <c r="BY101" s="12">
        <f>IF('Données projet'!$A$114&gt;35,BY100+BX101-CG100,IF(A101&lt;'Données projet'!$A$114,$BV$205^A101,IF(A101='Données projet'!$A$114,'Données projet'!$B$114,BY100+BX101-CG100)))</f>
        <v>314.95999999999947</v>
      </c>
      <c r="BZ101" s="13">
        <f>BY101*VLOOKUP('Données projet'!$B$12,Paramètres!$A$1:$I$89,3,0)*VLOOKUP('Données projet'!$B$12,Paramètres!$A$1:$I$89,5,0)</f>
        <v>180.15711999999971</v>
      </c>
      <c r="CA101" s="13">
        <f t="shared" si="93"/>
        <v>45.357140696521405</v>
      </c>
      <c r="CB101" s="20">
        <f t="shared" si="64"/>
        <v>392.77067071310762</v>
      </c>
      <c r="CC101" s="59">
        <f t="shared" si="65"/>
        <v>686.10400404644088</v>
      </c>
      <c r="CD101" s="59">
        <f ca="1">AVERAGE(OFFSET($CC$3,0,0,'Données projet'!$E$12+1,1))-AVERAGE(OFFSET($H$3,0,0,'Données projet'!$E$12+1,1))</f>
        <v>268.71706840132384</v>
      </c>
      <c r="CE101" s="59">
        <f t="shared" si="94"/>
        <v>199.92519498289477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33.345088955337765</v>
      </c>
      <c r="CL101" s="21">
        <f>EXP(-LN(2)/25)*CL100+(1-EXP(-LN(2)/25))/(LN(2)/25)*Calculateur!CG101*Calculateur!CI101*VLOOKUP('Données projet'!$B$12,Paramètres!$A$1:$I$89,3,0)*0.475*44/12</f>
        <v>8.6058347310575201</v>
      </c>
      <c r="CM101" s="21">
        <f>EXP(-LN(2)/2)*CM100+(1-EXP(-LN(2)/2))/(LN(2)/2)*CG101*CJ101*VLOOKUP('Données projet'!$B$12,Paramètres!$A$1:$I$89,3,0)*0.475*44/12</f>
        <v>0.19119609245666658</v>
      </c>
      <c r="CN101" s="22">
        <f t="shared" si="66"/>
        <v>42.142119778851949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318.25</v>
      </c>
      <c r="L102" s="12">
        <f>VLOOKUP(A102,'Données projet'!$A$35:$I$55,9,0)</f>
        <v>7.1782051282051267</v>
      </c>
      <c r="M102" s="12">
        <f t="array" ref="M102">INDEX(L:L,MIN(IF(ISNUMBER(L102:L298),ROW(L102:L298),"")))</f>
        <v>7.1782051282051267</v>
      </c>
      <c r="N102" s="13">
        <f>IF('Données projet'!$A$36&gt;35,N101+M102-V101,IF(A102&lt;'Données projet'!$A$36,$K$205^A102,IF(A102='Données projet'!$A$36,'Données projet'!$B$36,N101+M102-V101)))</f>
        <v>318.25000000000051</v>
      </c>
      <c r="O102" s="13">
        <f>N102*VLOOKUP('Données projet'!$B$9,Paramètres!$A$1:$I$89,3,0)*VLOOKUP('Données projet'!$B$9,Paramètres!$A$1:$I$89,5,0)</f>
        <v>287.95260000000047</v>
      </c>
      <c r="P102" s="13">
        <f t="shared" si="87"/>
        <v>68.6448727389173</v>
      </c>
      <c r="Q102" s="20">
        <f t="shared" si="107"/>
        <v>621.07393168694841</v>
      </c>
      <c r="R102" s="59">
        <f t="shared" si="55"/>
        <v>914.40726502028178</v>
      </c>
      <c r="S102" s="59">
        <f ca="1">AVERAGE(OFFSET($R$3,0,0,'Données projet'!$E$9+1,1))-AVERAGE(OFFSET($H$3,0,0,'Données projet'!$E$9+1,1))</f>
        <v>384.05928630855732</v>
      </c>
      <c r="T102" s="59">
        <f t="shared" si="88"/>
        <v>279.93992813630513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48.019230769230766</v>
      </c>
      <c r="W102" s="16">
        <f>IF(ISNA(VLOOKUP(A102,'Données projet'!$A$35:$I$55,5,0)),0%,VLOOKUP(A102,'Données projet'!$A$35:$I$55,5,0)*VLOOKUP('Données projet'!$B$9,Paramètres!$A$1:$I$89,7,0))</f>
        <v>0.30099999999999999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49.144454416035025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49.144454416035025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-6.3550942286383367E-14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335.04906256888819</v>
      </c>
      <c r="AO102" s="59">
        <f t="shared" si="90"/>
        <v>440.84111898279554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94.826906815659598</v>
      </c>
      <c r="AV102" s="21">
        <f>EXP(-LN(2)/25)*AV101+(1-EXP(-LN(2)/25))/(LN(2)/25)*Calculateur!AQ102*Calculateur!AS102*VLOOKUP('Données projet'!$B$10,Paramètres!$A$1:$I$89,3,0)*0.475*44/12</f>
        <v>17.008561945122306</v>
      </c>
      <c r="AW102" s="21">
        <f>EXP(-LN(2)/2)*AW101+(1-EXP(-LN(2)/2))/(LN(2)/2)*AQ102*AT102*VLOOKUP('Données projet'!$B$10,Paramètres!$A$1:$I$89,3,0)*0.475*44/12</f>
        <v>8.1446895609170135E-6</v>
      </c>
      <c r="AX102" s="21">
        <f t="shared" si="60"/>
        <v>111.83547690547147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261.20475283925128</v>
      </c>
      <c r="BJ102" s="59">
        <f t="shared" si="92"/>
        <v>247.06045079522403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93.710758028218081</v>
      </c>
      <c r="BQ102" s="21">
        <f>EXP(-LN(2)/25)*BQ101+(1-EXP(-LN(2)/25))/(LN(2)/25)*Calculateur!BL102*Calculateur!BN102*VLOOKUP('Données projet'!$B$11,Paramètres!$A$1:$I$89,3,0)*0.475*44/12</f>
        <v>19.613716438632316</v>
      </c>
      <c r="BR102" s="21">
        <f>EXP(-LN(2)/2)*BR101+(1-EXP(-LN(2)/2))/(LN(2)/2)*BL102*BO102*VLOOKUP('Données projet'!$B$11,Paramètres!$A$1:$I$89,3,0)*0.475*44/12</f>
        <v>1.3592882603562573E-3</v>
      </c>
      <c r="BS102" s="22">
        <f t="shared" si="63"/>
        <v>113.32583375511076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4.1199999999999992</v>
      </c>
      <c r="BY102" s="12">
        <f>IF('Données projet'!$A$114&gt;35,BY101+BX102-CG101,IF(A102&lt;'Données projet'!$A$114,$BV$205^A102,IF(A102='Données projet'!$A$114,'Données projet'!$B$114,BY101+BX102-CG101)))</f>
        <v>319.07999999999947</v>
      </c>
      <c r="BZ102" s="13">
        <f>BY102*VLOOKUP('Données projet'!$B$12,Paramètres!$A$1:$I$89,3,0)*VLOOKUP('Données projet'!$B$12,Paramètres!$A$1:$I$89,5,0)</f>
        <v>182.51375999999971</v>
      </c>
      <c r="CA102" s="13">
        <f t="shared" si="93"/>
        <v>45.880999237335061</v>
      </c>
      <c r="CB102" s="20">
        <f t="shared" si="64"/>
        <v>397.78753900502466</v>
      </c>
      <c r="CC102" s="59">
        <f t="shared" si="65"/>
        <v>691.12087233835791</v>
      </c>
      <c r="CD102" s="59">
        <f ca="1">AVERAGE(OFFSET($CC$3,0,0,'Données projet'!$E$12+1,1))-AVERAGE(OFFSET($H$3,0,0,'Données projet'!$E$12+1,1))</f>
        <v>268.71706840132384</v>
      </c>
      <c r="CE102" s="59">
        <f t="shared" si="94"/>
        <v>199.92519498289477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32.691212099419594</v>
      </c>
      <c r="CL102" s="21">
        <f>EXP(-LN(2)/25)*CL101+(1-EXP(-LN(2)/25))/(LN(2)/25)*Calculateur!CG102*Calculateur!CI102*VLOOKUP('Données projet'!$B$12,Paramètres!$A$1:$I$89,3,0)*0.475*44/12</f>
        <v>8.3705077277755731</v>
      </c>
      <c r="CM102" s="21">
        <f>EXP(-LN(2)/2)*CM101+(1-EXP(-LN(2)/2))/(LN(2)/2)*CG102*CJ102*VLOOKUP('Données projet'!$B$12,Paramètres!$A$1:$I$89,3,0)*0.475*44/12</f>
        <v>0.13519605351247904</v>
      </c>
      <c r="CN102" s="22">
        <f t="shared" si="66"/>
        <v>41.19691588070765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6.9935897435897401</v>
      </c>
      <c r="N103" s="13">
        <f>IF('Données projet'!$A$36&gt;35,N102+M103-V102,IF(A103&lt;'Données projet'!$A$36,$K$205^A103,IF(A103='Données projet'!$A$36,'Données projet'!$B$36,N102+M103-V102)))</f>
        <v>277.22435897435946</v>
      </c>
      <c r="O103" s="13">
        <f>N103*VLOOKUP('Données projet'!$B$9,Paramètres!$A$1:$I$89,3,0)*VLOOKUP('Données projet'!$B$9,Paramètres!$A$1:$I$89,5,0)</f>
        <v>250.83260000000041</v>
      </c>
      <c r="P103" s="13">
        <f t="shared" si="87"/>
        <v>60.764195096344402</v>
      </c>
      <c r="Q103" s="20">
        <f t="shared" si="107"/>
        <v>542.69775145946721</v>
      </c>
      <c r="R103" s="59">
        <f t="shared" si="55"/>
        <v>836.03108479280058</v>
      </c>
      <c r="S103" s="59">
        <f ca="1">AVERAGE(OFFSET($R$3,0,0,'Données projet'!$E$9+1,1))-AVERAGE(OFFSET($H$3,0,0,'Données projet'!$E$9+1,1))</f>
        <v>384.05928630855732</v>
      </c>
      <c r="T103" s="59">
        <f t="shared" si="88"/>
        <v>279.93992813630513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48.180761640093969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48.180761640093969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-6.3550942286383367E-14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335.04906256888819</v>
      </c>
      <c r="AO103" s="59">
        <f t="shared" si="90"/>
        <v>440.84111898279554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92.967409011706579</v>
      </c>
      <c r="AV103" s="21">
        <f>EXP(-LN(2)/25)*AV102+(1-EXP(-LN(2)/25))/(LN(2)/25)*Calculateur!AQ103*Calculateur!AS103*VLOOKUP('Données projet'!$B$10,Paramètres!$A$1:$I$89,3,0)*0.475*44/12</f>
        <v>16.543461924291538</v>
      </c>
      <c r="AW103" s="21">
        <f>EXP(-LN(2)/2)*AW102+(1-EXP(-LN(2)/2))/(LN(2)/2)*AQ103*AT103*VLOOKUP('Données projet'!$B$10,Paramètres!$A$1:$I$89,3,0)*0.475*44/12</f>
        <v>5.7591652191837045E-6</v>
      </c>
      <c r="AX103" s="21">
        <f t="shared" si="60"/>
        <v>109.51087669516333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261.20475283925128</v>
      </c>
      <c r="BJ103" s="59">
        <f t="shared" si="92"/>
        <v>247.06045079522403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91.87314722120324</v>
      </c>
      <c r="BQ103" s="21">
        <f>EXP(-LN(2)/25)*BQ102+(1-EXP(-LN(2)/25))/(LN(2)/25)*Calculateur!BL103*Calculateur!BN103*VLOOKUP('Données projet'!$B$11,Paramètres!$A$1:$I$89,3,0)*0.475*44/12</f>
        <v>19.077378331177396</v>
      </c>
      <c r="BR103" s="21">
        <f>EXP(-LN(2)/2)*BR102+(1-EXP(-LN(2)/2))/(LN(2)/2)*BL103*BO103*VLOOKUP('Données projet'!$B$11,Paramètres!$A$1:$I$89,3,0)*0.475*44/12</f>
        <v>9.6116194648517494E-4</v>
      </c>
      <c r="BS103" s="22">
        <f t="shared" si="63"/>
        <v>110.95148671432713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323.2</v>
      </c>
      <c r="BW103" s="12">
        <f>VLOOKUP(A103,'Données projet'!$A$113:$I$133,9,0)</f>
        <v>4.1199999999999992</v>
      </c>
      <c r="BX103" s="12">
        <f t="array" ref="BX103">INDEX(BW:BW,MIN(IF(ISNUMBER(BW103:BW299),ROW(BW103:BW299),"")))</f>
        <v>4.1199999999999992</v>
      </c>
      <c r="BY103" s="12">
        <f>IF('Données projet'!$A$114&gt;35,BY102+BX103-CG102,IF(A103&lt;'Données projet'!$A$114,$BV$205^A103,IF(A103='Données projet'!$A$114,'Données projet'!$B$114,BY102+BX103-CG102)))</f>
        <v>323.19999999999948</v>
      </c>
      <c r="BZ103" s="13">
        <f>BY103*VLOOKUP('Données projet'!$B$12,Paramètres!$A$1:$I$89,3,0)*VLOOKUP('Données projet'!$B$12,Paramètres!$A$1:$I$89,5,0)</f>
        <v>184.87039999999971</v>
      </c>
      <c r="CA103" s="13">
        <f t="shared" si="93"/>
        <v>46.404071002195145</v>
      </c>
      <c r="CB103" s="20">
        <f t="shared" si="64"/>
        <v>402.80303699548932</v>
      </c>
      <c r="CC103" s="59">
        <f t="shared" si="65"/>
        <v>696.13637032882264</v>
      </c>
      <c r="CD103" s="59">
        <f ca="1">AVERAGE(OFFSET($CC$3,0,0,'Données projet'!$E$12+1,1))-AVERAGE(OFFSET($H$3,0,0,'Données projet'!$E$12+1,1))</f>
        <v>268.71706840132384</v>
      </c>
      <c r="CE103" s="59">
        <f t="shared" si="94"/>
        <v>199.92519498289477</v>
      </c>
      <c r="CF103" s="15">
        <f>IF(ISNA(VLOOKUP(A103,'Données projet'!$A$113:$I$133,3,0)),0,VLOOKUP(A103,'Données projet'!$A$113:$I$133,3,0))</f>
        <v>10</v>
      </c>
      <c r="CG103" s="15">
        <f>IF(ISNA(VLOOKUP(A103,'Données projet'!$A$113:$I$133,4,0)),0,VLOOKUP(A103,'Données projet'!$A$113:$I$133,4,0))</f>
        <v>190.9</v>
      </c>
      <c r="CH103" s="16">
        <f>IF(ISNA(VLOOKUP(A103,'Données projet'!$A$113:$I$133,5,0)),0%,VLOOKUP(A103,'Données projet'!$A$113:$I$133,5,0)*VLOOKUP('Données projet'!$B$12,Paramètres!$A$1:$I$89,7,0))</f>
        <v>0.315</v>
      </c>
      <c r="CI103" s="16">
        <f>IF(ISNA(VLOOKUP(A103,'Données projet'!$A$113:$I$133,6,0)),0%,VLOOKUP(A103,'Données projet'!$A$113:$I$133,6,0)*VLOOKUP('Données projet'!$B$12,Paramètres!$A$1:$I$89,7,0))</f>
        <v>7.6500000000000012E-2</v>
      </c>
      <c r="CJ103" s="16">
        <f>IF(ISNA(VLOOKUP(A103,'Données projet'!$A$113:$I$133,7,0)),0%,VLOOKUP(A103,'Données projet'!$A$113:$I$133,7,0))</f>
        <v>0.13</v>
      </c>
      <c r="CK103" s="21">
        <f>EXP(-LN(2)/35)*CK102+(1-EXP(-LN(2)/35))/(LN(2)/35)*CG103*CH103*VLOOKUP('Données projet'!$B$12,Paramètres!$A$1:$I$89,3,0)*0.475*44/12</f>
        <v>77.679148595451778</v>
      </c>
      <c r="CL103" s="21">
        <f>EXP(-LN(2)/25)*CL102+(1-EXP(-LN(2)/25))/(LN(2)/25)*Calculateur!CG103*Calculateur!CI103*VLOOKUP('Données projet'!$B$12,Paramètres!$A$1:$I$89,3,0)*0.475*44/12</f>
        <v>19.179310789771449</v>
      </c>
      <c r="CM103" s="21">
        <f>EXP(-LN(2)/2)*CM102+(1-EXP(-LN(2)/2))/(LN(2)/2)*CG103*CJ103*VLOOKUP('Données projet'!$B$12,Paramètres!$A$1:$I$89,3,0)*0.475*44/12</f>
        <v>16.168002352880915</v>
      </c>
      <c r="CN103" s="22">
        <f t="shared" si="66"/>
        <v>113.02646173810415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6.9935897435897401</v>
      </c>
      <c r="N104" s="13">
        <f>IF('Données projet'!$A$36&gt;35,N103+M104-V103,IF(A104&lt;'Données projet'!$A$36,$K$205^A104,IF(A104='Données projet'!$A$36,'Données projet'!$B$36,N103+M104-V103)))</f>
        <v>284.21794871794918</v>
      </c>
      <c r="O104" s="13">
        <f>N104*VLOOKUP('Données projet'!$B$9,Paramètres!$A$1:$I$89,3,0)*VLOOKUP('Données projet'!$B$9,Paramètres!$A$1:$I$89,5,0)</f>
        <v>257.16040000000038</v>
      </c>
      <c r="P104" s="13">
        <f t="shared" si="87"/>
        <v>62.116703672873726</v>
      </c>
      <c r="Q104" s="20">
        <f t="shared" si="107"/>
        <v>556.07428889692233</v>
      </c>
      <c r="R104" s="59">
        <f t="shared" si="55"/>
        <v>849.40762223025558</v>
      </c>
      <c r="S104" s="59">
        <f ca="1">AVERAGE(OFFSET($R$3,0,0,'Données projet'!$E$9+1,1))-AVERAGE(OFFSET($H$3,0,0,'Données projet'!$E$9+1,1))</f>
        <v>384.05928630855732</v>
      </c>
      <c r="T104" s="59">
        <f t="shared" si="88"/>
        <v>279.93992813630513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47.235966291694567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47.235966291694567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-6.3550942286383367E-14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335.04906256888819</v>
      </c>
      <c r="AO104" s="59">
        <f t="shared" si="90"/>
        <v>440.84111898279554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91.144374825507398</v>
      </c>
      <c r="AV104" s="21">
        <f>EXP(-LN(2)/25)*AV103+(1-EXP(-LN(2)/25))/(LN(2)/25)*Calculateur!AQ104*Calculateur!AS104*VLOOKUP('Données projet'!$B$10,Paramètres!$A$1:$I$89,3,0)*0.475*44/12</f>
        <v>16.091080087988935</v>
      </c>
      <c r="AW104" s="21">
        <f>EXP(-LN(2)/2)*AW103+(1-EXP(-LN(2)/2))/(LN(2)/2)*AQ104*AT104*VLOOKUP('Données projet'!$B$10,Paramètres!$A$1:$I$89,3,0)*0.475*44/12</f>
        <v>4.0723447804585067E-6</v>
      </c>
      <c r="AX104" s="21">
        <f t="shared" si="60"/>
        <v>107.23545898584112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261.20475283925128</v>
      </c>
      <c r="BJ104" s="59">
        <f t="shared" si="92"/>
        <v>247.06045079522403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90.071570841282053</v>
      </c>
      <c r="BQ104" s="21">
        <f>EXP(-LN(2)/25)*BQ103+(1-EXP(-LN(2)/25))/(LN(2)/25)*Calculateur!BL104*Calculateur!BN104*VLOOKUP('Données projet'!$B$11,Paramètres!$A$1:$I$89,3,0)*0.475*44/12</f>
        <v>18.555706417475626</v>
      </c>
      <c r="BR104" s="21">
        <f>EXP(-LN(2)/2)*BR103+(1-EXP(-LN(2)/2))/(LN(2)/2)*BL104*BO104*VLOOKUP('Données projet'!$B$11,Paramètres!$A$1:$I$89,3,0)*0.475*44/12</f>
        <v>6.7964413017812877E-4</v>
      </c>
      <c r="BS104" s="22">
        <f t="shared" si="63"/>
        <v>108.62795690288786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2.1000000000000036</v>
      </c>
      <c r="BY104" s="12">
        <f>IF('Données projet'!$A$114&gt;35,BY103+BX104-CG103,IF(A104&lt;'Données projet'!$A$114,$BV$205^A104,IF(A104='Données projet'!$A$114,'Données projet'!$B$114,BY103+BX104-CG103)))</f>
        <v>134.39999999999949</v>
      </c>
      <c r="BZ104" s="13">
        <f>BY104*VLOOKUP('Données projet'!$B$12,Paramètres!$A$1:$I$89,3,0)*VLOOKUP('Données projet'!$B$12,Paramètres!$A$1:$I$89,5,0)</f>
        <v>76.876799999999704</v>
      </c>
      <c r="CA104" s="13">
        <f t="shared" si="93"/>
        <v>21.37178466618505</v>
      </c>
      <c r="CB104" s="20">
        <f t="shared" si="64"/>
        <v>171.11628496027177</v>
      </c>
      <c r="CC104" s="59">
        <f t="shared" si="65"/>
        <v>464.44961829360511</v>
      </c>
      <c r="CD104" s="59">
        <f ca="1">AVERAGE(OFFSET($CC$3,0,0,'Données projet'!$E$12+1,1))-AVERAGE(OFFSET($H$3,0,0,'Données projet'!$E$12+1,1))</f>
        <v>268.71706840132384</v>
      </c>
      <c r="CE104" s="59">
        <f t="shared" si="94"/>
        <v>199.92519498289477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76.15590787109727</v>
      </c>
      <c r="CL104" s="21">
        <f>EXP(-LN(2)/25)*CL103+(1-EXP(-LN(2)/25))/(LN(2)/25)*Calculateur!CG104*Calculateur!CI104*VLOOKUP('Données projet'!$B$12,Paramètres!$A$1:$I$89,3,0)*0.475*44/12</f>
        <v>18.654851527629031</v>
      </c>
      <c r="CM104" s="21">
        <f>EXP(-LN(2)/2)*CM103+(1-EXP(-LN(2)/2))/(LN(2)/2)*CG104*CJ104*VLOOKUP('Données projet'!$B$12,Paramètres!$A$1:$I$89,3,0)*0.475*44/12</f>
        <v>11.432504101962152</v>
      </c>
      <c r="CN104" s="22">
        <f t="shared" si="66"/>
        <v>106.24326350068846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6.9935897435897401</v>
      </c>
      <c r="N105" s="13">
        <f>IF('Données projet'!$A$36&gt;35,N104+M105-V104,IF(A105&lt;'Données projet'!$A$36,$K$205^A105,IF(A105='Données projet'!$A$36,'Données projet'!$B$36,N104+M105-V104)))</f>
        <v>291.21153846153891</v>
      </c>
      <c r="O105" s="13">
        <f>N105*VLOOKUP('Données projet'!$B$9,Paramètres!$A$1:$I$89,3,0)*VLOOKUP('Données projet'!$B$9,Paramètres!$A$1:$I$89,5,0)</f>
        <v>263.4882000000004</v>
      </c>
      <c r="P105" s="13">
        <f t="shared" si="87"/>
        <v>63.465343539396919</v>
      </c>
      <c r="Q105" s="20">
        <f t="shared" si="107"/>
        <v>569.44408833111697</v>
      </c>
      <c r="R105" s="59">
        <f t="shared" si="55"/>
        <v>862.77742166445023</v>
      </c>
      <c r="S105" s="59">
        <f ca="1">AVERAGE(OFFSET($R$3,0,0,'Données projet'!$E$9+1,1))-AVERAGE(OFFSET($H$3,0,0,'Données projet'!$E$9+1,1))</f>
        <v>384.05928630855732</v>
      </c>
      <c r="T105" s="59">
        <f t="shared" si="88"/>
        <v>279.93992813630513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46.309697803809016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46.309697803809016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-6.3550942286383367E-14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335.04906256888819</v>
      </c>
      <c r="AO105" s="59">
        <f t="shared" si="90"/>
        <v>440.84111898279554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89.357089227758536</v>
      </c>
      <c r="AV105" s="21">
        <f>EXP(-LN(2)/25)*AV104+(1-EXP(-LN(2)/25))/(LN(2)/25)*Calculateur!AQ105*Calculateur!AS105*VLOOKUP('Données projet'!$B$10,Paramètres!$A$1:$I$89,3,0)*0.475*44/12</f>
        <v>15.651068656789752</v>
      </c>
      <c r="AW105" s="21">
        <f>EXP(-LN(2)/2)*AW104+(1-EXP(-LN(2)/2))/(LN(2)/2)*AQ105*AT105*VLOOKUP('Données projet'!$B$10,Paramètres!$A$1:$I$89,3,0)*0.475*44/12</f>
        <v>2.8795826095918523E-6</v>
      </c>
      <c r="AX105" s="21">
        <f t="shared" si="60"/>
        <v>105.00816076413089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261.20475283925128</v>
      </c>
      <c r="BJ105" s="59">
        <f t="shared" si="92"/>
        <v>247.06045079522403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88.305322275318019</v>
      </c>
      <c r="BQ105" s="21">
        <f>EXP(-LN(2)/25)*BQ104+(1-EXP(-LN(2)/25))/(LN(2)/25)*Calculateur!BL105*Calculateur!BN105*VLOOKUP('Données projet'!$B$11,Paramètres!$A$1:$I$89,3,0)*0.475*44/12</f>
        <v>18.048299649687564</v>
      </c>
      <c r="BR105" s="21">
        <f>EXP(-LN(2)/2)*BR104+(1-EXP(-LN(2)/2))/(LN(2)/2)*BL105*BO105*VLOOKUP('Données projet'!$B$11,Paramètres!$A$1:$I$89,3,0)*0.475*44/12</f>
        <v>4.8058097324258758E-4</v>
      </c>
      <c r="BS105" s="22">
        <f t="shared" si="63"/>
        <v>106.35410250597883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2.1000000000000036</v>
      </c>
      <c r="BY105" s="12">
        <f>IF('Données projet'!$A$114&gt;35,BY104+BX105-CG104,IF(A105&lt;'Données projet'!$A$114,$BV$205^A105,IF(A105='Données projet'!$A$114,'Données projet'!$B$114,BY104+BX105-CG104)))</f>
        <v>136.49999999999949</v>
      </c>
      <c r="BZ105" s="13">
        <f>BY105*VLOOKUP('Données projet'!$B$12,Paramètres!$A$1:$I$89,3,0)*VLOOKUP('Données projet'!$B$12,Paramètres!$A$1:$I$89,5,0)</f>
        <v>78.077999999999705</v>
      </c>
      <c r="CA105" s="13">
        <f t="shared" si="93"/>
        <v>21.666582091642017</v>
      </c>
      <c r="CB105" s="20">
        <f t="shared" si="64"/>
        <v>173.72181380960933</v>
      </c>
      <c r="CC105" s="59">
        <f t="shared" si="65"/>
        <v>467.05514714294264</v>
      </c>
      <c r="CD105" s="59">
        <f ca="1">AVERAGE(OFFSET($CC$3,0,0,'Données projet'!$E$12+1,1))-AVERAGE(OFFSET($H$3,0,0,'Données projet'!$E$12+1,1))</f>
        <v>268.71706840132384</v>
      </c>
      <c r="CE105" s="59">
        <f t="shared" si="94"/>
        <v>199.92519498289477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74.662536968262245</v>
      </c>
      <c r="CL105" s="21">
        <f>EXP(-LN(2)/25)*CL104+(1-EXP(-LN(2)/25))/(LN(2)/25)*Calculateur!CG105*Calculateur!CI105*VLOOKUP('Données projet'!$B$12,Paramètres!$A$1:$I$89,3,0)*0.475*44/12</f>
        <v>18.144733631590011</v>
      </c>
      <c r="CM105" s="21">
        <f>EXP(-LN(2)/2)*CM104+(1-EXP(-LN(2)/2))/(LN(2)/2)*CG105*CJ105*VLOOKUP('Données projet'!$B$12,Paramètres!$A$1:$I$89,3,0)*0.475*44/12</f>
        <v>8.0840011764404593</v>
      </c>
      <c r="CN105" s="22">
        <f t="shared" si="66"/>
        <v>100.89127177629271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6.9935897435897401</v>
      </c>
      <c r="N106" s="13">
        <f>IF('Données projet'!$A$36&gt;35,N105+M106-V105,IF(A106&lt;'Données projet'!$A$36,$K$205^A106,IF(A106='Données projet'!$A$36,'Données projet'!$B$36,N105+M106-V105)))</f>
        <v>298.20512820512863</v>
      </c>
      <c r="O106" s="13">
        <f>N106*VLOOKUP('Données projet'!$B$9,Paramètres!$A$1:$I$89,3,0)*VLOOKUP('Données projet'!$B$9,Paramètres!$A$1:$I$89,5,0)</f>
        <v>269.81600000000037</v>
      </c>
      <c r="P106" s="13">
        <f t="shared" si="87"/>
        <v>64.810218294809729</v>
      </c>
      <c r="Q106" s="20">
        <f t="shared" si="107"/>
        <v>582.80733019679417</v>
      </c>
      <c r="R106" s="59">
        <f t="shared" si="55"/>
        <v>876.14066353012754</v>
      </c>
      <c r="S106" s="59">
        <f ca="1">AVERAGE(OFFSET($R$3,0,0,'Données projet'!$E$9+1,1))-AVERAGE(OFFSET($H$3,0,0,'Données projet'!$E$9+1,1))</f>
        <v>384.05928630855732</v>
      </c>
      <c r="T106" s="59">
        <f t="shared" si="88"/>
        <v>279.93992813630513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45.401592876002908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45.401592876002908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-6.3550942286383367E-14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335.04906256888819</v>
      </c>
      <c r="AO106" s="59">
        <f t="shared" si="90"/>
        <v>440.84111898279554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87.604851210444949</v>
      </c>
      <c r="AV106" s="21">
        <f>EXP(-LN(2)/25)*AV105+(1-EXP(-LN(2)/25))/(LN(2)/25)*Calculateur!AQ106*Calculateur!AS106*VLOOKUP('Données projet'!$B$10,Paramètres!$A$1:$I$89,3,0)*0.475*44/12</f>
        <v>15.223089361315907</v>
      </c>
      <c r="AW106" s="21">
        <f>EXP(-LN(2)/2)*AW105+(1-EXP(-LN(2)/2))/(LN(2)/2)*AQ106*AT106*VLOOKUP('Données projet'!$B$10,Paramètres!$A$1:$I$89,3,0)*0.475*44/12</f>
        <v>2.0361723902292534E-6</v>
      </c>
      <c r="AX106" s="21">
        <f t="shared" si="60"/>
        <v>102.82794260793324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261.20475283925128</v>
      </c>
      <c r="BJ106" s="59">
        <f t="shared" si="92"/>
        <v>247.06045079522403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86.573708766427302</v>
      </c>
      <c r="BQ106" s="21">
        <f>EXP(-LN(2)/25)*BQ105+(1-EXP(-LN(2)/25))/(LN(2)/25)*Calculateur!BL106*Calculateur!BN106*VLOOKUP('Données projet'!$B$11,Paramètres!$A$1:$I$89,3,0)*0.475*44/12</f>
        <v>17.554767946648028</v>
      </c>
      <c r="BR106" s="21">
        <f>EXP(-LN(2)/2)*BR105+(1-EXP(-LN(2)/2))/(LN(2)/2)*BL106*BO106*VLOOKUP('Données projet'!$B$11,Paramètres!$A$1:$I$89,3,0)*0.475*44/12</f>
        <v>3.3982206508906444E-4</v>
      </c>
      <c r="BS106" s="22">
        <f t="shared" si="63"/>
        <v>104.12881653514042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138.6</v>
      </c>
      <c r="BW106" s="12">
        <f>VLOOKUP(A106,'Données projet'!$A$113:$I$133,9,0)</f>
        <v>2.1000000000000036</v>
      </c>
      <c r="BX106" s="12">
        <f t="array" ref="BX106">INDEX(BW:BW,MIN(IF(ISNUMBER(BW106:BW302),ROW(BW106:BW302),"")))</f>
        <v>2.1000000000000036</v>
      </c>
      <c r="BY106" s="12">
        <f>IF('Données projet'!$A$114&gt;35,BY105+BX106-CG105,IF(A106&lt;'Données projet'!$A$114,$BV$205^A106,IF(A106='Données projet'!$A$114,'Données projet'!$B$114,BY105+BX106-CG105)))</f>
        <v>138.59999999999948</v>
      </c>
      <c r="BZ106" s="13">
        <f>BY106*VLOOKUP('Données projet'!$B$12,Paramètres!$A$1:$I$89,3,0)*VLOOKUP('Données projet'!$B$12,Paramètres!$A$1:$I$89,5,0)</f>
        <v>79.279199999999705</v>
      </c>
      <c r="CA106" s="13">
        <f t="shared" si="93"/>
        <v>21.960852053344567</v>
      </c>
      <c r="CB106" s="20">
        <f t="shared" si="64"/>
        <v>176.32642399290793</v>
      </c>
      <c r="CC106" s="59">
        <f t="shared" si="65"/>
        <v>469.65975732624122</v>
      </c>
      <c r="CD106" s="59">
        <f ca="1">AVERAGE(OFFSET($CC$3,0,0,'Données projet'!$E$12+1,1))-AVERAGE(OFFSET($H$3,0,0,'Données projet'!$E$12+1,1))</f>
        <v>268.71706840132384</v>
      </c>
      <c r="CE106" s="59">
        <f t="shared" si="94"/>
        <v>199.92519498289477</v>
      </c>
      <c r="CF106" s="15">
        <f>IF(ISNA(VLOOKUP(A106,'Données projet'!$A$113:$I$133,3,0)),0,VLOOKUP(A106,'Données projet'!$A$113:$I$133,3,0))</f>
        <v>11</v>
      </c>
      <c r="CG106" s="15">
        <f>IF(ISNA(VLOOKUP(A106,'Données projet'!$A$113:$I$133,4,0)),0,VLOOKUP(A106,'Données projet'!$A$113:$I$133,4,0))</f>
        <v>138.6</v>
      </c>
      <c r="CH106" s="16">
        <f>IF(ISNA(VLOOKUP(A106,'Données projet'!$A$113:$I$133,5,0)),0%,VLOOKUP(A106,'Données projet'!$A$113:$I$133,5,0)*VLOOKUP('Données projet'!$B$12,Paramètres!$A$1:$I$89,7,0))</f>
        <v>0.315</v>
      </c>
      <c r="CI106" s="16">
        <f>IF(ISNA(VLOOKUP(A106,'Données projet'!$A$113:$I$133,6,0)),0%,VLOOKUP(A106,'Données projet'!$A$113:$I$133,6,0)*VLOOKUP('Données projet'!$B$12,Paramètres!$A$1:$I$89,7,0))</f>
        <v>7.6500000000000012E-2</v>
      </c>
      <c r="CJ106" s="16">
        <f>IF(ISNA(VLOOKUP(A106,'Données projet'!$A$113:$I$133,7,0)),0%,VLOOKUP(A106,'Données projet'!$A$113:$I$133,7,0))</f>
        <v>0.13</v>
      </c>
      <c r="CK106" s="21">
        <f>EXP(-LN(2)/35)*CK105+(1-EXP(-LN(2)/35))/(LN(2)/35)*CG106*CH106*VLOOKUP('Données projet'!$B$12,Paramètres!$A$1:$I$89,3,0)*0.475*44/12</f>
        <v>106.32667532230548</v>
      </c>
      <c r="CL106" s="21">
        <f>EXP(-LN(2)/25)*CL105+(1-EXP(-LN(2)/25))/(LN(2)/25)*Calculateur!CG106*Calculateur!CI106*VLOOKUP('Données projet'!$B$12,Paramètres!$A$1:$I$89,3,0)*0.475*44/12</f>
        <v>25.662313139435785</v>
      </c>
      <c r="CM106" s="21">
        <f>EXP(-LN(2)/2)*CM105+(1-EXP(-LN(2)/2))/(LN(2)/2)*CG106*CJ106*VLOOKUP('Données projet'!$B$12,Paramètres!$A$1:$I$89,3,0)*0.475*44/12</f>
        <v>17.3853732500489</v>
      </c>
      <c r="CN106" s="22">
        <f t="shared" si="66"/>
        <v>149.37436171179016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6.9935897435897401</v>
      </c>
      <c r="N107" s="13">
        <f>IF('Données projet'!$A$36&gt;35,N106+M107-V106,IF(A107&lt;'Données projet'!$A$36,$K$205^A107,IF(A107='Données projet'!$A$36,'Données projet'!$B$36,N106+M107-V106)))</f>
        <v>305.19871794871835</v>
      </c>
      <c r="O107" s="13">
        <f>N107*VLOOKUP('Données projet'!$B$9,Paramètres!$A$1:$I$89,3,0)*VLOOKUP('Données projet'!$B$9,Paramètres!$A$1:$I$89,5,0)</f>
        <v>276.14380000000034</v>
      </c>
      <c r="P107" s="13">
        <f t="shared" si="87"/>
        <v>66.151426401533939</v>
      </c>
      <c r="Q107" s="20">
        <f t="shared" si="107"/>
        <v>596.16418598267205</v>
      </c>
      <c r="R107" s="59">
        <f t="shared" si="55"/>
        <v>889.49751931600531</v>
      </c>
      <c r="S107" s="59">
        <f ca="1">AVERAGE(OFFSET($R$3,0,0,'Données projet'!$E$9+1,1))-AVERAGE(OFFSET($H$3,0,0,'Données projet'!$E$9+1,1))</f>
        <v>384.05928630855732</v>
      </c>
      <c r="T107" s="59">
        <f t="shared" si="88"/>
        <v>279.93992813630513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44.511295331941767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44.511295331941767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-6.3550942286383367E-14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335.04906256888819</v>
      </c>
      <c r="AO107" s="59">
        <f t="shared" si="90"/>
        <v>440.84111898279554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85.886973511891227</v>
      </c>
      <c r="AV107" s="21">
        <f>EXP(-LN(2)/25)*AV106+(1-EXP(-LN(2)/25))/(LN(2)/25)*Calculateur!AQ107*Calculateur!AS107*VLOOKUP('Données projet'!$B$10,Paramètres!$A$1:$I$89,3,0)*0.475*44/12</f>
        <v>14.806813182183246</v>
      </c>
      <c r="AW107" s="21">
        <f>EXP(-LN(2)/2)*AW106+(1-EXP(-LN(2)/2))/(LN(2)/2)*AQ107*AT107*VLOOKUP('Données projet'!$B$10,Paramètres!$A$1:$I$89,3,0)*0.475*44/12</f>
        <v>1.4397913047959261E-6</v>
      </c>
      <c r="AX107" s="21">
        <f t="shared" si="60"/>
        <v>100.69378813386578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261.20475283925128</v>
      </c>
      <c r="BJ107" s="59">
        <f t="shared" si="92"/>
        <v>247.06045079522403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84.876051142265979</v>
      </c>
      <c r="BQ107" s="21">
        <f>EXP(-LN(2)/25)*BQ106+(1-EXP(-LN(2)/25))/(LN(2)/25)*Calculateur!BL107*Calculateur!BN107*VLOOKUP('Données projet'!$B$11,Paramètres!$A$1:$I$89,3,0)*0.475*44/12</f>
        <v>17.074731893981813</v>
      </c>
      <c r="BR107" s="21">
        <f>EXP(-LN(2)/2)*BR106+(1-EXP(-LN(2)/2))/(LN(2)/2)*BL107*BO107*VLOOKUP('Données projet'!$B$11,Paramètres!$A$1:$I$89,3,0)*0.475*44/12</f>
        <v>2.4029048662129382E-4</v>
      </c>
      <c r="BS107" s="22">
        <f t="shared" si="63"/>
        <v>101.95102332673441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-5.1159076974727213E-13</v>
      </c>
      <c r="BZ107" s="13">
        <f>BY107*VLOOKUP('Données projet'!$B$12,Paramètres!$A$1:$I$89,3,0)*VLOOKUP('Données projet'!$B$12,Paramètres!$A$1:$I$89,5,0)</f>
        <v>-2.9262992029543964E-13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268.71706840132384</v>
      </c>
      <c r="CE107" s="59">
        <f t="shared" si="94"/>
        <v>199.92519498289477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104.24167407210332</v>
      </c>
      <c r="CL107" s="21">
        <f>EXP(-LN(2)/25)*CL106+(1-EXP(-LN(2)/25))/(LN(2)/25)*Calculateur!CG107*Calculateur!CI107*VLOOKUP('Données projet'!$B$12,Paramètres!$A$1:$I$89,3,0)*0.475*44/12</f>
        <v>24.960575837115517</v>
      </c>
      <c r="CM107" s="21">
        <f>EXP(-LN(2)/2)*CM106+(1-EXP(-LN(2)/2))/(LN(2)/2)*CG107*CJ107*VLOOKUP('Données projet'!$B$12,Paramètres!$A$1:$I$89,3,0)*0.475*44/12</f>
        <v>12.293315318568785</v>
      </c>
      <c r="CN107" s="22">
        <f t="shared" si="66"/>
        <v>141.49556522778761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6.9935897435897401</v>
      </c>
      <c r="N108" s="13">
        <f>IF('Données projet'!$A$36&gt;35,N107+M108-V107,IF(A108&lt;'Données projet'!$A$36,$K$205^A108,IF(A108='Données projet'!$A$36,'Données projet'!$B$36,N107+M108-V107)))</f>
        <v>312.19230769230808</v>
      </c>
      <c r="O108" s="13">
        <f>N108*VLOOKUP('Données projet'!$B$9,Paramètres!$A$1:$I$89,3,0)*VLOOKUP('Données projet'!$B$9,Paramètres!$A$1:$I$89,5,0)</f>
        <v>282.47160000000031</v>
      </c>
      <c r="P108" s="13">
        <f t="shared" si="87"/>
        <v>67.489061551962138</v>
      </c>
      <c r="Q108" s="20">
        <f t="shared" si="107"/>
        <v>609.51481886966792</v>
      </c>
      <c r="R108" s="59">
        <f t="shared" si="55"/>
        <v>902.84815220300129</v>
      </c>
      <c r="S108" s="59">
        <f ca="1">AVERAGE(OFFSET($R$3,0,0,'Données projet'!$E$9+1,1))-AVERAGE(OFFSET($H$3,0,0,'Données projet'!$E$9+1,1))</f>
        <v>384.05928630855732</v>
      </c>
      <c r="T108" s="59">
        <f t="shared" si="88"/>
        <v>279.93992813630513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43.638455979691777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43.638455979691777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-6.3550942286383367E-14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335.04906256888819</v>
      </c>
      <c r="AO108" s="59">
        <f t="shared" si="90"/>
        <v>440.84111898279554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84.202782347204206</v>
      </c>
      <c r="AV108" s="21">
        <f>EXP(-LN(2)/25)*AV107+(1-EXP(-LN(2)/25))/(LN(2)/25)*Calculateur!AQ108*Calculateur!AS108*VLOOKUP('Données projet'!$B$10,Paramètres!$A$1:$I$89,3,0)*0.475*44/12</f>
        <v>14.401920097059982</v>
      </c>
      <c r="AW108" s="21">
        <f>EXP(-LN(2)/2)*AW107+(1-EXP(-LN(2)/2))/(LN(2)/2)*AQ108*AT108*VLOOKUP('Données projet'!$B$10,Paramètres!$A$1:$I$89,3,0)*0.475*44/12</f>
        <v>1.0180861951146267E-6</v>
      </c>
      <c r="AX108" s="21">
        <f t="shared" si="60"/>
        <v>98.604703462350386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261.20475283925128</v>
      </c>
      <c r="BJ108" s="59">
        <f t="shared" si="92"/>
        <v>247.06045079522403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83.211683548645553</v>
      </c>
      <c r="BQ108" s="21">
        <f>EXP(-LN(2)/25)*BQ107+(1-EXP(-LN(2)/25))/(LN(2)/25)*Calculateur!BL108*Calculateur!BN108*VLOOKUP('Données projet'!$B$11,Paramètres!$A$1:$I$89,3,0)*0.475*44/12</f>
        <v>16.607822452419754</v>
      </c>
      <c r="BR108" s="21">
        <f>EXP(-LN(2)/2)*BR107+(1-EXP(-LN(2)/2))/(LN(2)/2)*BL108*BO108*VLOOKUP('Données projet'!$B$11,Paramètres!$A$1:$I$89,3,0)*0.475*44/12</f>
        <v>1.6991103254453225E-4</v>
      </c>
      <c r="BS108" s="22">
        <f t="shared" si="63"/>
        <v>99.81967591209785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-5.1159076974727213E-13</v>
      </c>
      <c r="BZ108" s="13">
        <f>BY108*VLOOKUP('Données projet'!$B$12,Paramètres!$A$1:$I$89,3,0)*VLOOKUP('Données projet'!$B$12,Paramètres!$A$1:$I$89,5,0)</f>
        <v>-2.9262992029543964E-13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268.71706840132384</v>
      </c>
      <c r="CE108" s="59">
        <f t="shared" si="94"/>
        <v>199.92519498289477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102.19755842469245</v>
      </c>
      <c r="CL108" s="21">
        <f>EXP(-LN(2)/25)*CL107+(1-EXP(-LN(2)/25))/(LN(2)/25)*Calculateur!CG108*Calculateur!CI108*VLOOKUP('Données projet'!$B$12,Paramètres!$A$1:$I$89,3,0)*0.475*44/12</f>
        <v>24.27802757822996</v>
      </c>
      <c r="CM108" s="21">
        <f>EXP(-LN(2)/2)*CM107+(1-EXP(-LN(2)/2))/(LN(2)/2)*CG108*CJ108*VLOOKUP('Données projet'!$B$12,Paramètres!$A$1:$I$89,3,0)*0.475*44/12</f>
        <v>8.6926866250244519</v>
      </c>
      <c r="CN108" s="22">
        <f t="shared" si="66"/>
        <v>135.16827262794686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6.9935897435897401</v>
      </c>
      <c r="N109" s="13">
        <f>IF('Données projet'!$A$36&gt;35,N108+M109-V108,IF(A109&lt;'Données projet'!$A$36,$K$205^A109,IF(A109='Données projet'!$A$36,'Données projet'!$B$36,N108+M109-V108)))</f>
        <v>319.1858974358978</v>
      </c>
      <c r="O109" s="13">
        <f>N109*VLOOKUP('Données projet'!$B$9,Paramètres!$A$1:$I$89,3,0)*VLOOKUP('Données projet'!$B$9,Paramètres!$A$1:$I$89,5,0)</f>
        <v>288.79940000000033</v>
      </c>
      <c r="P109" s="13">
        <f t="shared" si="87"/>
        <v>68.82321300114252</v>
      </c>
      <c r="Q109" s="20">
        <f t="shared" si="107"/>
        <v>622.85938431032366</v>
      </c>
      <c r="R109" s="59">
        <f t="shared" si="55"/>
        <v>916.19271764365703</v>
      </c>
      <c r="S109" s="59">
        <f ca="1">AVERAGE(OFFSET($R$3,0,0,'Données projet'!$E$9+1,1))-AVERAGE(OFFSET($H$3,0,0,'Données projet'!$E$9+1,1))</f>
        <v>384.05928630855732</v>
      </c>
      <c r="T109" s="59">
        <f t="shared" si="88"/>
        <v>279.93992813630513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42.782732474759975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42.782732474759975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-6.3550942286383367E-14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335.04906256888819</v>
      </c>
      <c r="AO109" s="59">
        <f t="shared" si="90"/>
        <v>440.84111898279554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82.551617144001526</v>
      </c>
      <c r="AV109" s="21">
        <f>EXP(-LN(2)/25)*AV108+(1-EXP(-LN(2)/25))/(LN(2)/25)*Calculateur!AQ109*Calculateur!AS109*VLOOKUP('Données projet'!$B$10,Paramètres!$A$1:$I$89,3,0)*0.475*44/12</f>
        <v>14.008098834641816</v>
      </c>
      <c r="AW109" s="21">
        <f>EXP(-LN(2)/2)*AW108+(1-EXP(-LN(2)/2))/(LN(2)/2)*AQ109*AT109*VLOOKUP('Données projet'!$B$10,Paramètres!$A$1:$I$89,3,0)*0.475*44/12</f>
        <v>7.1989565239796306E-7</v>
      </c>
      <c r="AX109" s="21">
        <f t="shared" si="60"/>
        <v>96.559716698538992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261.20475283925128</v>
      </c>
      <c r="BJ109" s="59">
        <f t="shared" si="92"/>
        <v>247.06045079522403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81.579953188372031</v>
      </c>
      <c r="BQ109" s="21">
        <f>EXP(-LN(2)/25)*BQ108+(1-EXP(-LN(2)/25))/(LN(2)/25)*Calculateur!BL109*Calculateur!BN109*VLOOKUP('Données projet'!$B$11,Paramètres!$A$1:$I$89,3,0)*0.475*44/12</f>
        <v>16.153680674090911</v>
      </c>
      <c r="BR109" s="21">
        <f>EXP(-LN(2)/2)*BR108+(1-EXP(-LN(2)/2))/(LN(2)/2)*BL109*BO109*VLOOKUP('Données projet'!$B$11,Paramètres!$A$1:$I$89,3,0)*0.475*44/12</f>
        <v>1.2014524331064692E-4</v>
      </c>
      <c r="BS109" s="22">
        <f t="shared" si="63"/>
        <v>97.733754007706253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-5.1159076974727213E-13</v>
      </c>
      <c r="BZ109" s="13">
        <f>BY109*VLOOKUP('Données projet'!$B$12,Paramètres!$A$1:$I$89,3,0)*VLOOKUP('Données projet'!$B$12,Paramètres!$A$1:$I$89,5,0)</f>
        <v>-2.9262992029543964E-13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268.71706840132384</v>
      </c>
      <c r="CE109" s="59">
        <f t="shared" si="94"/>
        <v>199.92519498289477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100.19352663833986</v>
      </c>
      <c r="CL109" s="21">
        <f>EXP(-LN(2)/25)*CL108+(1-EXP(-LN(2)/25))/(LN(2)/25)*Calculateur!CG109*Calculateur!CI109*VLOOKUP('Données projet'!$B$12,Paramètres!$A$1:$I$89,3,0)*0.475*44/12</f>
        <v>23.614143637377278</v>
      </c>
      <c r="CM109" s="21">
        <f>EXP(-LN(2)/2)*CM108+(1-EXP(-LN(2)/2))/(LN(2)/2)*CG109*CJ109*VLOOKUP('Données projet'!$B$12,Paramètres!$A$1:$I$89,3,0)*0.475*44/12</f>
        <v>6.1466576592843936</v>
      </c>
      <c r="CN109" s="22">
        <f t="shared" si="66"/>
        <v>129.95432793500154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6.9935897435897401</v>
      </c>
      <c r="N110" s="13">
        <f>IF('Données projet'!$A$36&gt;35,N109+M110-V109,IF(A110&lt;'Données projet'!$A$36,$K$205^A110,IF(A110='Données projet'!$A$36,'Données projet'!$B$36,N109+M110-V109)))</f>
        <v>326.17948717948752</v>
      </c>
      <c r="O110" s="13">
        <f>N110*VLOOKUP('Données projet'!$B$9,Paramètres!$A$1:$I$89,3,0)*VLOOKUP('Données projet'!$B$9,Paramètres!$A$1:$I$89,5,0)</f>
        <v>295.1272000000003</v>
      </c>
      <c r="P110" s="13">
        <f t="shared" si="87"/>
        <v>70.153965869482519</v>
      </c>
      <c r="Q110" s="20">
        <f t="shared" si="107"/>
        <v>636.19803055601596</v>
      </c>
      <c r="R110" s="59">
        <f t="shared" si="55"/>
        <v>929.53136388934922</v>
      </c>
      <c r="S110" s="59">
        <f ca="1">AVERAGE(OFFSET($R$3,0,0,'Données projet'!$E$9+1,1))-AVERAGE(OFFSET($H$3,0,0,'Données projet'!$E$9+1,1))</f>
        <v>384.05928630855732</v>
      </c>
      <c r="T110" s="59">
        <f t="shared" si="88"/>
        <v>279.93992813630513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41.943789185820087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41.943789185820087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-6.3550942286383367E-14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335.04906256888819</v>
      </c>
      <c r="AO110" s="59">
        <f t="shared" si="90"/>
        <v>440.84111898279554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80.932830283322318</v>
      </c>
      <c r="AV110" s="21">
        <f>EXP(-LN(2)/25)*AV109+(1-EXP(-LN(2)/25))/(LN(2)/25)*Calculateur!AQ110*Calculateur!AS110*VLOOKUP('Données projet'!$B$10,Paramètres!$A$1:$I$89,3,0)*0.475*44/12</f>
        <v>13.625046635354634</v>
      </c>
      <c r="AW110" s="21">
        <f>EXP(-LN(2)/2)*AW109+(1-EXP(-LN(2)/2))/(LN(2)/2)*AQ110*AT110*VLOOKUP('Données projet'!$B$10,Paramètres!$A$1:$I$89,3,0)*0.475*44/12</f>
        <v>5.0904309755731334E-7</v>
      </c>
      <c r="AX110" s="21">
        <f t="shared" si="60"/>
        <v>94.557877427720058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261.20475283925128</v>
      </c>
      <c r="BJ110" s="59">
        <f t="shared" si="92"/>
        <v>247.06045079522403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79.980220065206225</v>
      </c>
      <c r="BQ110" s="21">
        <f>EXP(-LN(2)/25)*BQ109+(1-EXP(-LN(2)/25))/(LN(2)/25)*Calculateur!BL110*Calculateur!BN110*VLOOKUP('Données projet'!$B$11,Paramètres!$A$1:$I$89,3,0)*0.475*44/12</f>
        <v>15.711957426572749</v>
      </c>
      <c r="BR110" s="21">
        <f>EXP(-LN(2)/2)*BR109+(1-EXP(-LN(2)/2))/(LN(2)/2)*BL110*BO110*VLOOKUP('Données projet'!$B$11,Paramètres!$A$1:$I$89,3,0)*0.475*44/12</f>
        <v>8.4955516272266137E-5</v>
      </c>
      <c r="BS110" s="22">
        <f t="shared" si="63"/>
        <v>95.692262447295249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-5.1159076974727213E-13</v>
      </c>
      <c r="BZ110" s="13">
        <f>BY110*VLOOKUP('Données projet'!$B$12,Paramètres!$A$1:$I$89,3,0)*VLOOKUP('Données projet'!$B$12,Paramètres!$A$1:$I$89,5,0)</f>
        <v>-2.9262992029543964E-13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268.71706840132384</v>
      </c>
      <c r="CE110" s="59">
        <f t="shared" si="94"/>
        <v>199.92519498289477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98.228792692978956</v>
      </c>
      <c r="CL110" s="21">
        <f>EXP(-LN(2)/25)*CL109+(1-EXP(-LN(2)/25))/(LN(2)/25)*Calculateur!CG110*Calculateur!CI110*VLOOKUP('Données projet'!$B$12,Paramètres!$A$1:$I$89,3,0)*0.475*44/12</f>
        <v>22.968413637799355</v>
      </c>
      <c r="CM110" s="21">
        <f>EXP(-LN(2)/2)*CM109+(1-EXP(-LN(2)/2))/(LN(2)/2)*CG110*CJ110*VLOOKUP('Données projet'!$B$12,Paramètres!$A$1:$I$89,3,0)*0.475*44/12</f>
        <v>4.3463433125122259</v>
      </c>
      <c r="CN110" s="22">
        <f t="shared" si="66"/>
        <v>125.54354964329055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6.9935897435897401</v>
      </c>
      <c r="N111" s="13">
        <f>IF('Données projet'!$A$36&gt;35,N110+M111-V110,IF(A111&lt;'Données projet'!$A$36,$K$205^A111,IF(A111='Données projet'!$A$36,'Données projet'!$B$36,N110+M111-V110)))</f>
        <v>333.17307692307725</v>
      </c>
      <c r="O111" s="13">
        <f>N111*VLOOKUP('Données projet'!$B$9,Paramètres!$A$1:$I$89,3,0)*VLOOKUP('Données projet'!$B$9,Paramètres!$A$1:$I$89,5,0)</f>
        <v>301.45500000000027</v>
      </c>
      <c r="P111" s="13">
        <f t="shared" si="87"/>
        <v>71.481401418760342</v>
      </c>
      <c r="Q111" s="20">
        <f t="shared" si="107"/>
        <v>649.53089913767474</v>
      </c>
      <c r="R111" s="59">
        <f t="shared" si="55"/>
        <v>942.86423247100811</v>
      </c>
      <c r="S111" s="59">
        <f ca="1">AVERAGE(OFFSET($R$3,0,0,'Données projet'!$E$9+1,1))-AVERAGE(OFFSET($H$3,0,0,'Données projet'!$E$9+1,1))</f>
        <v>384.05928630855732</v>
      </c>
      <c r="T111" s="59">
        <f t="shared" si="88"/>
        <v>279.93992813630513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41.121297063071431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41.121297063071431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-6.3550942286383367E-14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335.04906256888819</v>
      </c>
      <c r="AO111" s="59">
        <f t="shared" si="90"/>
        <v>440.84111898279554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79.345786845618534</v>
      </c>
      <c r="AV111" s="21">
        <f>EXP(-LN(2)/25)*AV110+(1-EXP(-LN(2)/25))/(LN(2)/25)*Calculateur!AQ111*Calculateur!AS111*VLOOKUP('Données projet'!$B$10,Paramètres!$A$1:$I$89,3,0)*0.475*44/12</f>
        <v>13.252469018600799</v>
      </c>
      <c r="AW111" s="21">
        <f>EXP(-LN(2)/2)*AW110+(1-EXP(-LN(2)/2))/(LN(2)/2)*AQ111*AT111*VLOOKUP('Données projet'!$B$10,Paramètres!$A$1:$I$89,3,0)*0.475*44/12</f>
        <v>3.5994782619898153E-7</v>
      </c>
      <c r="AX111" s="21">
        <f t="shared" si="60"/>
        <v>92.598256224167159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261.20475283925128</v>
      </c>
      <c r="BJ111" s="59">
        <f t="shared" si="92"/>
        <v>247.06045079522403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78.411856732844839</v>
      </c>
      <c r="BQ111" s="21">
        <f>EXP(-LN(2)/25)*BQ110+(1-EXP(-LN(2)/25))/(LN(2)/25)*Calculateur!BL111*Calculateur!BN111*VLOOKUP('Données projet'!$B$11,Paramètres!$A$1:$I$89,3,0)*0.475*44/12</f>
        <v>15.282313124487185</v>
      </c>
      <c r="BR111" s="21">
        <f>EXP(-LN(2)/2)*BR110+(1-EXP(-LN(2)/2))/(LN(2)/2)*BL111*BO111*VLOOKUP('Données projet'!$B$11,Paramètres!$A$1:$I$89,3,0)*0.475*44/12</f>
        <v>6.0072621655323474E-5</v>
      </c>
      <c r="BS111" s="22">
        <f t="shared" si="63"/>
        <v>93.694229929953678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-5.1159076974727213E-13</v>
      </c>
      <c r="BZ111" s="13">
        <f>BY111*VLOOKUP('Données projet'!$B$12,Paramètres!$A$1:$I$89,3,0)*VLOOKUP('Données projet'!$B$12,Paramètres!$A$1:$I$89,5,0)</f>
        <v>-2.9262992029543964E-13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268.71706840132384</v>
      </c>
      <c r="CE111" s="59">
        <f t="shared" si="94"/>
        <v>199.92519498289477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96.302585981917204</v>
      </c>
      <c r="CL111" s="21">
        <f>EXP(-LN(2)/25)*CL110+(1-EXP(-LN(2)/25))/(LN(2)/25)*Calculateur!CG111*Calculateur!CI111*VLOOKUP('Données projet'!$B$12,Paramètres!$A$1:$I$89,3,0)*0.475*44/12</f>
        <v>22.340341159017353</v>
      </c>
      <c r="CM111" s="21">
        <f>EXP(-LN(2)/2)*CM110+(1-EXP(-LN(2)/2))/(LN(2)/2)*CG111*CJ111*VLOOKUP('Données projet'!$B$12,Paramètres!$A$1:$I$89,3,0)*0.475*44/12</f>
        <v>3.0733288296421968</v>
      </c>
      <c r="CN111" s="22">
        <f t="shared" si="66"/>
        <v>121.71625597057675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340.16666666666663</v>
      </c>
      <c r="L112" s="12">
        <f>VLOOKUP(A112,'Données projet'!$A$35:$I$55,9,0)</f>
        <v>6.9935897435897401</v>
      </c>
      <c r="M112" s="12">
        <f t="array" ref="M112">INDEX(L:L,MIN(IF(ISNUMBER(L112:L308),ROW(L112:L308),"")))</f>
        <v>6.9935897435897401</v>
      </c>
      <c r="N112" s="13">
        <f>IF('Données projet'!$A$36&gt;35,N111+M112-V111,IF(A112&lt;'Données projet'!$A$36,$K$205^A112,IF(A112='Données projet'!$A$36,'Données projet'!$B$36,N111+M112-V111)))</f>
        <v>340.16666666666697</v>
      </c>
      <c r="O112" s="13">
        <f>N112*VLOOKUP('Données projet'!$B$9,Paramètres!$A$1:$I$89,3,0)*VLOOKUP('Données projet'!$B$9,Paramètres!$A$1:$I$89,5,0)</f>
        <v>307.78280000000024</v>
      </c>
      <c r="P112" s="13">
        <f t="shared" si="87"/>
        <v>72.805597304306232</v>
      </c>
      <c r="Q112" s="20">
        <f t="shared" si="107"/>
        <v>662.85812530500039</v>
      </c>
      <c r="R112" s="59">
        <f t="shared" si="55"/>
        <v>956.19145863833364</v>
      </c>
      <c r="S112" s="59">
        <f ca="1">AVERAGE(OFFSET($R$3,0,0,'Données projet'!$E$9+1,1))-AVERAGE(OFFSET($H$3,0,0,'Données projet'!$E$9+1,1))</f>
        <v>384.05928630855732</v>
      </c>
      <c r="T112" s="59">
        <f t="shared" si="88"/>
        <v>279.93992813630513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51.28846153846154</v>
      </c>
      <c r="W112" s="16">
        <f>IF(ISNA(VLOOKUP(A112,'Données projet'!$A$35:$I$55,5,0)),0%,VLOOKUP(A112,'Données projet'!$A$35:$I$55,5,0)*VLOOKUP('Données projet'!$B$9,Paramètres!$A$1:$I$89,7,0))</f>
        <v>0.38700000000000001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60.168125359190398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60.168125359190398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-6.3550942286383367E-14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335.04906256888819</v>
      </c>
      <c r="AO112" s="59">
        <f t="shared" si="90"/>
        <v>440.84111898279554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77.789864361727211</v>
      </c>
      <c r="AV112" s="21">
        <f>EXP(-LN(2)/25)*AV111+(1-EXP(-LN(2)/25))/(LN(2)/25)*Calculateur!AQ112*Calculateur!AS112*VLOOKUP('Données projet'!$B$10,Paramètres!$A$1:$I$89,3,0)*0.475*44/12</f>
        <v>12.890079556370104</v>
      </c>
      <c r="AW112" s="21">
        <f>EXP(-LN(2)/2)*AW111+(1-EXP(-LN(2)/2))/(LN(2)/2)*AQ112*AT112*VLOOKUP('Données projet'!$B$10,Paramètres!$A$1:$I$89,3,0)*0.475*44/12</f>
        <v>2.5452154877865667E-7</v>
      </c>
      <c r="AX112" s="21">
        <f t="shared" si="60"/>
        <v>90.67994417261886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261.20475283925128</v>
      </c>
      <c r="BJ112" s="59">
        <f t="shared" si="92"/>
        <v>247.06045079522403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76.874248048823887</v>
      </c>
      <c r="BQ112" s="21">
        <f>EXP(-LN(2)/25)*BQ111+(1-EXP(-LN(2)/25))/(LN(2)/25)*Calculateur!BL112*Calculateur!BN112*VLOOKUP('Données projet'!$B$11,Paramètres!$A$1:$I$89,3,0)*0.475*44/12</f>
        <v>14.864417468436164</v>
      </c>
      <c r="BR112" s="21">
        <f>EXP(-LN(2)/2)*BR111+(1-EXP(-LN(2)/2))/(LN(2)/2)*BL112*BO112*VLOOKUP('Données projet'!$B$11,Paramètres!$A$1:$I$89,3,0)*0.475*44/12</f>
        <v>4.2477758136133076E-5</v>
      </c>
      <c r="BS112" s="22">
        <f t="shared" si="63"/>
        <v>91.738707995018189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-5.1159076974727213E-13</v>
      </c>
      <c r="BZ112" s="13">
        <f>BY112*VLOOKUP('Données projet'!$B$12,Paramètres!$A$1:$I$89,3,0)*VLOOKUP('Données projet'!$B$12,Paramètres!$A$1:$I$89,5,0)</f>
        <v>-2.9262992029543964E-13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268.71706840132384</v>
      </c>
      <c r="CE112" s="59">
        <f t="shared" si="94"/>
        <v>199.92519498289477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94.41415100958929</v>
      </c>
      <c r="CL112" s="21">
        <f>EXP(-LN(2)/25)*CL111+(1-EXP(-LN(2)/25))/(LN(2)/25)*Calculateur!CG112*Calculateur!CI112*VLOOKUP('Données projet'!$B$12,Paramètres!$A$1:$I$89,3,0)*0.475*44/12</f>
        <v>21.72944335519654</v>
      </c>
      <c r="CM112" s="21">
        <f>EXP(-LN(2)/2)*CM111+(1-EXP(-LN(2)/2))/(LN(2)/2)*CG112*CJ112*VLOOKUP('Données projet'!$B$12,Paramètres!$A$1:$I$89,3,0)*0.475*44/12</f>
        <v>2.173171656256113</v>
      </c>
      <c r="CN112" s="22">
        <f t="shared" si="66"/>
        <v>118.31676602104194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6.8461538461538511</v>
      </c>
      <c r="N113" s="13">
        <f>IF('Données projet'!$A$36&gt;35,N112+M113-V112,IF(A113&lt;'Données projet'!$A$36,$K$205^A113,IF(A113='Données projet'!$A$36,'Données projet'!$B$36,N112+M113-V112)))</f>
        <v>295.72435897435929</v>
      </c>
      <c r="O113" s="13">
        <f>N113*VLOOKUP('Données projet'!$B$9,Paramètres!$A$1:$I$89,3,0)*VLOOKUP('Données projet'!$B$9,Paramètres!$A$1:$I$89,5,0)</f>
        <v>267.57140000000027</v>
      </c>
      <c r="P113" s="13">
        <f t="shared" si="87"/>
        <v>64.333588350286504</v>
      </c>
      <c r="Q113" s="20">
        <f t="shared" si="107"/>
        <v>578.06785471008277</v>
      </c>
      <c r="R113" s="59">
        <f t="shared" si="55"/>
        <v>871.40118804341614</v>
      </c>
      <c r="S113" s="59">
        <f ca="1">AVERAGE(OFFSET($R$3,0,0,'Données projet'!$E$9+1,1))-AVERAGE(OFFSET($H$3,0,0,'Données projet'!$E$9+1,1))</f>
        <v>384.05928630855732</v>
      </c>
      <c r="T113" s="59">
        <f t="shared" si="88"/>
        <v>279.93992813630513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58.988265119829428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58.988265119829428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-6.3550942286383367E-14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335.04906256888819</v>
      </c>
      <c r="AO113" s="59">
        <f t="shared" si="90"/>
        <v>440.84111898279554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76.264452568725986</v>
      </c>
      <c r="AV113" s="21">
        <f>EXP(-LN(2)/25)*AV112+(1-EXP(-LN(2)/25))/(LN(2)/25)*Calculateur!AQ113*Calculateur!AS113*VLOOKUP('Données projet'!$B$10,Paramètres!$A$1:$I$89,3,0)*0.475*44/12</f>
        <v>12.53759965304134</v>
      </c>
      <c r="AW113" s="21">
        <f>EXP(-LN(2)/2)*AW112+(1-EXP(-LN(2)/2))/(LN(2)/2)*AQ113*AT113*VLOOKUP('Données projet'!$B$10,Paramètres!$A$1:$I$89,3,0)*0.475*44/12</f>
        <v>1.7997391309949077E-7</v>
      </c>
      <c r="AX113" s="21">
        <f t="shared" si="60"/>
        <v>88.802052401741236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261.20475283925128</v>
      </c>
      <c r="BJ113" s="59">
        <f t="shared" si="92"/>
        <v>247.06045079522403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75.366790933247884</v>
      </c>
      <c r="BQ113" s="21">
        <f>EXP(-LN(2)/25)*BQ112+(1-EXP(-LN(2)/25))/(LN(2)/25)*Calculateur!BL113*Calculateur!BN113*VLOOKUP('Données projet'!$B$11,Paramètres!$A$1:$I$89,3,0)*0.475*44/12</f>
        <v>14.457949191076036</v>
      </c>
      <c r="BR113" s="21">
        <f>EXP(-LN(2)/2)*BR112+(1-EXP(-LN(2)/2))/(LN(2)/2)*BL113*BO113*VLOOKUP('Données projet'!$B$11,Paramètres!$A$1:$I$89,3,0)*0.475*44/12</f>
        <v>3.0036310827661741E-5</v>
      </c>
      <c r="BS113" s="22">
        <f t="shared" si="63"/>
        <v>89.824770160634756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-5.1159076974727213E-13</v>
      </c>
      <c r="BZ113" s="13">
        <f>BY113*VLOOKUP('Données projet'!$B$12,Paramètres!$A$1:$I$89,3,0)*VLOOKUP('Données projet'!$B$12,Paramètres!$A$1:$I$89,5,0)</f>
        <v>-2.9262992029543964E-13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268.71706840132384</v>
      </c>
      <c r="CE113" s="59">
        <f t="shared" si="94"/>
        <v>199.92519498289477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92.562747095237114</v>
      </c>
      <c r="CL113" s="21">
        <f>EXP(-LN(2)/25)*CL112+(1-EXP(-LN(2)/25))/(LN(2)/25)*Calculateur!CG113*Calculateur!CI113*VLOOKUP('Données projet'!$B$12,Paramètres!$A$1:$I$89,3,0)*0.475*44/12</f>
        <v>21.135250583946927</v>
      </c>
      <c r="CM113" s="21">
        <f>EXP(-LN(2)/2)*CM112+(1-EXP(-LN(2)/2))/(LN(2)/2)*CG113*CJ113*VLOOKUP('Données projet'!$B$12,Paramètres!$A$1:$I$89,3,0)*0.475*44/12</f>
        <v>1.5366644148210984</v>
      </c>
      <c r="CN113" s="22">
        <f t="shared" si="66"/>
        <v>115.23466209400515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6.8461538461538511</v>
      </c>
      <c r="N114" s="13">
        <f>IF('Données projet'!$A$36&gt;35,N113+M114-V113,IF(A114&lt;'Données projet'!$A$36,$K$205^A114,IF(A114='Données projet'!$A$36,'Données projet'!$B$36,N113+M114-V113)))</f>
        <v>302.57051282051316</v>
      </c>
      <c r="O114" s="13">
        <f>N114*VLOOKUP('Données projet'!$B$9,Paramètres!$A$1:$I$89,3,0)*VLOOKUP('Données projet'!$B$9,Paramètres!$A$1:$I$89,5,0)</f>
        <v>273.7658000000003</v>
      </c>
      <c r="P114" s="13">
        <f t="shared" si="87"/>
        <v>65.647821692657914</v>
      </c>
      <c r="Q114" s="20">
        <f t="shared" si="107"/>
        <v>591.14539111471311</v>
      </c>
      <c r="R114" s="59">
        <f t="shared" si="55"/>
        <v>884.47872444804648</v>
      </c>
      <c r="S114" s="59">
        <f ca="1">AVERAGE(OFFSET($R$3,0,0,'Données projet'!$E$9+1,1))-AVERAGE(OFFSET($H$3,0,0,'Données projet'!$E$9+1,1))</f>
        <v>384.05928630855732</v>
      </c>
      <c r="T114" s="59">
        <f t="shared" si="88"/>
        <v>279.93992813630513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57.831541220118638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57.831541220118638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-6.3550942286383367E-14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335.04906256888819</v>
      </c>
      <c r="AO114" s="59">
        <f t="shared" si="90"/>
        <v>440.84111898279554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74.768953170576196</v>
      </c>
      <c r="AV114" s="21">
        <f>EXP(-LN(2)/25)*AV113+(1-EXP(-LN(2)/25))/(LN(2)/25)*Calculateur!AQ114*Calculateur!AS114*VLOOKUP('Données projet'!$B$10,Paramètres!$A$1:$I$89,3,0)*0.475*44/12</f>
        <v>12.194758331205215</v>
      </c>
      <c r="AW114" s="21">
        <f>EXP(-LN(2)/2)*AW113+(1-EXP(-LN(2)/2))/(LN(2)/2)*AQ114*AT114*VLOOKUP('Données projet'!$B$10,Paramètres!$A$1:$I$89,3,0)*0.475*44/12</f>
        <v>1.2726077438932834E-7</v>
      </c>
      <c r="AX114" s="21">
        <f t="shared" si="60"/>
        <v>86.96371162904218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261.20475283925128</v>
      </c>
      <c r="BJ114" s="59">
        <f t="shared" si="92"/>
        <v>247.06045079522403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73.888894132250286</v>
      </c>
      <c r="BQ114" s="21">
        <f>EXP(-LN(2)/25)*BQ113+(1-EXP(-LN(2)/25))/(LN(2)/25)*Calculateur!BL114*Calculateur!BN114*VLOOKUP('Données projet'!$B$11,Paramètres!$A$1:$I$89,3,0)*0.475*44/12</f>
        <v>14.062595810135559</v>
      </c>
      <c r="BR114" s="21">
        <f>EXP(-LN(2)/2)*BR113+(1-EXP(-LN(2)/2))/(LN(2)/2)*BL114*BO114*VLOOKUP('Données projet'!$B$11,Paramètres!$A$1:$I$89,3,0)*0.475*44/12</f>
        <v>2.1238879068066541E-5</v>
      </c>
      <c r="BS114" s="22">
        <f t="shared" si="63"/>
        <v>87.95151118126492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-5.1159076974727213E-13</v>
      </c>
      <c r="BZ114" s="13">
        <f>BY114*VLOOKUP('Données projet'!$B$12,Paramètres!$A$1:$I$89,3,0)*VLOOKUP('Données projet'!$B$12,Paramètres!$A$1:$I$89,5,0)</f>
        <v>-2.9262992029543964E-13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268.71706840132384</v>
      </c>
      <c r="CE114" s="59">
        <f t="shared" si="94"/>
        <v>199.92519498289477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90.747648082400502</v>
      </c>
      <c r="CL114" s="21">
        <f>EXP(-LN(2)/25)*CL113+(1-EXP(-LN(2)/25))/(LN(2)/25)*Calculateur!CG114*Calculateur!CI114*VLOOKUP('Données projet'!$B$12,Paramètres!$A$1:$I$89,3,0)*0.475*44/12</f>
        <v>20.557306045274377</v>
      </c>
      <c r="CM114" s="21">
        <f>EXP(-LN(2)/2)*CM113+(1-EXP(-LN(2)/2))/(LN(2)/2)*CG114*CJ114*VLOOKUP('Données projet'!$B$12,Paramètres!$A$1:$I$89,3,0)*0.475*44/12</f>
        <v>1.0865858281280565</v>
      </c>
      <c r="CN114" s="22">
        <f t="shared" si="66"/>
        <v>112.39153995580293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6.8461538461538511</v>
      </c>
      <c r="N115" s="13">
        <f>IF('Données projet'!$A$36&gt;35,N114+M115-V114,IF(A115&lt;'Données projet'!$A$36,$K$205^A115,IF(A115='Données projet'!$A$36,'Données projet'!$B$36,N114+M115-V114)))</f>
        <v>309.41666666666703</v>
      </c>
      <c r="O115" s="13">
        <f>N115*VLOOKUP('Données projet'!$B$9,Paramètres!$A$1:$I$89,3,0)*VLOOKUP('Données projet'!$B$9,Paramètres!$A$1:$I$89,5,0)</f>
        <v>279.96020000000033</v>
      </c>
      <c r="P115" s="13">
        <f t="shared" si="87"/>
        <v>66.958597927408931</v>
      </c>
      <c r="Q115" s="20">
        <f t="shared" si="107"/>
        <v>604.2169063902378</v>
      </c>
      <c r="R115" s="59">
        <f t="shared" si="55"/>
        <v>897.55023972357117</v>
      </c>
      <c r="S115" s="59">
        <f ca="1">AVERAGE(OFFSET($R$3,0,0,'Données projet'!$E$9+1,1))-AVERAGE(OFFSET($H$3,0,0,'Données projet'!$E$9+1,1))</f>
        <v>384.05928630855732</v>
      </c>
      <c r="T115" s="59">
        <f t="shared" si="88"/>
        <v>279.93992813630513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56.697499970549259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56.697499970549259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-6.3550942286383367E-14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335.04906256888819</v>
      </c>
      <c r="AO115" s="59">
        <f t="shared" si="90"/>
        <v>440.84111898279554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73.302779603459555</v>
      </c>
      <c r="AV115" s="21">
        <f>EXP(-LN(2)/25)*AV114+(1-EXP(-LN(2)/25))/(LN(2)/25)*Calculateur!AQ115*Calculateur!AS115*VLOOKUP('Données projet'!$B$10,Paramètres!$A$1:$I$89,3,0)*0.475*44/12</f>
        <v>11.861292023343939</v>
      </c>
      <c r="AW115" s="21">
        <f>EXP(-LN(2)/2)*AW114+(1-EXP(-LN(2)/2))/(LN(2)/2)*AQ115*AT115*VLOOKUP('Données projet'!$B$10,Paramètres!$A$1:$I$89,3,0)*0.475*44/12</f>
        <v>8.9986956549745383E-8</v>
      </c>
      <c r="AX115" s="21">
        <f t="shared" si="60"/>
        <v>85.164071716790446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261.20475283925128</v>
      </c>
      <c r="BJ115" s="59">
        <f t="shared" si="92"/>
        <v>247.06045079522403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72.439977986092202</v>
      </c>
      <c r="BQ115" s="21">
        <f>EXP(-LN(2)/25)*BQ114+(1-EXP(-LN(2)/25))/(LN(2)/25)*Calculateur!BL115*Calculateur!BN115*VLOOKUP('Données projet'!$B$11,Paramètres!$A$1:$I$89,3,0)*0.475*44/12</f>
        <v>13.678053388187628</v>
      </c>
      <c r="BR115" s="21">
        <f>EXP(-LN(2)/2)*BR114+(1-EXP(-LN(2)/2))/(LN(2)/2)*BL115*BO115*VLOOKUP('Données projet'!$B$11,Paramètres!$A$1:$I$89,3,0)*0.475*44/12</f>
        <v>1.5018155413830874E-5</v>
      </c>
      <c r="BS115" s="22">
        <f t="shared" si="63"/>
        <v>86.118046392435247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-5.1159076974727213E-13</v>
      </c>
      <c r="BZ115" s="13">
        <f>BY115*VLOOKUP('Données projet'!$B$12,Paramètres!$A$1:$I$89,3,0)*VLOOKUP('Données projet'!$B$12,Paramètres!$A$1:$I$89,5,0)</f>
        <v>-2.9262992029543964E-13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268.71706840132384</v>
      </c>
      <c r="CE115" s="59">
        <f t="shared" si="94"/>
        <v>199.92519498289477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88.968142054104547</v>
      </c>
      <c r="CL115" s="21">
        <f>EXP(-LN(2)/25)*CL114+(1-EXP(-LN(2)/25))/(LN(2)/25)*Calculateur!CG115*Calculateur!CI115*VLOOKUP('Données projet'!$B$12,Paramètres!$A$1:$I$89,3,0)*0.475*44/12</f>
        <v>19.995165430404608</v>
      </c>
      <c r="CM115" s="21">
        <f>EXP(-LN(2)/2)*CM114+(1-EXP(-LN(2)/2))/(LN(2)/2)*CG115*CJ115*VLOOKUP('Données projet'!$B$12,Paramètres!$A$1:$I$89,3,0)*0.475*44/12</f>
        <v>0.7683322074105492</v>
      </c>
      <c r="CN115" s="22">
        <f t="shared" si="66"/>
        <v>109.73163969191971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6.8461538461538511</v>
      </c>
      <c r="N116" s="13">
        <f>IF('Données projet'!$A$36&gt;35,N115+M116-V115,IF(A116&lt;'Données projet'!$A$36,$K$205^A116,IF(A116='Données projet'!$A$36,'Données projet'!$B$36,N115+M116-V115)))</f>
        <v>316.26282051282089</v>
      </c>
      <c r="O116" s="13">
        <f>N116*VLOOKUP('Données projet'!$B$9,Paramètres!$A$1:$I$89,3,0)*VLOOKUP('Données projet'!$B$9,Paramètres!$A$1:$I$89,5,0)</f>
        <v>286.15460000000036</v>
      </c>
      <c r="P116" s="13">
        <f t="shared" si="87"/>
        <v>68.266002354364261</v>
      </c>
      <c r="Q116" s="20">
        <f t="shared" si="107"/>
        <v>617.28254910051839</v>
      </c>
      <c r="R116" s="59">
        <f t="shared" si="55"/>
        <v>910.61588243385177</v>
      </c>
      <c r="S116" s="59">
        <f ca="1">AVERAGE(OFFSET($R$3,0,0,'Données projet'!$E$9+1,1))-AVERAGE(OFFSET($H$3,0,0,'Données projet'!$E$9+1,1))</f>
        <v>384.05928630855732</v>
      </c>
      <c r="T116" s="59">
        <f t="shared" si="88"/>
        <v>279.93992813630513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55.585696578187076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55.585696578187076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-6.3550942286383367E-14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335.04906256888819</v>
      </c>
      <c r="AO116" s="59">
        <f t="shared" si="90"/>
        <v>440.84111898279554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71.865356805716502</v>
      </c>
      <c r="AV116" s="21">
        <f>EXP(-LN(2)/25)*AV115+(1-EXP(-LN(2)/25))/(LN(2)/25)*Calculateur!AQ116*Calculateur!AS116*VLOOKUP('Données projet'!$B$10,Paramètres!$A$1:$I$89,3,0)*0.475*44/12</f>
        <v>11.536944369207362</v>
      </c>
      <c r="AW116" s="21">
        <f>EXP(-LN(2)/2)*AW115+(1-EXP(-LN(2)/2))/(LN(2)/2)*AQ116*AT116*VLOOKUP('Données projet'!$B$10,Paramètres!$A$1:$I$89,3,0)*0.475*44/12</f>
        <v>6.3630387194664168E-8</v>
      </c>
      <c r="AX116" s="21">
        <f t="shared" si="60"/>
        <v>83.402301238554244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261.20475283925128</v>
      </c>
      <c r="BJ116" s="59">
        <f t="shared" si="92"/>
        <v>247.06045079522403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71.019474201808691</v>
      </c>
      <c r="BQ116" s="21">
        <f>EXP(-LN(2)/25)*BQ115+(1-EXP(-LN(2)/25))/(LN(2)/25)*Calculateur!BL116*Calculateur!BN116*VLOOKUP('Données projet'!$B$11,Paramètres!$A$1:$I$89,3,0)*0.475*44/12</f>
        <v>13.304026298990072</v>
      </c>
      <c r="BR116" s="21">
        <f>EXP(-LN(2)/2)*BR115+(1-EXP(-LN(2)/2))/(LN(2)/2)*BL116*BO116*VLOOKUP('Données projet'!$B$11,Paramètres!$A$1:$I$89,3,0)*0.475*44/12</f>
        <v>1.0619439534033272E-5</v>
      </c>
      <c r="BS116" s="22">
        <f t="shared" si="63"/>
        <v>84.323511120238294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-5.1159076974727213E-13</v>
      </c>
      <c r="BZ116" s="13">
        <f>BY116*VLOOKUP('Données projet'!$B$12,Paramètres!$A$1:$I$89,3,0)*VLOOKUP('Données projet'!$B$12,Paramètres!$A$1:$I$89,5,0)</f>
        <v>-2.9262992029543964E-13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268.71706840132384</v>
      </c>
      <c r="CE116" s="59">
        <f t="shared" si="94"/>
        <v>199.92519498289477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87.223531053631959</v>
      </c>
      <c r="CL116" s="21">
        <f>EXP(-LN(2)/25)*CL115+(1-EXP(-LN(2)/25))/(LN(2)/25)*Calculateur!CG116*Calculateur!CI116*VLOOKUP('Données projet'!$B$12,Paramètres!$A$1:$I$89,3,0)*0.475*44/12</f>
        <v>19.448396580210144</v>
      </c>
      <c r="CM116" s="21">
        <f>EXP(-LN(2)/2)*CM115+(1-EXP(-LN(2)/2))/(LN(2)/2)*CG116*CJ116*VLOOKUP('Données projet'!$B$12,Paramètres!$A$1:$I$89,3,0)*0.475*44/12</f>
        <v>0.54329291406402824</v>
      </c>
      <c r="CN116" s="22">
        <f t="shared" si="66"/>
        <v>107.21522054790613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6.8461538461538511</v>
      </c>
      <c r="N117" s="13">
        <f>IF('Données projet'!$A$36&gt;35,N116+M117-V116,IF(A117&lt;'Données projet'!$A$36,$K$205^A117,IF(A117='Données projet'!$A$36,'Données projet'!$B$36,N116+M117-V116)))</f>
        <v>323.10897435897476</v>
      </c>
      <c r="O117" s="13">
        <f>N117*VLOOKUP('Données projet'!$B$9,Paramètres!$A$1:$I$89,3,0)*VLOOKUP('Données projet'!$B$9,Paramètres!$A$1:$I$89,5,0)</f>
        <v>292.34900000000033</v>
      </c>
      <c r="P117" s="13">
        <f t="shared" si="87"/>
        <v>69.570116369442999</v>
      </c>
      <c r="Q117" s="20">
        <f t="shared" si="107"/>
        <v>630.34246101011377</v>
      </c>
      <c r="R117" s="59">
        <f t="shared" si="55"/>
        <v>923.67579434344702</v>
      </c>
      <c r="S117" s="59">
        <f ca="1">AVERAGE(OFFSET($R$3,0,0,'Données projet'!$E$9+1,1))-AVERAGE(OFFSET($H$3,0,0,'Données projet'!$E$9+1,1))</f>
        <v>384.05928630855732</v>
      </c>
      <c r="T117" s="59">
        <f t="shared" si="88"/>
        <v>279.93992813630513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54.495694972216008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54.495694972216008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-6.3550942286383367E-14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335.04906256888819</v>
      </c>
      <c r="AO117" s="59">
        <f t="shared" si="90"/>
        <v>440.84111898279554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70.456120992295851</v>
      </c>
      <c r="AV117" s="21">
        <f>EXP(-LN(2)/25)*AV116+(1-EXP(-LN(2)/25))/(LN(2)/25)*Calculateur!AQ117*Calculateur!AS117*VLOOKUP('Données projet'!$B$10,Paramètres!$A$1:$I$89,3,0)*0.475*44/12</f>
        <v>11.221466018729849</v>
      </c>
      <c r="AW117" s="21">
        <f>EXP(-LN(2)/2)*AW116+(1-EXP(-LN(2)/2))/(LN(2)/2)*AQ117*AT117*VLOOKUP('Données projet'!$B$10,Paramètres!$A$1:$I$89,3,0)*0.475*44/12</f>
        <v>4.4993478274872691E-8</v>
      </c>
      <c r="AX117" s="21">
        <f t="shared" si="60"/>
        <v>81.677587056019192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261.20475283925128</v>
      </c>
      <c r="BJ117" s="59">
        <f t="shared" si="92"/>
        <v>247.06045079522403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69.626825630313235</v>
      </c>
      <c r="BQ117" s="21">
        <f>EXP(-LN(2)/25)*BQ116+(1-EXP(-LN(2)/25))/(LN(2)/25)*Calculateur!BL117*Calculateur!BN117*VLOOKUP('Données projet'!$B$11,Paramètres!$A$1:$I$89,3,0)*0.475*44/12</f>
        <v>12.940227000215852</v>
      </c>
      <c r="BR117" s="21">
        <f>EXP(-LN(2)/2)*BR116+(1-EXP(-LN(2)/2))/(LN(2)/2)*BL117*BO117*VLOOKUP('Données projet'!$B$11,Paramètres!$A$1:$I$89,3,0)*0.475*44/12</f>
        <v>7.5090777069154377E-6</v>
      </c>
      <c r="BS117" s="22">
        <f t="shared" si="63"/>
        <v>82.567060139606795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-5.1159076974727213E-13</v>
      </c>
      <c r="BZ117" s="13">
        <f>BY117*VLOOKUP('Données projet'!$B$12,Paramètres!$A$1:$I$89,3,0)*VLOOKUP('Données projet'!$B$12,Paramètres!$A$1:$I$89,5,0)</f>
        <v>-2.9262992029543964E-13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268.71706840132384</v>
      </c>
      <c r="CE117" s="59">
        <f t="shared" si="94"/>
        <v>199.92519498289477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85.513130810771003</v>
      </c>
      <c r="CL117" s="21">
        <f>EXP(-LN(2)/25)*CL116+(1-EXP(-LN(2)/25))/(LN(2)/25)*Calculateur!CG117*Calculateur!CI117*VLOOKUP('Données projet'!$B$12,Paramètres!$A$1:$I$89,3,0)*0.475*44/12</f>
        <v>18.916579152977572</v>
      </c>
      <c r="CM117" s="21">
        <f>EXP(-LN(2)/2)*CM116+(1-EXP(-LN(2)/2))/(LN(2)/2)*CG117*CJ117*VLOOKUP('Données projet'!$B$12,Paramètres!$A$1:$I$89,3,0)*0.475*44/12</f>
        <v>0.3841661037052746</v>
      </c>
      <c r="CN117" s="22">
        <f t="shared" si="66"/>
        <v>104.81387606745385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6.8461538461538511</v>
      </c>
      <c r="N118" s="13">
        <f>IF('Données projet'!$A$36&gt;35,N117+M118-V117,IF(A118&lt;'Données projet'!$A$36,$K$205^A118,IF(A118='Données projet'!$A$36,'Données projet'!$B$36,N117+M118-V117)))</f>
        <v>329.95512820512863</v>
      </c>
      <c r="O118" s="13">
        <f>N118*VLOOKUP('Données projet'!$B$9,Paramètres!$A$1:$I$89,3,0)*VLOOKUP('Données projet'!$B$9,Paramètres!$A$1:$I$89,5,0)</f>
        <v>298.54340000000036</v>
      </c>
      <c r="P118" s="13">
        <f t="shared" si="87"/>
        <v>70.871017722198957</v>
      </c>
      <c r="Q118" s="20">
        <f t="shared" si="107"/>
        <v>643.39677753283047</v>
      </c>
      <c r="R118" s="59">
        <f t="shared" si="55"/>
        <v>936.73011086616384</v>
      </c>
      <c r="S118" s="59">
        <f ca="1">AVERAGE(OFFSET($R$3,0,0,'Données projet'!$E$9+1,1))-AVERAGE(OFFSET($H$3,0,0,'Données projet'!$E$9+1,1))</f>
        <v>384.05928630855732</v>
      </c>
      <c r="T118" s="59">
        <f t="shared" si="88"/>
        <v>279.93992813630513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53.427067632902698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53.427067632902698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-6.3550942286383367E-14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335.04906256888819</v>
      </c>
      <c r="AO118" s="59">
        <f t="shared" si="90"/>
        <v>440.84111898279554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69.074519433627401</v>
      </c>
      <c r="AV118" s="21">
        <f>EXP(-LN(2)/25)*AV117+(1-EXP(-LN(2)/25))/(LN(2)/25)*Calculateur!AQ118*Calculateur!AS118*VLOOKUP('Données projet'!$B$10,Paramètres!$A$1:$I$89,3,0)*0.475*44/12</f>
        <v>10.914614440336431</v>
      </c>
      <c r="AW118" s="21">
        <f>EXP(-LN(2)/2)*AW117+(1-EXP(-LN(2)/2))/(LN(2)/2)*AQ118*AT118*VLOOKUP('Données projet'!$B$10,Paramètres!$A$1:$I$89,3,0)*0.475*44/12</f>
        <v>3.1815193597332084E-8</v>
      </c>
      <c r="AX118" s="21">
        <f t="shared" si="60"/>
        <v>79.989133905779028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261.20475283925128</v>
      </c>
      <c r="BJ118" s="59">
        <f t="shared" si="92"/>
        <v>247.06045079522403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68.261486047873049</v>
      </c>
      <c r="BQ118" s="21">
        <f>EXP(-LN(2)/25)*BQ117+(1-EXP(-LN(2)/25))/(LN(2)/25)*Calculateur!BL118*Calculateur!BN118*VLOOKUP('Données projet'!$B$11,Paramètres!$A$1:$I$89,3,0)*0.475*44/12</f>
        <v>12.586375812397987</v>
      </c>
      <c r="BR118" s="21">
        <f>EXP(-LN(2)/2)*BR117+(1-EXP(-LN(2)/2))/(LN(2)/2)*BL118*BO118*VLOOKUP('Données projet'!$B$11,Paramètres!$A$1:$I$89,3,0)*0.475*44/12</f>
        <v>5.309719767016637E-6</v>
      </c>
      <c r="BS118" s="22">
        <f t="shared" si="63"/>
        <v>80.847867169990806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-5.1159076974727213E-13</v>
      </c>
      <c r="BZ118" s="13">
        <f>BY118*VLOOKUP('Données projet'!$B$12,Paramètres!$A$1:$I$89,3,0)*VLOOKUP('Données projet'!$B$12,Paramètres!$A$1:$I$89,5,0)</f>
        <v>-2.9262992029543964E-13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268.71706840132384</v>
      </c>
      <c r="CE118" s="59">
        <f t="shared" si="94"/>
        <v>199.92519498289477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83.836270473431412</v>
      </c>
      <c r="CL118" s="21">
        <f>EXP(-LN(2)/25)*CL117+(1-EXP(-LN(2)/25))/(LN(2)/25)*Calculateur!CG118*Calculateur!CI118*VLOOKUP('Données projet'!$B$12,Paramètres!$A$1:$I$89,3,0)*0.475*44/12</f>
        <v>18.399304301259736</v>
      </c>
      <c r="CM118" s="21">
        <f>EXP(-LN(2)/2)*CM117+(1-EXP(-LN(2)/2))/(LN(2)/2)*CG118*CJ118*VLOOKUP('Données projet'!$B$12,Paramètres!$A$1:$I$89,3,0)*0.475*44/12</f>
        <v>0.27164645703201412</v>
      </c>
      <c r="CN118" s="22">
        <f t="shared" si="66"/>
        <v>102.50722123172316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6.8461538461538511</v>
      </c>
      <c r="N119" s="13">
        <f>IF('Données projet'!$A$36&gt;35,N118+M119-V118,IF(A119&lt;'Données projet'!$A$36,$K$205^A119,IF(A119='Données projet'!$A$36,'Données projet'!$B$36,N118+M119-V118)))</f>
        <v>336.8012820512825</v>
      </c>
      <c r="O119" s="13">
        <f>N119*VLOOKUP('Données projet'!$B$9,Paramètres!$A$1:$I$89,3,0)*VLOOKUP('Données projet'!$B$9,Paramètres!$A$1:$I$89,5,0)</f>
        <v>304.73780000000039</v>
      </c>
      <c r="P119" s="13">
        <f t="shared" si="87"/>
        <v>72.168780751383139</v>
      </c>
      <c r="Q119" s="20">
        <f t="shared" si="107"/>
        <v>656.4456281419931</v>
      </c>
      <c r="R119" s="59">
        <f t="shared" si="55"/>
        <v>949.77896147532647</v>
      </c>
      <c r="S119" s="59">
        <f ca="1">AVERAGE(OFFSET($R$3,0,0,'Données projet'!$E$9+1,1))-AVERAGE(OFFSET($H$3,0,0,'Données projet'!$E$9+1,1))</f>
        <v>384.05928630855732</v>
      </c>
      <c r="T119" s="59">
        <f t="shared" si="88"/>
        <v>279.93992813630513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52.379395423915007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52.379395423915007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-6.3550942286383367E-14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335.04906256888819</v>
      </c>
      <c r="AO119" s="59">
        <f t="shared" si="90"/>
        <v>440.84111898279554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67.720010238830696</v>
      </c>
      <c r="AV119" s="21">
        <f>EXP(-LN(2)/25)*AV118+(1-EXP(-LN(2)/25))/(LN(2)/25)*Calculateur!AQ119*Calculateur!AS119*VLOOKUP('Données projet'!$B$10,Paramètres!$A$1:$I$89,3,0)*0.475*44/12</f>
        <v>10.616153734490803</v>
      </c>
      <c r="AW119" s="21">
        <f>EXP(-LN(2)/2)*AW118+(1-EXP(-LN(2)/2))/(LN(2)/2)*AQ119*AT119*VLOOKUP('Données projet'!$B$10,Paramètres!$A$1:$I$89,3,0)*0.475*44/12</f>
        <v>2.2496739137436346E-8</v>
      </c>
      <c r="AX119" s="21">
        <f t="shared" si="60"/>
        <v>78.336163995818239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261.20475283925128</v>
      </c>
      <c r="BJ119" s="59">
        <f t="shared" si="92"/>
        <v>247.06045079522403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66.922919941869594</v>
      </c>
      <c r="BQ119" s="21">
        <f>EXP(-LN(2)/25)*BQ118+(1-EXP(-LN(2)/25))/(LN(2)/25)*Calculateur!BL119*Calculateur!BN119*VLOOKUP('Données projet'!$B$11,Paramètres!$A$1:$I$89,3,0)*0.475*44/12</f>
        <v>12.242200703919227</v>
      </c>
      <c r="BR119" s="21">
        <f>EXP(-LN(2)/2)*BR118+(1-EXP(-LN(2)/2))/(LN(2)/2)*BL119*BO119*VLOOKUP('Données projet'!$B$11,Paramètres!$A$1:$I$89,3,0)*0.475*44/12</f>
        <v>3.7545388534577197E-6</v>
      </c>
      <c r="BS119" s="22">
        <f t="shared" si="63"/>
        <v>79.16512440032767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-5.1159076974727213E-13</v>
      </c>
      <c r="BZ119" s="13">
        <f>BY119*VLOOKUP('Données projet'!$B$12,Paramètres!$A$1:$I$89,3,0)*VLOOKUP('Données projet'!$B$12,Paramètres!$A$1:$I$89,5,0)</f>
        <v>-2.9262992029543964E-13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268.71706840132384</v>
      </c>
      <c r="CE119" s="59">
        <f t="shared" si="94"/>
        <v>199.92519498289477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82.192292344523239</v>
      </c>
      <c r="CL119" s="21">
        <f>EXP(-LN(2)/25)*CL118+(1-EXP(-LN(2)/25))/(LN(2)/25)*Calculateur!CG119*Calculateur!CI119*VLOOKUP('Données projet'!$B$12,Paramètres!$A$1:$I$89,3,0)*0.475*44/12</f>
        <v>17.896174357564426</v>
      </c>
      <c r="CM119" s="21">
        <f>EXP(-LN(2)/2)*CM118+(1-EXP(-LN(2)/2))/(LN(2)/2)*CG119*CJ119*VLOOKUP('Données projet'!$B$12,Paramètres!$A$1:$I$89,3,0)*0.475*44/12</f>
        <v>0.1920830518526373</v>
      </c>
      <c r="CN119" s="22">
        <f t="shared" si="66"/>
        <v>100.28054975394029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6.8461538461538511</v>
      </c>
      <c r="N120" s="13">
        <f>IF('Données projet'!$A$36&gt;35,N119+M120-V119,IF(A120&lt;'Données projet'!$A$36,$K$205^A120,IF(A120='Données projet'!$A$36,'Données projet'!$B$36,N119+M120-V119)))</f>
        <v>343.64743589743637</v>
      </c>
      <c r="O120" s="13">
        <f>N120*VLOOKUP('Données projet'!$B$9,Paramètres!$A$1:$I$89,3,0)*VLOOKUP('Données projet'!$B$9,Paramètres!$A$1:$I$89,5,0)</f>
        <v>310.93220000000042</v>
      </c>
      <c r="P120" s="13">
        <f t="shared" si="87"/>
        <v>73.463476600811546</v>
      </c>
      <c r="Q120" s="20">
        <f t="shared" si="107"/>
        <v>669.48913674641415</v>
      </c>
      <c r="R120" s="59">
        <f t="shared" si="55"/>
        <v>962.82247007974752</v>
      </c>
      <c r="S120" s="59">
        <f ca="1">AVERAGE(OFFSET($R$3,0,0,'Données projet'!$E$9+1,1))-AVERAGE(OFFSET($H$3,0,0,'Données projet'!$E$9+1,1))</f>
        <v>384.05928630855732</v>
      </c>
      <c r="T120" s="59">
        <f t="shared" si="88"/>
        <v>279.93992813630513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51.352267427928609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51.352267427928609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-6.3550942286383367E-14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335.04906256888819</v>
      </c>
      <c r="AO120" s="59">
        <f t="shared" si="90"/>
        <v>440.84111898279554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66.392062143174925</v>
      </c>
      <c r="AV120" s="21">
        <f>EXP(-LN(2)/25)*AV119+(1-EXP(-LN(2)/25))/(LN(2)/25)*Calculateur!AQ120*Calculateur!AS120*VLOOKUP('Données projet'!$B$10,Paramètres!$A$1:$I$89,3,0)*0.475*44/12</f>
        <v>10.32585445234189</v>
      </c>
      <c r="AW120" s="21">
        <f>EXP(-LN(2)/2)*AW119+(1-EXP(-LN(2)/2))/(LN(2)/2)*AQ120*AT120*VLOOKUP('Données projet'!$B$10,Paramètres!$A$1:$I$89,3,0)*0.475*44/12</f>
        <v>1.5907596798666042E-8</v>
      </c>
      <c r="AX120" s="21">
        <f t="shared" si="60"/>
        <v>76.717916611424414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261.20475283925128</v>
      </c>
      <c r="BJ120" s="59">
        <f t="shared" si="92"/>
        <v>247.06045079522403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65.610602300760164</v>
      </c>
      <c r="BQ120" s="21">
        <f>EXP(-LN(2)/25)*BQ119+(1-EXP(-LN(2)/25))/(LN(2)/25)*Calculateur!BL120*Calculateur!BN120*VLOOKUP('Données projet'!$B$11,Paramètres!$A$1:$I$89,3,0)*0.475*44/12</f>
        <v>11.9074370818812</v>
      </c>
      <c r="BR120" s="21">
        <f>EXP(-LN(2)/2)*BR119+(1-EXP(-LN(2)/2))/(LN(2)/2)*BL120*BO120*VLOOKUP('Données projet'!$B$11,Paramètres!$A$1:$I$89,3,0)*0.475*44/12</f>
        <v>2.6548598835083189E-6</v>
      </c>
      <c r="BS120" s="22">
        <f t="shared" si="63"/>
        <v>77.518042037501246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-5.1159076974727213E-13</v>
      </c>
      <c r="BZ120" s="13">
        <f>BY120*VLOOKUP('Données projet'!$B$12,Paramètres!$A$1:$I$89,3,0)*VLOOKUP('Données projet'!$B$12,Paramètres!$A$1:$I$89,5,0)</f>
        <v>-2.9262992029543964E-13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268.71706840132384</v>
      </c>
      <c r="CE120" s="59">
        <f t="shared" si="94"/>
        <v>199.92519498289477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80.580551623995305</v>
      </c>
      <c r="CL120" s="21">
        <f>EXP(-LN(2)/25)*CL119+(1-EXP(-LN(2)/25))/(LN(2)/25)*Calculateur!CG120*Calculateur!CI120*VLOOKUP('Données projet'!$B$12,Paramètres!$A$1:$I$89,3,0)*0.475*44/12</f>
        <v>17.406802528637918</v>
      </c>
      <c r="CM120" s="21">
        <f>EXP(-LN(2)/2)*CM119+(1-EXP(-LN(2)/2))/(LN(2)/2)*CG120*CJ120*VLOOKUP('Données projet'!$B$12,Paramètres!$A$1:$I$89,3,0)*0.475*44/12</f>
        <v>0.13582322851600706</v>
      </c>
      <c r="CN120" s="22">
        <f t="shared" si="66"/>
        <v>98.123177381149233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6.8461538461538511</v>
      </c>
      <c r="N121" s="13">
        <f>IF('Données projet'!$A$36&gt;35,N120+M121-V120,IF(A121&lt;'Données projet'!$A$36,$K$205^A121,IF(A121='Données projet'!$A$36,'Données projet'!$B$36,N120+M121-V120)))</f>
        <v>350.49358974359023</v>
      </c>
      <c r="O121" s="13">
        <f>N121*VLOOKUP('Données projet'!$B$9,Paramètres!$A$1:$I$89,3,0)*VLOOKUP('Données projet'!$B$9,Paramètres!$A$1:$I$89,5,0)</f>
        <v>317.12660000000039</v>
      </c>
      <c r="P121" s="13">
        <f t="shared" si="87"/>
        <v>74.755173417545677</v>
      </c>
      <c r="Q121" s="20">
        <f t="shared" si="107"/>
        <v>682.52742203555931</v>
      </c>
      <c r="R121" s="59">
        <f t="shared" si="55"/>
        <v>975.86075536889257</v>
      </c>
      <c r="S121" s="59">
        <f ca="1">AVERAGE(OFFSET($R$3,0,0,'Données projet'!$E$9+1,1))-AVERAGE(OFFSET($H$3,0,0,'Données projet'!$E$9+1,1))</f>
        <v>384.05928630855732</v>
      </c>
      <c r="T121" s="59">
        <f t="shared" si="88"/>
        <v>279.93992813630513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50.345280785457291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50.345280785457291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-6.3550942286383367E-14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335.04906256888819</v>
      </c>
      <c r="AO121" s="59">
        <f t="shared" si="90"/>
        <v>440.84111898279554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65.090154299706612</v>
      </c>
      <c r="AV121" s="21">
        <f>EXP(-LN(2)/25)*AV120+(1-EXP(-LN(2)/25))/(LN(2)/25)*Calculateur!AQ121*Calculateur!AS121*VLOOKUP('Données projet'!$B$10,Paramètres!$A$1:$I$89,3,0)*0.475*44/12</f>
        <v>10.043493419329515</v>
      </c>
      <c r="AW121" s="21">
        <f>EXP(-LN(2)/2)*AW120+(1-EXP(-LN(2)/2))/(LN(2)/2)*AQ121*AT121*VLOOKUP('Données projet'!$B$10,Paramètres!$A$1:$I$89,3,0)*0.475*44/12</f>
        <v>1.1248369568718173E-8</v>
      </c>
      <c r="AX121" s="21">
        <f t="shared" si="60"/>
        <v>75.133647730284508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261.20475283925128</v>
      </c>
      <c r="BJ121" s="59">
        <f t="shared" si="92"/>
        <v>247.06045079522403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64.324018408158153</v>
      </c>
      <c r="BQ121" s="21">
        <f>EXP(-LN(2)/25)*BQ120+(1-EXP(-LN(2)/25))/(LN(2)/25)*Calculateur!BL121*Calculateur!BN121*VLOOKUP('Données projet'!$B$11,Paramètres!$A$1:$I$89,3,0)*0.475*44/12</f>
        <v>11.581827588692258</v>
      </c>
      <c r="BR121" s="21">
        <f>EXP(-LN(2)/2)*BR120+(1-EXP(-LN(2)/2))/(LN(2)/2)*BL121*BO121*VLOOKUP('Données projet'!$B$11,Paramètres!$A$1:$I$89,3,0)*0.475*44/12</f>
        <v>1.8772694267288601E-6</v>
      </c>
      <c r="BS121" s="22">
        <f t="shared" si="63"/>
        <v>75.905847874119843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-5.1159076974727213E-13</v>
      </c>
      <c r="BZ121" s="13">
        <f>BY121*VLOOKUP('Données projet'!$B$12,Paramètres!$A$1:$I$89,3,0)*VLOOKUP('Données projet'!$B$12,Paramètres!$A$1:$I$89,5,0)</f>
        <v>-2.9262992029543964E-13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268.71706840132384</v>
      </c>
      <c r="CE121" s="59">
        <f t="shared" si="94"/>
        <v>199.92519498289477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79.000416155932157</v>
      </c>
      <c r="CL121" s="21">
        <f>EXP(-LN(2)/25)*CL120+(1-EXP(-LN(2)/25))/(LN(2)/25)*Calculateur!CG121*Calculateur!CI121*VLOOKUP('Données projet'!$B$12,Paramètres!$A$1:$I$89,3,0)*0.475*44/12</f>
        <v>16.930812598108353</v>
      </c>
      <c r="CM121" s="21">
        <f>EXP(-LN(2)/2)*CM120+(1-EXP(-LN(2)/2))/(LN(2)/2)*CG121*CJ121*VLOOKUP('Données projet'!$B$12,Paramètres!$A$1:$I$89,3,0)*0.475*44/12</f>
        <v>9.6041525926318649E-2</v>
      </c>
      <c r="CN121" s="22">
        <f t="shared" si="66"/>
        <v>96.027270279966842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357.33974358974359</v>
      </c>
      <c r="L122" s="12">
        <f>VLOOKUP(A122,'Données projet'!$A$35:$I$55,9,0)</f>
        <v>6.8461538461538511</v>
      </c>
      <c r="M122" s="12">
        <f t="array" ref="M122">INDEX(L:L,MIN(IF(ISNUMBER(L122:L318),ROW(L122:L318),"")))</f>
        <v>6.8461538461538511</v>
      </c>
      <c r="N122" s="13">
        <f>IF('Données projet'!$A$36&gt;35,N121+M122-V121,IF(A122&lt;'Données projet'!$A$36,$K$205^A122,IF(A122='Données projet'!$A$36,'Données projet'!$B$36,N121+M122-V121)))</f>
        <v>357.3397435897441</v>
      </c>
      <c r="O122" s="13">
        <f>N122*VLOOKUP('Données projet'!$B$9,Paramètres!$A$1:$I$89,3,0)*VLOOKUP('Données projet'!$B$9,Paramètres!$A$1:$I$89,5,0)</f>
        <v>323.32100000000048</v>
      </c>
      <c r="P122" s="13">
        <f t="shared" si="87"/>
        <v>76.043936534151186</v>
      </c>
      <c r="Q122" s="20">
        <f t="shared" si="107"/>
        <v>695.56059779698069</v>
      </c>
      <c r="R122" s="59">
        <f t="shared" si="55"/>
        <v>988.89393113031406</v>
      </c>
      <c r="S122" s="59">
        <f ca="1">AVERAGE(OFFSET($R$3,0,0,'Données projet'!$E$9+1,1))-AVERAGE(OFFSET($H$3,0,0,'Données projet'!$E$9+1,1))</f>
        <v>384.05928630855732</v>
      </c>
      <c r="T122" s="59">
        <f t="shared" si="88"/>
        <v>279.93992813630513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150.02564102564102</v>
      </c>
      <c r="W122" s="16">
        <f>IF(ISNA(VLOOKUP(A122,'Données projet'!$A$35:$I$55,5,0)),0%,VLOOKUP(A122,'Données projet'!$A$35:$I$55,5,0)*VLOOKUP('Données projet'!$B$9,Paramètres!$A$1:$I$89,7,0))</f>
        <v>0.38700000000000001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107.43129413735127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107.43129413735127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-6.3550942286383367E-14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335.04906256888819</v>
      </c>
      <c r="AO122" s="59">
        <f t="shared" si="90"/>
        <v>440.84111898279554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63.813776074963336</v>
      </c>
      <c r="AV122" s="21">
        <f>EXP(-LN(2)/25)*AV121+(1-EXP(-LN(2)/25))/(LN(2)/25)*Calculateur!AQ122*Calculateur!AS122*VLOOKUP('Données projet'!$B$10,Paramètres!$A$1:$I$89,3,0)*0.475*44/12</f>
        <v>9.7688535636135843</v>
      </c>
      <c r="AW122" s="21">
        <f>EXP(-LN(2)/2)*AW121+(1-EXP(-LN(2)/2))/(LN(2)/2)*AQ122*AT122*VLOOKUP('Données projet'!$B$10,Paramètres!$A$1:$I$89,3,0)*0.475*44/12</f>
        <v>7.953798399333021E-9</v>
      </c>
      <c r="AX122" s="21">
        <f t="shared" si="60"/>
        <v>73.582629646530719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261.20475283925128</v>
      </c>
      <c r="BJ122" s="59">
        <f t="shared" si="92"/>
        <v>247.06045079522403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63.062663640951385</v>
      </c>
      <c r="BQ122" s="21">
        <f>EXP(-LN(2)/25)*BQ121+(1-EXP(-LN(2)/25))/(LN(2)/25)*Calculateur!BL122*Calculateur!BN122*VLOOKUP('Données projet'!$B$11,Paramètres!$A$1:$I$89,3,0)*0.475*44/12</f>
        <v>11.265121904217626</v>
      </c>
      <c r="BR122" s="21">
        <f>EXP(-LN(2)/2)*BR121+(1-EXP(-LN(2)/2))/(LN(2)/2)*BL122*BO122*VLOOKUP('Données projet'!$B$11,Paramètres!$A$1:$I$89,3,0)*0.475*44/12</f>
        <v>1.3274299417541597E-6</v>
      </c>
      <c r="BS122" s="22">
        <f t="shared" si="63"/>
        <v>74.327786872598949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-5.1159076974727213E-13</v>
      </c>
      <c r="BZ122" s="13">
        <f>BY122*VLOOKUP('Données projet'!$B$12,Paramètres!$A$1:$I$89,3,0)*VLOOKUP('Données projet'!$B$12,Paramètres!$A$1:$I$89,5,0)</f>
        <v>-2.9262992029543964E-13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268.71706840132384</v>
      </c>
      <c r="CE122" s="59">
        <f t="shared" si="94"/>
        <v>199.92519498289477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77.451266180610261</v>
      </c>
      <c r="CL122" s="21">
        <f>EXP(-LN(2)/25)*CL121+(1-EXP(-LN(2)/25))/(LN(2)/25)*Calculateur!CG122*Calculateur!CI122*VLOOKUP('Données projet'!$B$12,Paramètres!$A$1:$I$89,3,0)*0.475*44/12</f>
        <v>16.467838637260343</v>
      </c>
      <c r="CM122" s="21">
        <f>EXP(-LN(2)/2)*CM121+(1-EXP(-LN(2)/2))/(LN(2)/2)*CG122*CJ122*VLOOKUP('Données projet'!$B$12,Paramètres!$A$1:$I$89,3,0)*0.475*44/12</f>
        <v>6.791161425800353E-2</v>
      </c>
      <c r="CN122" s="22">
        <f t="shared" si="66"/>
        <v>93.987016432128613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3.8301282051282044</v>
      </c>
      <c r="N123" s="13">
        <f>IF('Données projet'!$A$36&gt;35,N122+M123-V122,IF(A123&lt;'Données projet'!$A$36,$K$205^A123,IF(A123='Données projet'!$A$36,'Données projet'!$B$36,N122+M123-V122)))</f>
        <v>211.14423076923126</v>
      </c>
      <c r="O123" s="13">
        <f>N123*VLOOKUP('Données projet'!$B$9,Paramètres!$A$1:$I$89,3,0)*VLOOKUP('Données projet'!$B$9,Paramètres!$A$1:$I$89,5,0)</f>
        <v>191.04330000000041</v>
      </c>
      <c r="P123" s="13">
        <f t="shared" si="87"/>
        <v>47.770538104647592</v>
      </c>
      <c r="Q123" s="20">
        <f t="shared" si="107"/>
        <v>415.93410136559527</v>
      </c>
      <c r="R123" s="59">
        <f t="shared" si="55"/>
        <v>709.26743469892858</v>
      </c>
      <c r="S123" s="59">
        <f ca="1">AVERAGE(OFFSET($R$3,0,0,'Données projet'!$E$9+1,1))-AVERAGE(OFFSET($H$3,0,0,'Données projet'!$E$9+1,1))</f>
        <v>384.05928630855732</v>
      </c>
      <c r="T123" s="59">
        <f t="shared" si="88"/>
        <v>279.93992813630513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105.32463198593702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105.32463198593702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-6.3550942286383367E-14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335.04906256888819</v>
      </c>
      <c r="AO123" s="59">
        <f t="shared" si="90"/>
        <v>440.84111898279554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62.562426848693427</v>
      </c>
      <c r="AV123" s="21">
        <f>EXP(-LN(2)/25)*AV122+(1-EXP(-LN(2)/25))/(LN(2)/25)*Calculateur!AQ123*Calculateur!AS123*VLOOKUP('Données projet'!$B$10,Paramètres!$A$1:$I$89,3,0)*0.475*44/12</f>
        <v>9.5017237491948894</v>
      </c>
      <c r="AW123" s="21">
        <f>EXP(-LN(2)/2)*AW122+(1-EXP(-LN(2)/2))/(LN(2)/2)*AQ123*AT123*VLOOKUP('Données projet'!$B$10,Paramètres!$A$1:$I$89,3,0)*0.475*44/12</f>
        <v>5.6241847843590864E-9</v>
      </c>
      <c r="AX123" s="21">
        <f t="shared" si="60"/>
        <v>72.064150603512502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261.20475283925128</v>
      </c>
      <c r="BJ123" s="59">
        <f t="shared" si="92"/>
        <v>247.06045079522403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61.826043271379106</v>
      </c>
      <c r="BQ123" s="21">
        <f>EXP(-LN(2)/25)*BQ122+(1-EXP(-LN(2)/25))/(LN(2)/25)*Calculateur!BL123*Calculateur!BN123*VLOOKUP('Données projet'!$B$11,Paramètres!$A$1:$I$89,3,0)*0.475*44/12</f>
        <v>10.95707655333978</v>
      </c>
      <c r="BR123" s="21">
        <f>EXP(-LN(2)/2)*BR122+(1-EXP(-LN(2)/2))/(LN(2)/2)*BL123*BO123*VLOOKUP('Données projet'!$B$11,Paramètres!$A$1:$I$89,3,0)*0.475*44/12</f>
        <v>9.3863471336443013E-7</v>
      </c>
      <c r="BS123" s="22">
        <f t="shared" si="63"/>
        <v>72.783120763353594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-5.1159076974727213E-13</v>
      </c>
      <c r="BZ123" s="13">
        <f>BY123*VLOOKUP('Données projet'!$B$12,Paramètres!$A$1:$I$89,3,0)*VLOOKUP('Données projet'!$B$12,Paramètres!$A$1:$I$89,5,0)</f>
        <v>-2.9262992029543964E-13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268.71706840132384</v>
      </c>
      <c r="CE123" s="59">
        <f t="shared" si="94"/>
        <v>199.92519498289477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75.932494091416245</v>
      </c>
      <c r="CL123" s="21">
        <f>EXP(-LN(2)/25)*CL122+(1-EXP(-LN(2)/25))/(LN(2)/25)*Calculateur!CG123*Calculateur!CI123*VLOOKUP('Données projet'!$B$12,Paramètres!$A$1:$I$89,3,0)*0.475*44/12</f>
        <v>16.017524723718463</v>
      </c>
      <c r="CM123" s="21">
        <f>EXP(-LN(2)/2)*CM122+(1-EXP(-LN(2)/2))/(LN(2)/2)*CG123*CJ123*VLOOKUP('Données projet'!$B$12,Paramètres!$A$1:$I$89,3,0)*0.475*44/12</f>
        <v>4.8020762963159325E-2</v>
      </c>
      <c r="CN123" s="22">
        <f t="shared" si="66"/>
        <v>91.998039578097874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3.8301282051282044</v>
      </c>
      <c r="N124" s="13">
        <f>IF('Données projet'!$A$36&gt;35,N123+M124-V123,IF(A124&lt;'Données projet'!$A$36,$K$205^A124,IF(A124='Données projet'!$A$36,'Données projet'!$B$36,N123+M124-V123)))</f>
        <v>214.97435897435946</v>
      </c>
      <c r="O124" s="13">
        <f>N124*VLOOKUP('Données projet'!$B$9,Paramètres!$A$1:$I$89,3,0)*VLOOKUP('Données projet'!$B$9,Paramètres!$A$1:$I$89,5,0)</f>
        <v>194.50880000000043</v>
      </c>
      <c r="P124" s="13">
        <f t="shared" si="87"/>
        <v>48.535419780989194</v>
      </c>
      <c r="Q124" s="20">
        <f t="shared" si="107"/>
        <v>423.30201611855699</v>
      </c>
      <c r="R124" s="59">
        <f t="shared" si="55"/>
        <v>716.63534945189031</v>
      </c>
      <c r="S124" s="59">
        <f ca="1">AVERAGE(OFFSET($R$3,0,0,'Données projet'!$E$9+1,1))-AVERAGE(OFFSET($H$3,0,0,'Données projet'!$E$9+1,1))</f>
        <v>384.05928630855732</v>
      </c>
      <c r="T124" s="59">
        <f t="shared" si="88"/>
        <v>279.93992813630513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103.25928019437497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103.25928019437497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-6.3550942286383367E-14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335.04906256888819</v>
      </c>
      <c r="AO124" s="59">
        <f t="shared" si="90"/>
        <v>440.84111898279554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61.335615817503005</v>
      </c>
      <c r="AV124" s="21">
        <f>EXP(-LN(2)/25)*AV123+(1-EXP(-LN(2)/25))/(LN(2)/25)*Calculateur!AQ124*Calculateur!AS124*VLOOKUP('Données projet'!$B$10,Paramètres!$A$1:$I$89,3,0)*0.475*44/12</f>
        <v>9.2418986135992203</v>
      </c>
      <c r="AW124" s="21">
        <f>EXP(-LN(2)/2)*AW123+(1-EXP(-LN(2)/2))/(LN(2)/2)*AQ124*AT124*VLOOKUP('Données projet'!$B$10,Paramètres!$A$1:$I$89,3,0)*0.475*44/12</f>
        <v>3.9768991996665105E-9</v>
      </c>
      <c r="AX124" s="21">
        <f t="shared" si="60"/>
        <v>70.577514435079124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261.20475283925128</v>
      </c>
      <c r="BJ124" s="59">
        <f t="shared" si="92"/>
        <v>247.06045079522403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60.613672272990186</v>
      </c>
      <c r="BQ124" s="21">
        <f>EXP(-LN(2)/25)*BQ123+(1-EXP(-LN(2)/25))/(LN(2)/25)*Calculateur!BL124*Calculateur!BN124*VLOOKUP('Données projet'!$B$11,Paramètres!$A$1:$I$89,3,0)*0.475*44/12</f>
        <v>10.657454718781091</v>
      </c>
      <c r="BR124" s="21">
        <f>EXP(-LN(2)/2)*BR123+(1-EXP(-LN(2)/2))/(LN(2)/2)*BL124*BO124*VLOOKUP('Données projet'!$B$11,Paramètres!$A$1:$I$89,3,0)*0.475*44/12</f>
        <v>6.6371497087707994E-7</v>
      </c>
      <c r="BS124" s="22">
        <f t="shared" si="63"/>
        <v>71.271127655486254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-5.1159076974727213E-13</v>
      </c>
      <c r="BZ124" s="13">
        <f>BY124*VLOOKUP('Données projet'!$B$12,Paramètres!$A$1:$I$89,3,0)*VLOOKUP('Données projet'!$B$12,Paramètres!$A$1:$I$89,5,0)</f>
        <v>-2.9262992029543964E-13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268.71706840132384</v>
      </c>
      <c r="CE124" s="59">
        <f t="shared" si="94"/>
        <v>199.92519498289477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74.443504196531819</v>
      </c>
      <c r="CL124" s="21">
        <f>EXP(-LN(2)/25)*CL123+(1-EXP(-LN(2)/25))/(LN(2)/25)*Calculateur!CG124*Calculateur!CI124*VLOOKUP('Données projet'!$B$12,Paramètres!$A$1:$I$89,3,0)*0.475*44/12</f>
        <v>15.579524667823366</v>
      </c>
      <c r="CM124" s="21">
        <f>EXP(-LN(2)/2)*CM123+(1-EXP(-LN(2)/2))/(LN(2)/2)*CG124*CJ124*VLOOKUP('Données projet'!$B$12,Paramètres!$A$1:$I$89,3,0)*0.475*44/12</f>
        <v>3.3955807129001765E-2</v>
      </c>
      <c r="CN124" s="22">
        <f t="shared" si="66"/>
        <v>90.056984671484187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3.8301282051282044</v>
      </c>
      <c r="N125" s="13">
        <f>IF('Données projet'!$A$36&gt;35,N124+M125-V124,IF(A125&lt;'Données projet'!$A$36,$K$205^A125,IF(A125='Données projet'!$A$36,'Données projet'!$B$36,N124+M125-V124)))</f>
        <v>218.80448717948767</v>
      </c>
      <c r="O125" s="13">
        <f>N125*VLOOKUP('Données projet'!$B$9,Paramètres!$A$1:$I$89,3,0)*VLOOKUP('Données projet'!$B$9,Paramètres!$A$1:$I$89,5,0)</f>
        <v>197.97430000000043</v>
      </c>
      <c r="P125" s="13">
        <f t="shared" si="87"/>
        <v>49.298716754178493</v>
      </c>
      <c r="Q125" s="20">
        <f t="shared" si="107"/>
        <v>430.66717084686161</v>
      </c>
      <c r="R125" s="59">
        <f t="shared" si="55"/>
        <v>724.00050418019487</v>
      </c>
      <c r="S125" s="59">
        <f ca="1">AVERAGE(OFFSET($R$3,0,0,'Données projet'!$E$9+1,1))-AVERAGE(OFFSET($H$3,0,0,'Données projet'!$E$9+1,1))</f>
        <v>384.05928630855732</v>
      </c>
      <c r="T125" s="59">
        <f t="shared" si="88"/>
        <v>279.93992813630513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101.23442869170525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101.23442869170525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-6.3550942286383367E-14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335.04906256888819</v>
      </c>
      <c r="AO125" s="59">
        <f t="shared" si="90"/>
        <v>440.84111898279554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60.132861802353389</v>
      </c>
      <c r="AV125" s="21">
        <f>EXP(-LN(2)/25)*AV124+(1-EXP(-LN(2)/25))/(LN(2)/25)*Calculateur!AQ125*Calculateur!AS125*VLOOKUP('Données projet'!$B$10,Paramètres!$A$1:$I$89,3,0)*0.475*44/12</f>
        <v>8.989178410000024</v>
      </c>
      <c r="AW125" s="21">
        <f>EXP(-LN(2)/2)*AW124+(1-EXP(-LN(2)/2))/(LN(2)/2)*AQ125*AT125*VLOOKUP('Données projet'!$B$10,Paramètres!$A$1:$I$89,3,0)*0.475*44/12</f>
        <v>2.8120923921795432E-9</v>
      </c>
      <c r="AX125" s="21">
        <f t="shared" si="60"/>
        <v>69.122040215165498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261.20475283925128</v>
      </c>
      <c r="BJ125" s="59">
        <f t="shared" si="92"/>
        <v>247.06045079522403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59.425075130406384</v>
      </c>
      <c r="BQ125" s="21">
        <f>EXP(-LN(2)/25)*BQ124+(1-EXP(-LN(2)/25))/(LN(2)/25)*Calculateur!BL125*Calculateur!BN125*VLOOKUP('Données projet'!$B$11,Paramètres!$A$1:$I$89,3,0)*0.475*44/12</f>
        <v>10.366026059044836</v>
      </c>
      <c r="BR125" s="21">
        <f>EXP(-LN(2)/2)*BR124+(1-EXP(-LN(2)/2))/(LN(2)/2)*BL125*BO125*VLOOKUP('Données projet'!$B$11,Paramètres!$A$1:$I$89,3,0)*0.475*44/12</f>
        <v>4.6931735668221517E-7</v>
      </c>
      <c r="BS125" s="22">
        <f t="shared" si="63"/>
        <v>69.791101658768582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-5.1159076974727213E-13</v>
      </c>
      <c r="BZ125" s="13">
        <f>BY125*VLOOKUP('Données projet'!$B$12,Paramètres!$A$1:$I$89,3,0)*VLOOKUP('Données projet'!$B$12,Paramètres!$A$1:$I$89,5,0)</f>
        <v>-2.9262992029543964E-13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268.71706840132384</v>
      </c>
      <c r="CE125" s="59">
        <f t="shared" si="94"/>
        <v>199.92519498289477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72.983712485291917</v>
      </c>
      <c r="CL125" s="21">
        <f>EXP(-LN(2)/25)*CL124+(1-EXP(-LN(2)/25))/(LN(2)/25)*Calculateur!CG125*Calculateur!CI125*VLOOKUP('Données projet'!$B$12,Paramètres!$A$1:$I$89,3,0)*0.475*44/12</f>
        <v>15.153501746490141</v>
      </c>
      <c r="CM125" s="21">
        <f>EXP(-LN(2)/2)*CM124+(1-EXP(-LN(2)/2))/(LN(2)/2)*CG125*CJ125*VLOOKUP('Données projet'!$B$12,Paramètres!$A$1:$I$89,3,0)*0.475*44/12</f>
        <v>2.4010381481579662E-2</v>
      </c>
      <c r="CN125" s="22">
        <f t="shared" si="66"/>
        <v>88.161224613263627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222.63461538461539</v>
      </c>
      <c r="L126" s="12">
        <f>VLOOKUP(A126,'Données projet'!$A$35:$I$55,9,0)</f>
        <v>3.8301282051282044</v>
      </c>
      <c r="M126" s="12">
        <f t="array" ref="M126">INDEX(L:L,MIN(IF(ISNUMBER(L126:L322),ROW(L126:L322),"")))</f>
        <v>3.8301282051282044</v>
      </c>
      <c r="N126" s="13">
        <f>IF('Données projet'!$A$36&gt;35,N125+M126-V125,IF(A126&lt;'Données projet'!$A$36,$K$205^A126,IF(A126='Données projet'!$A$36,'Données projet'!$B$36,N125+M126-V125)))</f>
        <v>222.63461538461587</v>
      </c>
      <c r="O126" s="13">
        <f>N126*VLOOKUP('Données projet'!$B$9,Paramètres!$A$1:$I$89,3,0)*VLOOKUP('Données projet'!$B$9,Paramètres!$A$1:$I$89,5,0)</f>
        <v>201.43980000000045</v>
      </c>
      <c r="P126" s="13">
        <f t="shared" si="87"/>
        <v>50.06045996470462</v>
      </c>
      <c r="Q126" s="20">
        <f t="shared" si="107"/>
        <v>438.02961943852802</v>
      </c>
      <c r="R126" s="59">
        <f t="shared" si="55"/>
        <v>731.36295277186127</v>
      </c>
      <c r="S126" s="59">
        <f ca="1">AVERAGE(OFFSET($R$3,0,0,'Données projet'!$E$9+1,1))-AVERAGE(OFFSET($H$3,0,0,'Données projet'!$E$9+1,1))</f>
        <v>384.05928630855732</v>
      </c>
      <c r="T126" s="59">
        <f t="shared" si="88"/>
        <v>279.93992813630513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77.17307692307692</v>
      </c>
      <c r="W126" s="16">
        <f>IF(ISNA(VLOOKUP(A126,'Données projet'!$A$35:$I$55,5,0)),0%,VLOOKUP(A126,'Données projet'!$A$35:$I$55,5,0)*VLOOKUP('Données projet'!$B$9,Paramètres!$A$1:$I$89,7,0))</f>
        <v>0.38700000000000001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129.12212127250342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129.12212127250342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-6.3550942286383367E-14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335.04906256888819</v>
      </c>
      <c r="AO126" s="59">
        <f t="shared" si="90"/>
        <v>440.84111898279554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58.953693059833341</v>
      </c>
      <c r="AV126" s="21">
        <f>EXP(-LN(2)/25)*AV125+(1-EXP(-LN(2)/25))/(LN(2)/25)*Calculateur!AQ126*Calculateur!AS126*VLOOKUP('Données projet'!$B$10,Paramètres!$A$1:$I$89,3,0)*0.475*44/12</f>
        <v>8.7433688536582252</v>
      </c>
      <c r="AW126" s="21">
        <f>EXP(-LN(2)/2)*AW125+(1-EXP(-LN(2)/2))/(LN(2)/2)*AQ126*AT126*VLOOKUP('Données projet'!$B$10,Paramètres!$A$1:$I$89,3,0)*0.475*44/12</f>
        <v>1.9884495998332552E-9</v>
      </c>
      <c r="AX126" s="21">
        <f t="shared" si="60"/>
        <v>67.69706191548002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261.20475283925128</v>
      </c>
      <c r="BJ126" s="59">
        <f t="shared" si="92"/>
        <v>247.06045079522403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58.259785652815978</v>
      </c>
      <c r="BQ126" s="21">
        <f>EXP(-LN(2)/25)*BQ125+(1-EXP(-LN(2)/25))/(LN(2)/25)*Calculateur!BL126*Calculateur!BN126*VLOOKUP('Données projet'!$B$11,Paramètres!$A$1:$I$89,3,0)*0.475*44/12</f>
        <v>10.082566531334637</v>
      </c>
      <c r="BR126" s="21">
        <f>EXP(-LN(2)/2)*BR125+(1-EXP(-LN(2)/2))/(LN(2)/2)*BL126*BO126*VLOOKUP('Données projet'!$B$11,Paramètres!$A$1:$I$89,3,0)*0.475*44/12</f>
        <v>3.3185748543854002E-7</v>
      </c>
      <c r="BS126" s="22">
        <f t="shared" si="63"/>
        <v>68.342352516008091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-5.1159076974727213E-13</v>
      </c>
      <c r="BZ126" s="13">
        <f>BY126*VLOOKUP('Données projet'!$B$12,Paramètres!$A$1:$I$89,3,0)*VLOOKUP('Données projet'!$B$12,Paramètres!$A$1:$I$89,5,0)</f>
        <v>-2.9262992029543964E-13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268.71706840132384</v>
      </c>
      <c r="CE126" s="59">
        <f t="shared" si="94"/>
        <v>199.92519498289477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71.552546399124395</v>
      </c>
      <c r="CL126" s="21">
        <f>EXP(-LN(2)/25)*CL125+(1-EXP(-LN(2)/25))/(LN(2)/25)*Calculateur!CG126*Calculateur!CI126*VLOOKUP('Données projet'!$B$12,Paramètres!$A$1:$I$89,3,0)*0.475*44/12</f>
        <v>14.739128444344345</v>
      </c>
      <c r="CM126" s="21">
        <f>EXP(-LN(2)/2)*CM125+(1-EXP(-LN(2)/2))/(LN(2)/2)*CG126*CJ126*VLOOKUP('Données projet'!$B$12,Paramètres!$A$1:$I$89,3,0)*0.475*44/12</f>
        <v>1.6977903564500883E-2</v>
      </c>
      <c r="CN126" s="22">
        <f t="shared" si="66"/>
        <v>86.308652747033236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2.3349358974358978</v>
      </c>
      <c r="N127" s="13">
        <f>IF('Données projet'!$A$36&gt;35,N126+M127-V126,IF(A127&lt;'Données projet'!$A$36,$K$205^A127,IF(A127='Données projet'!$A$36,'Données projet'!$B$36,N126+M127-V126)))</f>
        <v>147.79647435897488</v>
      </c>
      <c r="O127" s="13">
        <f>N127*VLOOKUP('Données projet'!$B$9,Paramètres!$A$1:$I$89,3,0)*VLOOKUP('Données projet'!$B$9,Paramètres!$A$1:$I$89,5,0)</f>
        <v>133.72625000000048</v>
      </c>
      <c r="P127" s="13">
        <f t="shared" si="87"/>
        <v>34.855965018185749</v>
      </c>
      <c r="Q127" s="20">
        <f t="shared" si="107"/>
        <v>293.61402449000764</v>
      </c>
      <c r="R127" s="59">
        <f t="shared" si="55"/>
        <v>586.94735782334101</v>
      </c>
      <c r="S127" s="59">
        <f ca="1">AVERAGE(OFFSET($R$3,0,0,'Données projet'!$E$9+1,1))-AVERAGE(OFFSET($H$3,0,0,'Données projet'!$E$9+1,1))</f>
        <v>384.05928630855732</v>
      </c>
      <c r="T127" s="59">
        <f t="shared" si="88"/>
        <v>279.93992813630513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126.59011523106703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126.59011523106703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-6.3550942286383367E-14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335.04906256888819</v>
      </c>
      <c r="AO127" s="59">
        <f t="shared" si="90"/>
        <v>440.84111898279554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57.797647097132199</v>
      </c>
      <c r="AV127" s="21">
        <f>EXP(-LN(2)/25)*AV126+(1-EXP(-LN(2)/25))/(LN(2)/25)*Calculateur!AQ127*Calculateur!AS127*VLOOKUP('Données projet'!$B$10,Paramètres!$A$1:$I$89,3,0)*0.475*44/12</f>
        <v>8.5042809725611566</v>
      </c>
      <c r="AW127" s="21">
        <f>EXP(-LN(2)/2)*AW126+(1-EXP(-LN(2)/2))/(LN(2)/2)*AQ127*AT127*VLOOKUP('Données projet'!$B$10,Paramètres!$A$1:$I$89,3,0)*0.475*44/12</f>
        <v>1.4060461960897716E-9</v>
      </c>
      <c r="AX127" s="21">
        <f t="shared" si="60"/>
        <v>66.301928071099411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261.20475283925128</v>
      </c>
      <c r="BJ127" s="59">
        <f t="shared" si="92"/>
        <v>247.06045079522403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57.117346791124717</v>
      </c>
      <c r="BQ127" s="21">
        <f>EXP(-LN(2)/25)*BQ126+(1-EXP(-LN(2)/25))/(LN(2)/25)*Calculateur!BL127*Calculateur!BN127*VLOOKUP('Données projet'!$B$11,Paramètres!$A$1:$I$89,3,0)*0.475*44/12</f>
        <v>9.8068582193161618</v>
      </c>
      <c r="BR127" s="21">
        <f>EXP(-LN(2)/2)*BR126+(1-EXP(-LN(2)/2))/(LN(2)/2)*BL127*BO127*VLOOKUP('Données projet'!$B$11,Paramètres!$A$1:$I$89,3,0)*0.475*44/12</f>
        <v>2.3465867834110761E-7</v>
      </c>
      <c r="BS127" s="22">
        <f t="shared" si="63"/>
        <v>66.924205245099571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-5.1159076974727213E-13</v>
      </c>
      <c r="BZ127" s="13">
        <f>BY127*VLOOKUP('Données projet'!$B$12,Paramètres!$A$1:$I$89,3,0)*VLOOKUP('Données projet'!$B$12,Paramètres!$A$1:$I$89,5,0)</f>
        <v>-2.9262992029543964E-13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268.71706840132384</v>
      </c>
      <c r="CE127" s="59">
        <f t="shared" si="94"/>
        <v>199.92519498289477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70.149444606981504</v>
      </c>
      <c r="CL127" s="21">
        <f>EXP(-LN(2)/25)*CL126+(1-EXP(-LN(2)/25))/(LN(2)/25)*Calculateur!CG127*Calculateur!CI127*VLOOKUP('Données projet'!$B$12,Paramètres!$A$1:$I$89,3,0)*0.475*44/12</f>
        <v>14.336086201936672</v>
      </c>
      <c r="CM127" s="21">
        <f>EXP(-LN(2)/2)*CM126+(1-EXP(-LN(2)/2))/(LN(2)/2)*CG127*CJ127*VLOOKUP('Données projet'!$B$12,Paramètres!$A$1:$I$89,3,0)*0.475*44/12</f>
        <v>1.2005190740789831E-2</v>
      </c>
      <c r="CN127" s="22">
        <f t="shared" si="66"/>
        <v>84.497535999658965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2.3349358974358978</v>
      </c>
      <c r="N128" s="13">
        <f>IF('Données projet'!$A$36&gt;35,N127+M128-V127,IF(A128&lt;'Données projet'!$A$36,$K$205^A128,IF(A128='Données projet'!$A$36,'Données projet'!$B$36,N127+M128-V127)))</f>
        <v>150.13141025641079</v>
      </c>
      <c r="O128" s="13">
        <f>N128*VLOOKUP('Données projet'!$B$9,Paramètres!$A$1:$I$89,3,0)*VLOOKUP('Données projet'!$B$9,Paramètres!$A$1:$I$89,5,0)</f>
        <v>135.83890000000048</v>
      </c>
      <c r="P128" s="13">
        <f t="shared" si="87"/>
        <v>35.342088427890417</v>
      </c>
      <c r="Q128" s="20">
        <f t="shared" si="107"/>
        <v>298.14022151190994</v>
      </c>
      <c r="R128" s="59">
        <f t="shared" si="55"/>
        <v>591.47355484524326</v>
      </c>
      <c r="S128" s="59">
        <f ca="1">AVERAGE(OFFSET($R$3,0,0,'Données projet'!$E$9+1,1))-AVERAGE(OFFSET($H$3,0,0,'Données projet'!$E$9+1,1))</f>
        <v>384.05928630855732</v>
      </c>
      <c r="T128" s="59">
        <f t="shared" si="88"/>
        <v>279.93992813630513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124.10776028373201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124.10776028373201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-6.3550942286383367E-14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335.04906256888819</v>
      </c>
      <c r="AO128" s="59">
        <f t="shared" si="90"/>
        <v>440.84111898279554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56.664270490641215</v>
      </c>
      <c r="AV128" s="21">
        <f>EXP(-LN(2)/25)*AV127+(1-EXP(-LN(2)/25))/(LN(2)/25)*Calculateur!AQ128*Calculateur!AS128*VLOOKUP('Données projet'!$B$10,Paramètres!$A$1:$I$89,3,0)*0.475*44/12</f>
        <v>8.2717309621457726</v>
      </c>
      <c r="AW128" s="21">
        <f>EXP(-LN(2)/2)*AW127+(1-EXP(-LN(2)/2))/(LN(2)/2)*AQ128*AT128*VLOOKUP('Données projet'!$B$10,Paramètres!$A$1:$I$89,3,0)*0.475*44/12</f>
        <v>9.9422479991662762E-10</v>
      </c>
      <c r="AX128" s="21">
        <f t="shared" si="60"/>
        <v>64.936001453781202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261.20475283925128</v>
      </c>
      <c r="BJ128" s="59">
        <f t="shared" si="92"/>
        <v>247.06045079522403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55.997310458692326</v>
      </c>
      <c r="BQ128" s="21">
        <f>EXP(-LN(2)/25)*BQ127+(1-EXP(-LN(2)/25))/(LN(2)/25)*Calculateur!BL128*Calculateur!BN128*VLOOKUP('Données projet'!$B$11,Paramètres!$A$1:$I$89,3,0)*0.475*44/12</f>
        <v>9.5386891655887016</v>
      </c>
      <c r="BR128" s="21">
        <f>EXP(-LN(2)/2)*BR127+(1-EXP(-LN(2)/2))/(LN(2)/2)*BL128*BO128*VLOOKUP('Données projet'!$B$11,Paramètres!$A$1:$I$89,3,0)*0.475*44/12</f>
        <v>1.6592874271927004E-7</v>
      </c>
      <c r="BS128" s="22">
        <f t="shared" si="63"/>
        <v>65.535999790209772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-5.1159076974727213E-13</v>
      </c>
      <c r="BZ128" s="13">
        <f>BY128*VLOOKUP('Données projet'!$B$12,Paramètres!$A$1:$I$89,3,0)*VLOOKUP('Données projet'!$B$12,Paramètres!$A$1:$I$89,5,0)</f>
        <v>-2.9262992029543964E-13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268.71706840132384</v>
      </c>
      <c r="CE128" s="59">
        <f t="shared" si="94"/>
        <v>199.92519498289477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68.773856785174942</v>
      </c>
      <c r="CL128" s="21">
        <f>EXP(-LN(2)/25)*CL127+(1-EXP(-LN(2)/25))/(LN(2)/25)*Calculateur!CG128*Calculateur!CI128*VLOOKUP('Données projet'!$B$12,Paramètres!$A$1:$I$89,3,0)*0.475*44/12</f>
        <v>13.944065170842705</v>
      </c>
      <c r="CM128" s="21">
        <f>EXP(-LN(2)/2)*CM127+(1-EXP(-LN(2)/2))/(LN(2)/2)*CG128*CJ128*VLOOKUP('Données projet'!$B$12,Paramètres!$A$1:$I$89,3,0)*0.475*44/12</f>
        <v>8.4889517822504413E-3</v>
      </c>
      <c r="CN128" s="22">
        <f t="shared" si="66"/>
        <v>82.726410907799902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2.3349358974358978</v>
      </c>
      <c r="N129" s="13">
        <f>IF('Données projet'!$A$36&gt;35,N128+M129-V128,IF(A129&lt;'Données projet'!$A$36,$K$205^A129,IF(A129='Données projet'!$A$36,'Données projet'!$B$36,N128+M129-V128)))</f>
        <v>152.4663461538467</v>
      </c>
      <c r="O129" s="13">
        <f>N129*VLOOKUP('Données projet'!$B$9,Paramètres!$A$1:$I$89,3,0)*VLOOKUP('Données projet'!$B$9,Paramètres!$A$1:$I$89,5,0)</f>
        <v>137.95155000000048</v>
      </c>
      <c r="P129" s="13">
        <f t="shared" si="87"/>
        <v>35.827332555199952</v>
      </c>
      <c r="Q129" s="20">
        <f t="shared" si="107"/>
        <v>302.66488711697406</v>
      </c>
      <c r="R129" s="59">
        <f t="shared" si="55"/>
        <v>595.99822045030737</v>
      </c>
      <c r="S129" s="59">
        <f ca="1">AVERAGE(OFFSET($R$3,0,0,'Données projet'!$E$9+1,1))-AVERAGE(OFFSET($H$3,0,0,'Données projet'!$E$9+1,1))</f>
        <v>384.05928630855732</v>
      </c>
      <c r="T129" s="59">
        <f t="shared" si="88"/>
        <v>279.93992813630513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121.67408280282721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121.67408280282721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-6.3550942286383367E-14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335.04906256888819</v>
      </c>
      <c r="AO129" s="59">
        <f t="shared" si="90"/>
        <v>440.84111898279554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55.553118708112045</v>
      </c>
      <c r="AV129" s="21">
        <f>EXP(-LN(2)/25)*AV128+(1-EXP(-LN(2)/25))/(LN(2)/25)*Calculateur!AQ129*Calculateur!AS129*VLOOKUP('Données projet'!$B$10,Paramètres!$A$1:$I$89,3,0)*0.475*44/12</f>
        <v>8.0455400439944711</v>
      </c>
      <c r="AW129" s="21">
        <f>EXP(-LN(2)/2)*AW128+(1-EXP(-LN(2)/2))/(LN(2)/2)*AQ129*AT129*VLOOKUP('Données projet'!$B$10,Paramètres!$A$1:$I$89,3,0)*0.475*44/12</f>
        <v>7.030230980448858E-10</v>
      </c>
      <c r="AX129" s="21">
        <f t="shared" si="60"/>
        <v>63.598658752809541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261.20475283925128</v>
      </c>
      <c r="BJ129" s="59">
        <f t="shared" si="92"/>
        <v>247.06045079522403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54.899237355584226</v>
      </c>
      <c r="BQ129" s="21">
        <f>EXP(-LN(2)/25)*BQ128+(1-EXP(-LN(2)/25))/(LN(2)/25)*Calculateur!BL129*Calculateur!BN129*VLOOKUP('Données projet'!$B$11,Paramètres!$A$1:$I$89,3,0)*0.475*44/12</f>
        <v>9.2778532087378167</v>
      </c>
      <c r="BR129" s="21">
        <f>EXP(-LN(2)/2)*BR128+(1-EXP(-LN(2)/2))/(LN(2)/2)*BL129*BO129*VLOOKUP('Données projet'!$B$11,Paramètres!$A$1:$I$89,3,0)*0.475*44/12</f>
        <v>1.1732933917055383E-7</v>
      </c>
      <c r="BS129" s="22">
        <f t="shared" si="63"/>
        <v>64.177090681651379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-5.1159076974727213E-13</v>
      </c>
      <c r="BZ129" s="13">
        <f>BY129*VLOOKUP('Données projet'!$B$12,Paramètres!$A$1:$I$89,3,0)*VLOOKUP('Données projet'!$B$12,Paramètres!$A$1:$I$89,5,0)</f>
        <v>-2.9262992029543964E-13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268.71706840132384</v>
      </c>
      <c r="CE129" s="59">
        <f t="shared" si="94"/>
        <v>199.92519498289477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67.425243401528292</v>
      </c>
      <c r="CL129" s="21">
        <f>EXP(-LN(2)/25)*CL128+(1-EXP(-LN(2)/25))/(LN(2)/25)*Calculateur!CG129*Calculateur!CI129*VLOOKUP('Données projet'!$B$12,Paramètres!$A$1:$I$89,3,0)*0.475*44/12</f>
        <v>13.562763975459493</v>
      </c>
      <c r="CM129" s="21">
        <f>EXP(-LN(2)/2)*CM128+(1-EXP(-LN(2)/2))/(LN(2)/2)*CG129*CJ129*VLOOKUP('Données projet'!$B$12,Paramètres!$A$1:$I$89,3,0)*0.475*44/12</f>
        <v>6.0025953703949156E-3</v>
      </c>
      <c r="CN129" s="22">
        <f t="shared" si="66"/>
        <v>80.994009972358171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154.80128205128204</v>
      </c>
      <c r="L130" s="12">
        <f>VLOOKUP(A130,'Données projet'!$A$35:$I$55,9,0)</f>
        <v>2.3349358974358978</v>
      </c>
      <c r="M130" s="12">
        <f t="array" ref="M130">INDEX(L:L,MIN(IF(ISNUMBER(L130:L326),ROW(L130:L326),"")))</f>
        <v>2.3349358974358978</v>
      </c>
      <c r="N130" s="13">
        <f>IF('Données projet'!$A$36&gt;35,N129+M130-V129,IF(A130&lt;'Données projet'!$A$36,$K$205^A130,IF(A130='Données projet'!$A$36,'Données projet'!$B$36,N129+M130-V129)))</f>
        <v>154.80128205128261</v>
      </c>
      <c r="O130" s="13">
        <f>N130*VLOOKUP('Données projet'!$B$9,Paramètres!$A$1:$I$89,3,0)*VLOOKUP('Données projet'!$B$9,Paramètres!$A$1:$I$89,5,0)</f>
        <v>140.06420000000051</v>
      </c>
      <c r="P130" s="13">
        <f t="shared" si="87"/>
        <v>36.311712421027522</v>
      </c>
      <c r="Q130" s="20">
        <f t="shared" si="107"/>
        <v>307.1880474666238</v>
      </c>
      <c r="R130" s="59">
        <f t="shared" si="55"/>
        <v>600.52138079995711</v>
      </c>
      <c r="S130" s="59">
        <f ca="1">AVERAGE(OFFSET($R$3,0,0,'Données projet'!$E$9+1,1))-AVERAGE(OFFSET($H$3,0,0,'Données projet'!$E$9+1,1))</f>
        <v>384.05928630855732</v>
      </c>
      <c r="T130" s="59">
        <f t="shared" si="88"/>
        <v>279.93992813630513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49.916666666666671</v>
      </c>
      <c r="W130" s="16">
        <f>IF(ISNA(VLOOKUP(A130,'Données projet'!$A$35:$I$55,5,0)),0%,VLOOKUP(A130,'Données projet'!$A$35:$I$55,5,0)*VLOOKUP('Données projet'!$B$9,Paramètres!$A$1:$I$89,7,0))</f>
        <v>0.38700000000000001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138.61031359676292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138.61031359676292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-6.3550942286383367E-14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335.04906256888819</v>
      </c>
      <c r="AO130" s="59">
        <f t="shared" si="90"/>
        <v>440.84111898279554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54.463755934302604</v>
      </c>
      <c r="AV130" s="21">
        <f>EXP(-LN(2)/25)*AV129+(1-EXP(-LN(2)/25))/(LN(2)/25)*Calculateur!AQ130*Calculateur!AS130*VLOOKUP('Données projet'!$B$10,Paramètres!$A$1:$I$89,3,0)*0.475*44/12</f>
        <v>7.8255343283948795</v>
      </c>
      <c r="AW130" s="21">
        <f>EXP(-LN(2)/2)*AW129+(1-EXP(-LN(2)/2))/(LN(2)/2)*AQ130*AT130*VLOOKUP('Données projet'!$B$10,Paramètres!$A$1:$I$89,3,0)*0.475*44/12</f>
        <v>4.9711239995831381E-10</v>
      </c>
      <c r="AX130" s="21">
        <f t="shared" si="60"/>
        <v>62.289290263194594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261.20475283925128</v>
      </c>
      <c r="BJ130" s="59">
        <f t="shared" si="92"/>
        <v>247.06045079522403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53.822696796269618</v>
      </c>
      <c r="BQ130" s="21">
        <f>EXP(-LN(2)/25)*BQ129+(1-EXP(-LN(2)/25))/(LN(2)/25)*Calculateur!BL130*Calculateur!BN130*VLOOKUP('Données projet'!$B$11,Paramètres!$A$1:$I$89,3,0)*0.475*44/12</f>
        <v>9.0241498248437857</v>
      </c>
      <c r="BR130" s="21">
        <f>EXP(-LN(2)/2)*BR129+(1-EXP(-LN(2)/2))/(LN(2)/2)*BL130*BO130*VLOOKUP('Données projet'!$B$11,Paramètres!$A$1:$I$89,3,0)*0.475*44/12</f>
        <v>8.2964371359635032E-8</v>
      </c>
      <c r="BS130" s="22">
        <f t="shared" si="63"/>
        <v>62.84684670407777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-5.1159076974727213E-13</v>
      </c>
      <c r="BZ130" s="13">
        <f>BY130*VLOOKUP('Données projet'!$B$12,Paramètres!$A$1:$I$89,3,0)*VLOOKUP('Données projet'!$B$12,Paramètres!$A$1:$I$89,5,0)</f>
        <v>-2.9262992029543964E-13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268.71706840132384</v>
      </c>
      <c r="CE130" s="59">
        <f t="shared" si="94"/>
        <v>199.92519498289477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66.103075503762014</v>
      </c>
      <c r="CL130" s="21">
        <f>EXP(-LN(2)/25)*CL129+(1-EXP(-LN(2)/25))/(LN(2)/25)*Calculateur!CG130*Calculateur!CI130*VLOOKUP('Données projet'!$B$12,Paramètres!$A$1:$I$89,3,0)*0.475*44/12</f>
        <v>13.191889481315794</v>
      </c>
      <c r="CM130" s="21">
        <f>EXP(-LN(2)/2)*CM129+(1-EXP(-LN(2)/2))/(LN(2)/2)*CG130*CJ130*VLOOKUP('Données projet'!$B$12,Paramètres!$A$1:$I$89,3,0)*0.475*44/12</f>
        <v>4.2444758911252206E-3</v>
      </c>
      <c r="CN130" s="22">
        <f t="shared" si="66"/>
        <v>79.299209460968939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1.5064102564102591</v>
      </c>
      <c r="N131" s="13">
        <f>IF('Données projet'!$A$36&gt;35,N130+M131-V130,IF(A131&lt;'Données projet'!$A$36,$K$205^A131,IF(A131='Données projet'!$A$36,'Données projet'!$B$36,N130+M131-V130)))</f>
        <v>106.39102564102619</v>
      </c>
      <c r="O131" s="13">
        <f>N131*VLOOKUP('Données projet'!$B$9,Paramètres!$A$1:$I$89,3,0)*VLOOKUP('Données projet'!$B$9,Paramètres!$A$1:$I$89,5,0)</f>
        <v>96.262600000000489</v>
      </c>
      <c r="P131" s="13">
        <f t="shared" si="87"/>
        <v>26.069649320395936</v>
      </c>
      <c r="Q131" s="20">
        <f t="shared" ref="Q131:Q153" si="108">(O131+P131)*0.475*44/12</f>
        <v>213.06200089969045</v>
      </c>
      <c r="R131" s="59">
        <f t="shared" ref="R131:R194" si="109">Q131+(I131+J131)*44/12</f>
        <v>506.39533423302373</v>
      </c>
      <c r="S131" s="59">
        <f ca="1">AVERAGE(OFFSET($R$3,0,0,'Données projet'!$E$9+1,1))-AVERAGE(OFFSET($H$3,0,0,'Données projet'!$E$9+1,1))</f>
        <v>384.05928630855732</v>
      </c>
      <c r="T131" s="59">
        <f t="shared" si="88"/>
        <v>279.93992813630513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135.89224989107367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135.89224989107367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-6.3550942286383367E-14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335.04906256888819</v>
      </c>
      <c r="AO131" s="59">
        <f t="shared" si="90"/>
        <v>440.84111898279554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53.395754900041887</v>
      </c>
      <c r="AV131" s="21">
        <f>EXP(-LN(2)/25)*AV130+(1-EXP(-LN(2)/25))/(LN(2)/25)*Calculateur!AQ131*Calculateur!AS131*VLOOKUP('Données projet'!$B$10,Paramètres!$A$1:$I$89,3,0)*0.475*44/12</f>
        <v>7.611544680657957</v>
      </c>
      <c r="AW131" s="21">
        <f>EXP(-LN(2)/2)*AW130+(1-EXP(-LN(2)/2))/(LN(2)/2)*AQ131*AT131*VLOOKUP('Données projet'!$B$10,Paramètres!$A$1:$I$89,3,0)*0.475*44/12</f>
        <v>3.515115490224429E-10</v>
      </c>
      <c r="AX131" s="21">
        <f t="shared" si="60"/>
        <v>61.007299581051356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261.20475283925128</v>
      </c>
      <c r="BJ131" s="59">
        <f t="shared" si="92"/>
        <v>247.06045079522403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52.767266540698259</v>
      </c>
      <c r="BQ131" s="21">
        <f>EXP(-LN(2)/25)*BQ130+(1-EXP(-LN(2)/25))/(LN(2)/25)*Calculateur!BL131*Calculateur!BN131*VLOOKUP('Données projet'!$B$11,Paramètres!$A$1:$I$89,3,0)*0.475*44/12</f>
        <v>8.7773839733240173</v>
      </c>
      <c r="BR131" s="21">
        <f>EXP(-LN(2)/2)*BR130+(1-EXP(-LN(2)/2))/(LN(2)/2)*BL131*BO131*VLOOKUP('Données projet'!$B$11,Paramètres!$A$1:$I$89,3,0)*0.475*44/12</f>
        <v>5.8664669585276923E-8</v>
      </c>
      <c r="BS131" s="22">
        <f t="shared" si="63"/>
        <v>61.544650572686947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-5.1159076974727213E-13</v>
      </c>
      <c r="BZ131" s="13">
        <f>BY131*VLOOKUP('Données projet'!$B$12,Paramètres!$A$1:$I$89,3,0)*VLOOKUP('Données projet'!$B$12,Paramètres!$A$1:$I$89,5,0)</f>
        <v>-2.9262992029543964E-13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268.71706840132384</v>
      </c>
      <c r="CE131" s="59">
        <f t="shared" si="94"/>
        <v>199.92519498289477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64.806834512028132</v>
      </c>
      <c r="CL131" s="21">
        <f>EXP(-LN(2)/25)*CL130+(1-EXP(-LN(2)/25))/(LN(2)/25)*Calculateur!CG131*Calculateur!CI131*VLOOKUP('Données projet'!$B$12,Paramètres!$A$1:$I$89,3,0)*0.475*44/12</f>
        <v>12.831156569717896</v>
      </c>
      <c r="CM131" s="21">
        <f>EXP(-LN(2)/2)*CM130+(1-EXP(-LN(2)/2))/(LN(2)/2)*CG131*CJ131*VLOOKUP('Données projet'!$B$12,Paramètres!$A$1:$I$89,3,0)*0.475*44/12</f>
        <v>3.0012976851974578E-3</v>
      </c>
      <c r="CN131" s="22">
        <f t="shared" si="66"/>
        <v>77.640992379431225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1.5064102564102591</v>
      </c>
      <c r="N132" s="13">
        <f>IF('Données projet'!$A$36&gt;35,N131+M132-V131,IF(A132&lt;'Données projet'!$A$36,$K$205^A132,IF(A132='Données projet'!$A$36,'Données projet'!$B$36,N131+M132-V131)))</f>
        <v>107.89743589743645</v>
      </c>
      <c r="O132" s="13">
        <f>N132*VLOOKUP('Données projet'!$B$9,Paramètres!$A$1:$I$89,3,0)*VLOOKUP('Données projet'!$B$9,Paramètres!$A$1:$I$89,5,0)</f>
        <v>97.625600000000489</v>
      </c>
      <c r="P132" s="13">
        <f t="shared" si="87"/>
        <v>26.395540798282454</v>
      </c>
      <c r="Q132" s="20">
        <f t="shared" si="108"/>
        <v>216.00348689034277</v>
      </c>
      <c r="R132" s="59">
        <f t="shared" si="109"/>
        <v>509.33682022367611</v>
      </c>
      <c r="S132" s="59">
        <f ca="1">AVERAGE(OFFSET($R$3,0,0,'Données projet'!$E$9+1,1))-AVERAGE(OFFSET($H$3,0,0,'Données projet'!$E$9+1,1))</f>
        <v>384.05928630855732</v>
      </c>
      <c r="T132" s="59">
        <f t="shared" si="88"/>
        <v>279.93992813630513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133.22748575679782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133.22748575679782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-6.3550942286383367E-14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335.04906256888819</v>
      </c>
      <c r="AO132" s="59">
        <f t="shared" si="90"/>
        <v>440.84111898279554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52.348696714646714</v>
      </c>
      <c r="AV132" s="21">
        <f>EXP(-LN(2)/25)*AV131+(1-EXP(-LN(2)/25))/(LN(2)/25)*Calculateur!AQ132*Calculateur!AS132*VLOOKUP('Données projet'!$B$10,Paramètres!$A$1:$I$89,3,0)*0.475*44/12</f>
        <v>7.4034065910916267</v>
      </c>
      <c r="AW132" s="21">
        <f>EXP(-LN(2)/2)*AW131+(1-EXP(-LN(2)/2))/(LN(2)/2)*AQ132*AT132*VLOOKUP('Données projet'!$B$10,Paramètres!$A$1:$I$89,3,0)*0.475*44/12</f>
        <v>2.4855619997915691E-10</v>
      </c>
      <c r="AX132" s="21">
        <f t="shared" ref="AX132:AX153" si="114">SUM(AU132:AW132)</f>
        <v>59.752103305986893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261.20475283925128</v>
      </c>
      <c r="BJ132" s="59">
        <f t="shared" si="92"/>
        <v>247.06045079522403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51.732532628689768</v>
      </c>
      <c r="BQ132" s="21">
        <f>EXP(-LN(2)/25)*BQ131+(1-EXP(-LN(2)/25))/(LN(2)/25)*Calculateur!BL132*Calculateur!BN132*VLOOKUP('Données projet'!$B$11,Paramètres!$A$1:$I$89,3,0)*0.475*44/12</f>
        <v>8.53736594699091</v>
      </c>
      <c r="BR132" s="21">
        <f>EXP(-LN(2)/2)*BR131+(1-EXP(-LN(2)/2))/(LN(2)/2)*BL132*BO132*VLOOKUP('Données projet'!$B$11,Paramètres!$A$1:$I$89,3,0)*0.475*44/12</f>
        <v>4.1482185679817523E-8</v>
      </c>
      <c r="BS132" s="22">
        <f t="shared" ref="BS132:BS153" si="117">SUM(BP132:BR132)</f>
        <v>60.269898617162866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-5.1159076974727213E-13</v>
      </c>
      <c r="BZ132" s="13">
        <f>BY132*VLOOKUP('Données projet'!$B$12,Paramètres!$A$1:$I$89,3,0)*VLOOKUP('Données projet'!$B$12,Paramètres!$A$1:$I$89,5,0)</f>
        <v>-2.9262992029543964E-13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268.71706840132384</v>
      </c>
      <c r="CE132" s="59">
        <f t="shared" si="94"/>
        <v>199.92519498289477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63.536012015513222</v>
      </c>
      <c r="CL132" s="21">
        <f>EXP(-LN(2)/25)*CL131+(1-EXP(-LN(2)/25))/(LN(2)/25)*Calculateur!CG132*Calculateur!CI132*VLOOKUP('Données projet'!$B$12,Paramètres!$A$1:$I$89,3,0)*0.475*44/12</f>
        <v>12.480287918557762</v>
      </c>
      <c r="CM132" s="21">
        <f>EXP(-LN(2)/2)*CM131+(1-EXP(-LN(2)/2))/(LN(2)/2)*CG132*CJ132*VLOOKUP('Données projet'!$B$12,Paramètres!$A$1:$I$89,3,0)*0.475*44/12</f>
        <v>2.1222379455626103E-3</v>
      </c>
      <c r="CN132" s="22">
        <f t="shared" ref="CN132:CN153" si="120">SUM(CK132:CM132)</f>
        <v>76.018422172016543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1.5064102564102591</v>
      </c>
      <c r="N133" s="13">
        <f>IF('Données projet'!$A$36&gt;35,N132+M133-V132,IF(A133&lt;'Données projet'!$A$36,$K$205^A133,IF(A133='Données projet'!$A$36,'Données projet'!$B$36,N132+M133-V132)))</f>
        <v>109.40384615384671</v>
      </c>
      <c r="O133" s="13">
        <f>N133*VLOOKUP('Données projet'!$B$9,Paramètres!$A$1:$I$89,3,0)*VLOOKUP('Données projet'!$B$9,Paramètres!$A$1:$I$89,5,0)</f>
        <v>98.988600000000503</v>
      </c>
      <c r="P133" s="13">
        <f t="shared" ref="P133:P196" si="141">EXP(-1.0587+0.8836*LN(O133)+0.284)</f>
        <v>26.720903075724102</v>
      </c>
      <c r="Q133" s="20">
        <f t="shared" si="108"/>
        <v>218.94405119022034</v>
      </c>
      <c r="R133" s="59">
        <f t="shared" si="109"/>
        <v>512.27738452355368</v>
      </c>
      <c r="S133" s="59">
        <f ca="1">AVERAGE(OFFSET($R$3,0,0,'Données projet'!$E$9+1,1))-AVERAGE(OFFSET($H$3,0,0,'Données projet'!$E$9+1,1))</f>
        <v>384.05928630855732</v>
      </c>
      <c r="T133" s="59">
        <f t="shared" ref="T133:T196" si="142">$T$3</f>
        <v>279.93992813630513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130.61497602184949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130.61497602184949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-6.3550942286383367E-14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335.04906256888819</v>
      </c>
      <c r="AO133" s="59">
        <f t="shared" ref="AO133:AO196" si="144">$AO$3</f>
        <v>440.84111898279554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51.322170701624707</v>
      </c>
      <c r="AV133" s="21">
        <f>EXP(-LN(2)/25)*AV132+(1-EXP(-LN(2)/25))/(LN(2)/25)*Calculateur!AQ133*Calculateur!AS133*VLOOKUP('Données projet'!$B$10,Paramètres!$A$1:$I$89,3,0)*0.475*44/12</f>
        <v>7.2009600485299945</v>
      </c>
      <c r="AW133" s="21">
        <f>EXP(-LN(2)/2)*AW132+(1-EXP(-LN(2)/2))/(LN(2)/2)*AQ133*AT133*VLOOKUP('Données projet'!$B$10,Paramètres!$A$1:$I$89,3,0)*0.475*44/12</f>
        <v>1.7575577451122145E-10</v>
      </c>
      <c r="AX133" s="21">
        <f t="shared" si="114"/>
        <v>58.523130750330452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261.20475283925128</v>
      </c>
      <c r="BJ133" s="59">
        <f t="shared" ref="BJ133:BJ196" si="146">$BJ$3</f>
        <v>247.06045079522403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50.718089217570395</v>
      </c>
      <c r="BQ133" s="21">
        <f>EXP(-LN(2)/25)*BQ132+(1-EXP(-LN(2)/25))/(LN(2)/25)*Calculateur!BL133*Calculateur!BN133*VLOOKUP('Données projet'!$B$11,Paramètres!$A$1:$I$89,3,0)*0.475*44/12</f>
        <v>8.3039112262098804</v>
      </c>
      <c r="BR133" s="21">
        <f>EXP(-LN(2)/2)*BR132+(1-EXP(-LN(2)/2))/(LN(2)/2)*BL133*BO133*VLOOKUP('Données projet'!$B$11,Paramètres!$A$1:$I$89,3,0)*0.475*44/12</f>
        <v>2.9332334792638465E-8</v>
      </c>
      <c r="BS133" s="22">
        <f t="shared" si="117"/>
        <v>59.022000473112605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-5.1159076974727213E-13</v>
      </c>
      <c r="BZ133" s="13">
        <f>BY133*VLOOKUP('Données projet'!$B$12,Paramètres!$A$1:$I$89,3,0)*VLOOKUP('Données projet'!$B$12,Paramètres!$A$1:$I$89,5,0)</f>
        <v>-2.9262992029543964E-13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268.71706840132384</v>
      </c>
      <c r="CE133" s="59">
        <f t="shared" ref="CE133:CE196" si="148">$CE$3</f>
        <v>199.92519498289477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62.290109573029781</v>
      </c>
      <c r="CL133" s="21">
        <f>EXP(-LN(2)/25)*CL132+(1-EXP(-LN(2)/25))/(LN(2)/25)*Calculateur!CG133*Calculateur!CI133*VLOOKUP('Données projet'!$B$12,Paramètres!$A$1:$I$89,3,0)*0.475*44/12</f>
        <v>12.139013789114982</v>
      </c>
      <c r="CM133" s="21">
        <f>EXP(-LN(2)/2)*CM132+(1-EXP(-LN(2)/2))/(LN(2)/2)*CG133*CJ133*VLOOKUP('Données projet'!$B$12,Paramètres!$A$1:$I$89,3,0)*0.475*44/12</f>
        <v>1.5006488425987289E-3</v>
      </c>
      <c r="CN133" s="22">
        <f t="shared" si="120"/>
        <v>74.430624010987358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110.91025641025641</v>
      </c>
      <c r="L134" s="12">
        <f>VLOOKUP(A134,'Données projet'!$A$35:$I$55,9,0)</f>
        <v>1.5064102564102591</v>
      </c>
      <c r="M134" s="12">
        <f t="array" ref="M134">INDEX(L:L,MIN(IF(ISNUMBER(L134:L330),ROW(L134:L330),"")))</f>
        <v>1.5064102564102591</v>
      </c>
      <c r="N134" s="13">
        <f>IF('Données projet'!$A$36&gt;35,N133+M134-V133,IF(A134&lt;'Données projet'!$A$36,$K$205^A134,IF(A134='Données projet'!$A$36,'Données projet'!$B$36,N133+M134-V133)))</f>
        <v>110.91025641025698</v>
      </c>
      <c r="O134" s="13">
        <f>N134*VLOOKUP('Données projet'!$B$9,Paramètres!$A$1:$I$89,3,0)*VLOOKUP('Données projet'!$B$9,Paramètres!$A$1:$I$89,5,0)</f>
        <v>100.3516000000005</v>
      </c>
      <c r="P134" s="13">
        <f t="shared" si="141"/>
        <v>27.045744281593826</v>
      </c>
      <c r="Q134" s="20">
        <f t="shared" si="108"/>
        <v>221.88370795711012</v>
      </c>
      <c r="R134" s="59">
        <f t="shared" si="109"/>
        <v>515.21704129044338</v>
      </c>
      <c r="S134" s="59">
        <f ca="1">AVERAGE(OFFSET($R$3,0,0,'Données projet'!$E$9+1,1))-AVERAGE(OFFSET($H$3,0,0,'Données projet'!$E$9+1,1))</f>
        <v>384.05928630855732</v>
      </c>
      <c r="T134" s="59">
        <f t="shared" si="142"/>
        <v>279.93992813630513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110.91025641025641</v>
      </c>
      <c r="W134" s="16">
        <f>IF(ISNA(VLOOKUP(A134,'Données projet'!$A$35:$I$55,5,0)),0%,VLOOKUP(A134,'Données projet'!$A$35:$I$55,5,0)*VLOOKUP('Données projet'!$B$9,Paramètres!$A$1:$I$89,7,0))</f>
        <v>0.38700000000000001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170.98582016742182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170.98582016742182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-6.3550942286383367E-14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335.04906256888819</v>
      </c>
      <c r="AO134" s="59">
        <f t="shared" si="144"/>
        <v>440.84111898279554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50.315774237599015</v>
      </c>
      <c r="AV134" s="21">
        <f>EXP(-LN(2)/25)*AV133+(1-EXP(-LN(2)/25))/(LN(2)/25)*Calculateur!AQ134*Calculateur!AS134*VLOOKUP('Données projet'!$B$10,Paramètres!$A$1:$I$89,3,0)*0.475*44/12</f>
        <v>7.0040494173209105</v>
      </c>
      <c r="AW134" s="21">
        <f>EXP(-LN(2)/2)*AW133+(1-EXP(-LN(2)/2))/(LN(2)/2)*AQ134*AT134*VLOOKUP('Données projet'!$B$10,Paramètres!$A$1:$I$89,3,0)*0.475*44/12</f>
        <v>1.2427809998957845E-10</v>
      </c>
      <c r="AX134" s="21">
        <f t="shared" si="114"/>
        <v>57.31982365504421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261.20475283925128</v>
      </c>
      <c r="BJ134" s="59">
        <f t="shared" si="146"/>
        <v>247.06045079522403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49.723538422993684</v>
      </c>
      <c r="BQ134" s="21">
        <f>EXP(-LN(2)/25)*BQ133+(1-EXP(-LN(2)/25))/(LN(2)/25)*Calculateur!BL134*Calculateur!BN134*VLOOKUP('Données projet'!$B$11,Paramètres!$A$1:$I$89,3,0)*0.475*44/12</f>
        <v>8.0768403370454589</v>
      </c>
      <c r="BR134" s="21">
        <f>EXP(-LN(2)/2)*BR133+(1-EXP(-LN(2)/2))/(LN(2)/2)*BL134*BO134*VLOOKUP('Données projet'!$B$11,Paramètres!$A$1:$I$89,3,0)*0.475*44/12</f>
        <v>2.0741092839908765E-8</v>
      </c>
      <c r="BS134" s="22">
        <f t="shared" si="117"/>
        <v>57.800378780780235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-5.1159076974727213E-13</v>
      </c>
      <c r="BZ134" s="13">
        <f>BY134*VLOOKUP('Données projet'!$B$12,Paramètres!$A$1:$I$89,3,0)*VLOOKUP('Données projet'!$B$12,Paramètres!$A$1:$I$89,5,0)</f>
        <v>-2.9262992029543964E-13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268.71706840132384</v>
      </c>
      <c r="CE134" s="59">
        <f t="shared" si="148"/>
        <v>199.92519498289477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61.068638517517989</v>
      </c>
      <c r="CL134" s="21">
        <f>EXP(-LN(2)/25)*CL133+(1-EXP(-LN(2)/25))/(LN(2)/25)*Calculateur!CG134*Calculateur!CI134*VLOOKUP('Données projet'!$B$12,Paramètres!$A$1:$I$89,3,0)*0.475*44/12</f>
        <v>11.807071818688641</v>
      </c>
      <c r="CM134" s="21">
        <f>EXP(-LN(2)/2)*CM133+(1-EXP(-LN(2)/2))/(LN(2)/2)*CG134*CJ134*VLOOKUP('Données projet'!$B$12,Paramètres!$A$1:$I$89,3,0)*0.475*44/12</f>
        <v>1.0611189727813052E-3</v>
      </c>
      <c r="CN134" s="22">
        <f t="shared" si="120"/>
        <v>72.876771455179409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5.6843418860808015E-13</v>
      </c>
      <c r="O135" s="13">
        <f>N135*VLOOKUP('Données projet'!$B$9,Paramètres!$A$1:$I$89,3,0)*VLOOKUP('Données projet'!$B$9,Paramètres!$A$1:$I$89,5,0)</f>
        <v>5.1431925385259092E-13</v>
      </c>
      <c r="P135" s="13">
        <f t="shared" si="141"/>
        <v>6.3855359115685756E-12</v>
      </c>
      <c r="Q135" s="20">
        <f t="shared" si="108"/>
        <v>1.2017247746441865E-11</v>
      </c>
      <c r="R135" s="59">
        <f t="shared" si="109"/>
        <v>293.33333333334531</v>
      </c>
      <c r="S135" s="59">
        <f ca="1">AVERAGE(OFFSET($R$3,0,0,'Données projet'!$E$9+1,1))-AVERAGE(OFFSET($H$3,0,0,'Données projet'!$E$9+1,1))</f>
        <v>384.05928630855732</v>
      </c>
      <c r="T135" s="59">
        <f t="shared" si="142"/>
        <v>279.93992813630513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167.63289252499109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167.63289252499109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-6.3550942286383367E-14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335.04906256888819</v>
      </c>
      <c r="AO135" s="59">
        <f t="shared" si="144"/>
        <v>440.84111898279554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49.329112594391638</v>
      </c>
      <c r="AV135" s="21">
        <f>EXP(-LN(2)/25)*AV134+(1-EXP(-LN(2)/25))/(LN(2)/25)*Calculateur!AQ135*Calculateur!AS135*VLOOKUP('Données projet'!$B$10,Paramètres!$A$1:$I$89,3,0)*0.475*44/12</f>
        <v>6.8125233176773197</v>
      </c>
      <c r="AW135" s="21">
        <f>EXP(-LN(2)/2)*AW134+(1-EXP(-LN(2)/2))/(LN(2)/2)*AQ135*AT135*VLOOKUP('Données projet'!$B$10,Paramètres!$A$1:$I$89,3,0)*0.475*44/12</f>
        <v>8.7877887255610725E-11</v>
      </c>
      <c r="AX135" s="21">
        <f t="shared" si="114"/>
        <v>56.141635912156836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261.20475283925128</v>
      </c>
      <c r="BJ135" s="59">
        <f t="shared" si="146"/>
        <v>247.06045079522403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48.74849016288254</v>
      </c>
      <c r="BQ135" s="21">
        <f>EXP(-LN(2)/25)*BQ134+(1-EXP(-LN(2)/25))/(LN(2)/25)*Calculateur!BL135*Calculateur!BN135*VLOOKUP('Données projet'!$B$11,Paramètres!$A$1:$I$89,3,0)*0.475*44/12</f>
        <v>7.855978713286377</v>
      </c>
      <c r="BR135" s="21">
        <f>EXP(-LN(2)/2)*BR134+(1-EXP(-LN(2)/2))/(LN(2)/2)*BL135*BO135*VLOOKUP('Données projet'!$B$11,Paramètres!$A$1:$I$89,3,0)*0.475*44/12</f>
        <v>1.4666167396319236E-8</v>
      </c>
      <c r="BS135" s="22">
        <f t="shared" si="117"/>
        <v>56.604468890835086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-5.1159076974727213E-13</v>
      </c>
      <c r="BZ135" s="13">
        <f>BY135*VLOOKUP('Données projet'!$B$12,Paramètres!$A$1:$I$89,3,0)*VLOOKUP('Données projet'!$B$12,Paramètres!$A$1:$I$89,5,0)</f>
        <v>-2.9262992029543964E-13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268.71706840132384</v>
      </c>
      <c r="CE135" s="59">
        <f t="shared" si="148"/>
        <v>199.92519498289477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59.871119764381007</v>
      </c>
      <c r="CL135" s="21">
        <f>EXP(-LN(2)/25)*CL134+(1-EXP(-LN(2)/25))/(LN(2)/25)*Calculateur!CG135*Calculateur!CI135*VLOOKUP('Données projet'!$B$12,Paramètres!$A$1:$I$89,3,0)*0.475*44/12</f>
        <v>11.484206818899679</v>
      </c>
      <c r="CM135" s="21">
        <f>EXP(-LN(2)/2)*CM134+(1-EXP(-LN(2)/2))/(LN(2)/2)*CG135*CJ135*VLOOKUP('Données projet'!$B$12,Paramètres!$A$1:$I$89,3,0)*0.475*44/12</f>
        <v>7.5032442129936445E-4</v>
      </c>
      <c r="CN135" s="22">
        <f t="shared" si="120"/>
        <v>71.35607690770199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5.6843418860808015E-13</v>
      </c>
      <c r="O136" s="13">
        <f>N136*VLOOKUP('Données projet'!$B$9,Paramètres!$A$1:$I$89,3,0)*VLOOKUP('Données projet'!$B$9,Paramètres!$A$1:$I$89,5,0)</f>
        <v>5.1431925385259092E-13</v>
      </c>
      <c r="P136" s="13">
        <f t="shared" si="141"/>
        <v>6.3855359115685756E-12</v>
      </c>
      <c r="Q136" s="20">
        <f t="shared" si="108"/>
        <v>1.2017247746441865E-11</v>
      </c>
      <c r="R136" s="59">
        <f t="shared" si="109"/>
        <v>293.33333333334531</v>
      </c>
      <c r="S136" s="59">
        <f ca="1">AVERAGE(OFFSET($R$3,0,0,'Données projet'!$E$9+1,1))-AVERAGE(OFFSET($H$3,0,0,'Données projet'!$E$9+1,1))</f>
        <v>384.05928630855732</v>
      </c>
      <c r="T136" s="59">
        <f t="shared" si="142"/>
        <v>279.93992813630513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164.34571374854451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164.34571374854451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-6.3550942286383367E-14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335.04906256888819</v>
      </c>
      <c r="AO136" s="59">
        <f t="shared" si="144"/>
        <v>440.84111898279554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48.36179878420338</v>
      </c>
      <c r="AV136" s="21">
        <f>EXP(-LN(2)/25)*AV135+(1-EXP(-LN(2)/25))/(LN(2)/25)*Calculateur!AQ136*Calculateur!AS136*VLOOKUP('Données projet'!$B$10,Paramètres!$A$1:$I$89,3,0)*0.475*44/12</f>
        <v>6.626234509300402</v>
      </c>
      <c r="AW136" s="21">
        <f>EXP(-LN(2)/2)*AW135+(1-EXP(-LN(2)/2))/(LN(2)/2)*AQ136*AT136*VLOOKUP('Données projet'!$B$10,Paramètres!$A$1:$I$89,3,0)*0.475*44/12</f>
        <v>6.2139049994789226E-11</v>
      </c>
      <c r="AX136" s="21">
        <f t="shared" si="114"/>
        <v>54.98803329356592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261.20475283925128</v>
      </c>
      <c r="BJ136" s="59">
        <f t="shared" si="146"/>
        <v>247.06045079522403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47.79256200443146</v>
      </c>
      <c r="BQ136" s="21">
        <f>EXP(-LN(2)/25)*BQ135+(1-EXP(-LN(2)/25))/(LN(2)/25)*Calculateur!BL136*Calculateur!BN136*VLOOKUP('Données projet'!$B$11,Paramètres!$A$1:$I$89,3,0)*0.475*44/12</f>
        <v>7.6411565622435953</v>
      </c>
      <c r="BR136" s="21">
        <f>EXP(-LN(2)/2)*BR135+(1-EXP(-LN(2)/2))/(LN(2)/2)*BL136*BO136*VLOOKUP('Données projet'!$B$11,Paramètres!$A$1:$I$89,3,0)*0.475*44/12</f>
        <v>1.0370546419954384E-8</v>
      </c>
      <c r="BS136" s="22">
        <f t="shared" si="117"/>
        <v>55.433718577045603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-5.1159076974727213E-13</v>
      </c>
      <c r="BZ136" s="13">
        <f>BY136*VLOOKUP('Données projet'!$B$12,Paramètres!$A$1:$I$89,3,0)*VLOOKUP('Données projet'!$B$12,Paramètres!$A$1:$I$89,5,0)</f>
        <v>-2.9262992029543964E-13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268.71706840132384</v>
      </c>
      <c r="CE136" s="59">
        <f t="shared" si="148"/>
        <v>199.92519498289477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58.69708362357872</v>
      </c>
      <c r="CL136" s="21">
        <f>EXP(-LN(2)/25)*CL135+(1-EXP(-LN(2)/25))/(LN(2)/25)*Calculateur!CG136*Calculateur!CI136*VLOOKUP('Données projet'!$B$12,Paramètres!$A$1:$I$89,3,0)*0.475*44/12</f>
        <v>11.170170579508678</v>
      </c>
      <c r="CM136" s="21">
        <f>EXP(-LN(2)/2)*CM135+(1-EXP(-LN(2)/2))/(LN(2)/2)*CG136*CJ136*VLOOKUP('Données projet'!$B$12,Paramètres!$A$1:$I$89,3,0)*0.475*44/12</f>
        <v>5.3055948639065258E-4</v>
      </c>
      <c r="CN136" s="22">
        <f t="shared" si="120"/>
        <v>69.867784762573791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5.6843418860808015E-13</v>
      </c>
      <c r="O137" s="13">
        <f>N137*VLOOKUP('Données projet'!$B$9,Paramètres!$A$1:$I$89,3,0)*VLOOKUP('Données projet'!$B$9,Paramètres!$A$1:$I$89,5,0)</f>
        <v>5.1431925385259092E-13</v>
      </c>
      <c r="P137" s="13">
        <f t="shared" si="141"/>
        <v>6.3855359115685756E-12</v>
      </c>
      <c r="Q137" s="20">
        <f t="shared" si="108"/>
        <v>1.2017247746441865E-11</v>
      </c>
      <c r="R137" s="59">
        <f t="shared" si="109"/>
        <v>293.33333333334531</v>
      </c>
      <c r="S137" s="59">
        <f ca="1">AVERAGE(OFFSET($R$3,0,0,'Données projet'!$E$9+1,1))-AVERAGE(OFFSET($H$3,0,0,'Données projet'!$E$9+1,1))</f>
        <v>384.05928630855732</v>
      </c>
      <c r="T137" s="59">
        <f t="shared" si="142"/>
        <v>279.93992813630513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161.12299454292295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161.12299454292295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-6.3550942286383367E-14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335.04906256888819</v>
      </c>
      <c r="AO137" s="59">
        <f t="shared" si="144"/>
        <v>440.84111898279554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47.413453407829749</v>
      </c>
      <c r="AV137" s="21">
        <f>EXP(-LN(2)/25)*AV136+(1-EXP(-LN(2)/25))/(LN(2)/25)*Calculateur!AQ137*Calculateur!AS137*VLOOKUP('Données projet'!$B$10,Paramètres!$A$1:$I$89,3,0)*0.475*44/12</f>
        <v>6.4450397781850546</v>
      </c>
      <c r="AW137" s="21">
        <f>EXP(-LN(2)/2)*AW136+(1-EXP(-LN(2)/2))/(LN(2)/2)*AQ137*AT137*VLOOKUP('Données projet'!$B$10,Paramètres!$A$1:$I$89,3,0)*0.475*44/12</f>
        <v>4.3938943627805363E-11</v>
      </c>
      <c r="AX137" s="21">
        <f t="shared" si="114"/>
        <v>53.858493186058745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261.20475283925128</v>
      </c>
      <c r="BJ137" s="59">
        <f t="shared" si="146"/>
        <v>247.06045079522403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46.855379014108998</v>
      </c>
      <c r="BQ137" s="21">
        <f>EXP(-LN(2)/25)*BQ136+(1-EXP(-LN(2)/25))/(LN(2)/25)*Calculateur!BL137*Calculateur!BN137*VLOOKUP('Données projet'!$B$11,Paramètres!$A$1:$I$89,3,0)*0.475*44/12</f>
        <v>7.4322087342180847</v>
      </c>
      <c r="BR137" s="21">
        <f>EXP(-LN(2)/2)*BR136+(1-EXP(-LN(2)/2))/(LN(2)/2)*BL137*BO137*VLOOKUP('Données projet'!$B$11,Paramètres!$A$1:$I$89,3,0)*0.475*44/12</f>
        <v>7.3330836981596187E-9</v>
      </c>
      <c r="BS137" s="22">
        <f t="shared" si="117"/>
        <v>54.287587755660169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-5.1159076974727213E-13</v>
      </c>
      <c r="BZ137" s="13">
        <f>BY137*VLOOKUP('Données projet'!$B$12,Paramètres!$A$1:$I$89,3,0)*VLOOKUP('Données projet'!$B$12,Paramètres!$A$1:$I$89,5,0)</f>
        <v>-2.9262992029543964E-13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268.71706840132384</v>
      </c>
      <c r="CE137" s="59">
        <f t="shared" si="148"/>
        <v>199.92519498289477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57.546069615406232</v>
      </c>
      <c r="CL137" s="21">
        <f>EXP(-LN(2)/25)*CL136+(1-EXP(-LN(2)/25))/(LN(2)/25)*Calculateur!CG137*Calculateur!CI137*VLOOKUP('Données projet'!$B$12,Paramètres!$A$1:$I$89,3,0)*0.475*44/12</f>
        <v>10.864721677598272</v>
      </c>
      <c r="CM137" s="21">
        <f>EXP(-LN(2)/2)*CM136+(1-EXP(-LN(2)/2))/(LN(2)/2)*CG137*CJ137*VLOOKUP('Données projet'!$B$12,Paramètres!$A$1:$I$89,3,0)*0.475*44/12</f>
        <v>3.7516221064968222E-4</v>
      </c>
      <c r="CN137" s="22">
        <f t="shared" si="120"/>
        <v>68.411166455215152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5.6843418860808015E-13</v>
      </c>
      <c r="O138" s="13">
        <f>N138*VLOOKUP('Données projet'!$B$9,Paramètres!$A$1:$I$89,3,0)*VLOOKUP('Données projet'!$B$9,Paramètres!$A$1:$I$89,5,0)</f>
        <v>5.1431925385259092E-13</v>
      </c>
      <c r="P138" s="13">
        <f t="shared" si="141"/>
        <v>6.3855359115685756E-12</v>
      </c>
      <c r="Q138" s="20">
        <f t="shared" si="108"/>
        <v>1.2017247746441865E-11</v>
      </c>
      <c r="R138" s="59">
        <f t="shared" si="109"/>
        <v>293.33333333334531</v>
      </c>
      <c r="S138" s="59">
        <f ca="1">AVERAGE(OFFSET($R$3,0,0,'Données projet'!$E$9+1,1))-AVERAGE(OFFSET($H$3,0,0,'Données projet'!$E$9+1,1))</f>
        <v>384.05928630855732</v>
      </c>
      <c r="T138" s="59">
        <f t="shared" si="142"/>
        <v>279.93992813630513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157.96347089525904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157.96347089525904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-6.3550942286383367E-14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335.04906256888819</v>
      </c>
      <c r="AO138" s="59">
        <f t="shared" si="144"/>
        <v>440.84111898279554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46.48370450585324</v>
      </c>
      <c r="AV138" s="21">
        <f>EXP(-LN(2)/25)*AV137+(1-EXP(-LN(2)/25))/(LN(2)/25)*Calculateur!AQ138*Calculateur!AS138*VLOOKUP('Données projet'!$B$10,Paramètres!$A$1:$I$89,3,0)*0.475*44/12</f>
        <v>6.2687998265206728</v>
      </c>
      <c r="AW138" s="21">
        <f>EXP(-LN(2)/2)*AW137+(1-EXP(-LN(2)/2))/(LN(2)/2)*AQ138*AT138*VLOOKUP('Données projet'!$B$10,Paramètres!$A$1:$I$89,3,0)*0.475*44/12</f>
        <v>3.1069524997394613E-11</v>
      </c>
      <c r="AX138" s="21">
        <f t="shared" si="114"/>
        <v>52.752504332404982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261.20475283925128</v>
      </c>
      <c r="BJ138" s="59">
        <f t="shared" si="146"/>
        <v>247.06045079522403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45.936573610601585</v>
      </c>
      <c r="BQ138" s="21">
        <f>EXP(-LN(2)/25)*BQ137+(1-EXP(-LN(2)/25))/(LN(2)/25)*Calculateur!BL138*Calculateur!BN138*VLOOKUP('Données projet'!$B$11,Paramètres!$A$1:$I$89,3,0)*0.475*44/12</f>
        <v>7.2289745955380207</v>
      </c>
      <c r="BR138" s="21">
        <f>EXP(-LN(2)/2)*BR137+(1-EXP(-LN(2)/2))/(LN(2)/2)*BL138*BO138*VLOOKUP('Données projet'!$B$11,Paramètres!$A$1:$I$89,3,0)*0.475*44/12</f>
        <v>5.1852732099771928E-9</v>
      </c>
      <c r="BS138" s="22">
        <f t="shared" si="117"/>
        <v>53.165548211324875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-5.1159076974727213E-13</v>
      </c>
      <c r="BZ138" s="13">
        <f>BY138*VLOOKUP('Données projet'!$B$12,Paramètres!$A$1:$I$89,3,0)*VLOOKUP('Données projet'!$B$12,Paramètres!$A$1:$I$89,5,0)</f>
        <v>-2.9262992029543964E-13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268.71706840132384</v>
      </c>
      <c r="CE138" s="59">
        <f t="shared" si="148"/>
        <v>199.92519498289477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56.41762628988478</v>
      </c>
      <c r="CL138" s="21">
        <f>EXP(-LN(2)/25)*CL137+(1-EXP(-LN(2)/25))/(LN(2)/25)*Calculateur!CG138*Calculateur!CI138*VLOOKUP('Données projet'!$B$12,Paramètres!$A$1:$I$89,3,0)*0.475*44/12</f>
        <v>10.567625291973465</v>
      </c>
      <c r="CM138" s="21">
        <f>EXP(-LN(2)/2)*CM137+(1-EXP(-LN(2)/2))/(LN(2)/2)*CG138*CJ138*VLOOKUP('Données projet'!$B$12,Paramètres!$A$1:$I$89,3,0)*0.475*44/12</f>
        <v>2.6527974319532629E-4</v>
      </c>
      <c r="CN138" s="22">
        <f t="shared" si="120"/>
        <v>66.98551686160144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5.6843418860808015E-13</v>
      </c>
      <c r="O139" s="13">
        <f>N139*VLOOKUP('Données projet'!$B$9,Paramètres!$A$1:$I$89,3,0)*VLOOKUP('Données projet'!$B$9,Paramètres!$A$1:$I$89,5,0)</f>
        <v>5.1431925385259092E-13</v>
      </c>
      <c r="P139" s="13">
        <f t="shared" si="141"/>
        <v>6.3855359115685756E-12</v>
      </c>
      <c r="Q139" s="20">
        <f t="shared" si="108"/>
        <v>1.2017247746441865E-11</v>
      </c>
      <c r="R139" s="59">
        <f t="shared" si="109"/>
        <v>293.33333333334531</v>
      </c>
      <c r="S139" s="59">
        <f ca="1">AVERAGE(OFFSET($R$3,0,0,'Données projet'!$E$9+1,1))-AVERAGE(OFFSET($H$3,0,0,'Données projet'!$E$9+1,1))</f>
        <v>384.05928630855732</v>
      </c>
      <c r="T139" s="59">
        <f t="shared" si="142"/>
        <v>279.93992813630513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154.86590357920664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154.86590357920664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-6.3550942286383367E-14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335.04906256888819</v>
      </c>
      <c r="AO139" s="59">
        <f t="shared" si="144"/>
        <v>440.84111898279554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45.572187412753649</v>
      </c>
      <c r="AV139" s="21">
        <f>EXP(-LN(2)/25)*AV138+(1-EXP(-LN(2)/25))/(LN(2)/25)*Calculateur!AQ139*Calculateur!AS139*VLOOKUP('Données projet'!$B$10,Paramètres!$A$1:$I$89,3,0)*0.475*44/12</f>
        <v>6.09737916560261</v>
      </c>
      <c r="AW139" s="21">
        <f>EXP(-LN(2)/2)*AW138+(1-EXP(-LN(2)/2))/(LN(2)/2)*AQ139*AT139*VLOOKUP('Données projet'!$B$10,Paramètres!$A$1:$I$89,3,0)*0.475*44/12</f>
        <v>2.1969471813902681E-11</v>
      </c>
      <c r="AX139" s="21">
        <f t="shared" si="114"/>
        <v>51.66956657837823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261.20475283925128</v>
      </c>
      <c r="BJ139" s="59">
        <f t="shared" si="146"/>
        <v>247.06045079522403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45.035785420640991</v>
      </c>
      <c r="BQ139" s="21">
        <f>EXP(-LN(2)/25)*BQ138+(1-EXP(-LN(2)/25))/(LN(2)/25)*Calculateur!BL139*Calculateur!BN139*VLOOKUP('Données projet'!$B$11,Paramètres!$A$1:$I$89,3,0)*0.475*44/12</f>
        <v>7.031297905067782</v>
      </c>
      <c r="BR139" s="21">
        <f>EXP(-LN(2)/2)*BR138+(1-EXP(-LN(2)/2))/(LN(2)/2)*BL139*BO139*VLOOKUP('Données projet'!$B$11,Paramètres!$A$1:$I$89,3,0)*0.475*44/12</f>
        <v>3.6665418490798102E-9</v>
      </c>
      <c r="BS139" s="22">
        <f t="shared" si="117"/>
        <v>52.067083329375315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-5.1159076974727213E-13</v>
      </c>
      <c r="BZ139" s="13">
        <f>BY139*VLOOKUP('Données projet'!$B$12,Paramètres!$A$1:$I$89,3,0)*VLOOKUP('Données projet'!$B$12,Paramètres!$A$1:$I$89,5,0)</f>
        <v>-2.9262992029543964E-13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268.71706840132384</v>
      </c>
      <c r="CE139" s="59">
        <f t="shared" si="148"/>
        <v>199.92519498289477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55.311311049694339</v>
      </c>
      <c r="CL139" s="21">
        <f>EXP(-LN(2)/25)*CL138+(1-EXP(-LN(2)/25))/(LN(2)/25)*Calculateur!CG139*Calculateur!CI139*VLOOKUP('Données projet'!$B$12,Paramètres!$A$1:$I$89,3,0)*0.475*44/12</f>
        <v>10.27865302263719</v>
      </c>
      <c r="CM139" s="21">
        <f>EXP(-LN(2)/2)*CM138+(1-EXP(-LN(2)/2))/(LN(2)/2)*CG139*CJ139*VLOOKUP('Données projet'!$B$12,Paramètres!$A$1:$I$89,3,0)*0.475*44/12</f>
        <v>1.8758110532484111E-4</v>
      </c>
      <c r="CN139" s="22">
        <f t="shared" si="120"/>
        <v>65.590151653436848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5.6843418860808015E-13</v>
      </c>
      <c r="O140" s="13">
        <f>N140*VLOOKUP('Données projet'!$B$9,Paramètres!$A$1:$I$89,3,0)*VLOOKUP('Données projet'!$B$9,Paramètres!$A$1:$I$89,5,0)</f>
        <v>5.1431925385259092E-13</v>
      </c>
      <c r="P140" s="13">
        <f t="shared" si="141"/>
        <v>6.3855359115685756E-12</v>
      </c>
      <c r="Q140" s="20">
        <f t="shared" si="108"/>
        <v>1.2017247746441865E-11</v>
      </c>
      <c r="R140" s="59">
        <f t="shared" si="109"/>
        <v>293.33333333334531</v>
      </c>
      <c r="S140" s="59">
        <f ca="1">AVERAGE(OFFSET($R$3,0,0,'Données projet'!$E$9+1,1))-AVERAGE(OFFSET($H$3,0,0,'Données projet'!$E$9+1,1))</f>
        <v>384.05928630855732</v>
      </c>
      <c r="T140" s="59">
        <f t="shared" si="142"/>
        <v>279.93992813630513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151.82907766889255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151.82907766889255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-6.3550942286383367E-14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335.04906256888819</v>
      </c>
      <c r="AO140" s="59">
        <f t="shared" si="144"/>
        <v>440.84111898279554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44.678544613879218</v>
      </c>
      <c r="AV140" s="21">
        <f>EXP(-LN(2)/25)*AV139+(1-EXP(-LN(2)/25))/(LN(2)/25)*Calculateur!AQ140*Calculateur!AS140*VLOOKUP('Données projet'!$B$10,Paramètres!$A$1:$I$89,3,0)*0.475*44/12</f>
        <v>5.9306460116719721</v>
      </c>
      <c r="AW140" s="21">
        <f>EXP(-LN(2)/2)*AW139+(1-EXP(-LN(2)/2))/(LN(2)/2)*AQ140*AT140*VLOOKUP('Données projet'!$B$10,Paramètres!$A$1:$I$89,3,0)*0.475*44/12</f>
        <v>1.5534762498697307E-11</v>
      </c>
      <c r="AX140" s="21">
        <f t="shared" si="114"/>
        <v>50.609190625566725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261.20475283925128</v>
      </c>
      <c r="BJ140" s="59">
        <f t="shared" si="146"/>
        <v>247.06045079522403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44.152661137658981</v>
      </c>
      <c r="BQ140" s="21">
        <f>EXP(-LN(2)/25)*BQ139+(1-EXP(-LN(2)/25))/(LN(2)/25)*Calculateur!BL140*Calculateur!BN140*VLOOKUP('Données projet'!$B$11,Paramètres!$A$1:$I$89,3,0)*0.475*44/12</f>
        <v>6.8390266940938167</v>
      </c>
      <c r="BR140" s="21">
        <f>EXP(-LN(2)/2)*BR139+(1-EXP(-LN(2)/2))/(LN(2)/2)*BL140*BO140*VLOOKUP('Données projet'!$B$11,Paramètres!$A$1:$I$89,3,0)*0.475*44/12</f>
        <v>2.5926366049885968E-9</v>
      </c>
      <c r="BS140" s="22">
        <f t="shared" si="117"/>
        <v>50.991687834345434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-5.1159076974727213E-13</v>
      </c>
      <c r="BZ140" s="13">
        <f>BY140*VLOOKUP('Données projet'!$B$12,Paramètres!$A$1:$I$89,3,0)*VLOOKUP('Données projet'!$B$12,Paramètres!$A$1:$I$89,5,0)</f>
        <v>-2.9262992029543964E-13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268.71706840132384</v>
      </c>
      <c r="CE140" s="59">
        <f t="shared" si="148"/>
        <v>199.92519498289477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54.226689976578363</v>
      </c>
      <c r="CL140" s="21">
        <f>EXP(-LN(2)/25)*CL139+(1-EXP(-LN(2)/25))/(LN(2)/25)*Calculateur!CG140*Calculateur!CI140*VLOOKUP('Données projet'!$B$12,Paramètres!$A$1:$I$89,3,0)*0.475*44/12</f>
        <v>9.9975827152023058</v>
      </c>
      <c r="CM140" s="21">
        <f>EXP(-LN(2)/2)*CM139+(1-EXP(-LN(2)/2))/(LN(2)/2)*CG140*CJ140*VLOOKUP('Données projet'!$B$12,Paramètres!$A$1:$I$89,3,0)*0.475*44/12</f>
        <v>1.3263987159766315E-4</v>
      </c>
      <c r="CN140" s="22">
        <f t="shared" si="120"/>
        <v>64.224405331652264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5.6843418860808015E-13</v>
      </c>
      <c r="O141" s="13">
        <f>N141*VLOOKUP('Données projet'!$B$9,Paramètres!$A$1:$I$89,3,0)*VLOOKUP('Données projet'!$B$9,Paramètres!$A$1:$I$89,5,0)</f>
        <v>5.1431925385259092E-13</v>
      </c>
      <c r="P141" s="13">
        <f t="shared" si="141"/>
        <v>6.3855359115685756E-12</v>
      </c>
      <c r="Q141" s="20">
        <f t="shared" si="108"/>
        <v>1.2017247746441865E-11</v>
      </c>
      <c r="R141" s="59">
        <f t="shared" si="109"/>
        <v>293.33333333334531</v>
      </c>
      <c r="S141" s="59">
        <f ca="1">AVERAGE(OFFSET($R$3,0,0,'Données projet'!$E$9+1,1))-AVERAGE(OFFSET($H$3,0,0,'Données projet'!$E$9+1,1))</f>
        <v>384.05928630855732</v>
      </c>
      <c r="T141" s="59">
        <f t="shared" si="142"/>
        <v>279.93992813630513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148.8518020623988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148.8518020623988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-6.3550942286383367E-14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335.04906256888819</v>
      </c>
      <c r="AO141" s="59">
        <f t="shared" si="144"/>
        <v>440.84111898279554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43.802425605222425</v>
      </c>
      <c r="AV141" s="21">
        <f>EXP(-LN(2)/25)*AV140+(1-EXP(-LN(2)/25))/(LN(2)/25)*Calculateur!AQ141*Calculateur!AS141*VLOOKUP('Données projet'!$B$10,Paramètres!$A$1:$I$89,3,0)*0.475*44/12</f>
        <v>5.7684721846036826</v>
      </c>
      <c r="AW141" s="21">
        <f>EXP(-LN(2)/2)*AW140+(1-EXP(-LN(2)/2))/(LN(2)/2)*AQ141*AT141*VLOOKUP('Données projet'!$B$10,Paramètres!$A$1:$I$89,3,0)*0.475*44/12</f>
        <v>1.0984735906951341E-11</v>
      </c>
      <c r="AX141" s="21">
        <f t="shared" si="114"/>
        <v>49.57089778983709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261.20475283925128</v>
      </c>
      <c r="BJ141" s="59">
        <f t="shared" si="146"/>
        <v>247.06045079522403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43.286854383213623</v>
      </c>
      <c r="BQ141" s="21">
        <f>EXP(-LN(2)/25)*BQ140+(1-EXP(-LN(2)/25))/(LN(2)/25)*Calculateur!BL141*Calculateur!BN141*VLOOKUP('Données projet'!$B$11,Paramètres!$A$1:$I$89,3,0)*0.475*44/12</f>
        <v>6.6520131494950379</v>
      </c>
      <c r="BR141" s="21">
        <f>EXP(-LN(2)/2)*BR140+(1-EXP(-LN(2)/2))/(LN(2)/2)*BL141*BO141*VLOOKUP('Données projet'!$B$11,Paramètres!$A$1:$I$89,3,0)*0.475*44/12</f>
        <v>1.8332709245399053E-9</v>
      </c>
      <c r="BS141" s="22">
        <f t="shared" si="117"/>
        <v>49.938867534541934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-5.1159076974727213E-13</v>
      </c>
      <c r="BZ141" s="13">
        <f>BY141*VLOOKUP('Données projet'!$B$12,Paramètres!$A$1:$I$89,3,0)*VLOOKUP('Données projet'!$B$12,Paramètres!$A$1:$I$89,5,0)</f>
        <v>-2.9262992029543964E-13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268.71706840132384</v>
      </c>
      <c r="CE141" s="59">
        <f t="shared" si="148"/>
        <v>199.92519498289477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53.16333766115266</v>
      </c>
      <c r="CL141" s="21">
        <f>EXP(-LN(2)/25)*CL140+(1-EXP(-LN(2)/25))/(LN(2)/25)*Calculateur!CG141*Calculateur!CI141*VLOOKUP('Données projet'!$B$12,Paramètres!$A$1:$I$89,3,0)*0.475*44/12</f>
        <v>9.7241982901050736</v>
      </c>
      <c r="CM141" s="21">
        <f>EXP(-LN(2)/2)*CM140+(1-EXP(-LN(2)/2))/(LN(2)/2)*CG141*CJ141*VLOOKUP('Données projet'!$B$12,Paramètres!$A$1:$I$89,3,0)*0.475*44/12</f>
        <v>9.3790552662420556E-5</v>
      </c>
      <c r="CN141" s="22">
        <f t="shared" si="120"/>
        <v>62.887629741810393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5.6843418860808015E-13</v>
      </c>
      <c r="O142" s="13">
        <f>N142*VLOOKUP('Données projet'!$B$9,Paramètres!$A$1:$I$89,3,0)*VLOOKUP('Données projet'!$B$9,Paramètres!$A$1:$I$89,5,0)</f>
        <v>5.1431925385259092E-13</v>
      </c>
      <c r="P142" s="13">
        <f t="shared" si="141"/>
        <v>6.3855359115685756E-12</v>
      </c>
      <c r="Q142" s="20">
        <f t="shared" si="108"/>
        <v>1.2017247746441865E-11</v>
      </c>
      <c r="R142" s="59">
        <f t="shared" si="109"/>
        <v>293.33333333334531</v>
      </c>
      <c r="S142" s="59">
        <f ca="1">AVERAGE(OFFSET($R$3,0,0,'Données projet'!$E$9+1,1))-AVERAGE(OFFSET($H$3,0,0,'Données projet'!$E$9+1,1))</f>
        <v>384.05928630855732</v>
      </c>
      <c r="T142" s="59">
        <f t="shared" si="142"/>
        <v>279.93992813630513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145.9329090145896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145.9329090145896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-6.3550942286383367E-14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335.04906256888819</v>
      </c>
      <c r="AO142" s="59">
        <f t="shared" si="144"/>
        <v>440.84111898279554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42.943486755945564</v>
      </c>
      <c r="AV142" s="21">
        <f>EXP(-LN(2)/25)*AV141+(1-EXP(-LN(2)/25))/(LN(2)/25)*Calculateur!AQ142*Calculateur!AS142*VLOOKUP('Données projet'!$B$10,Paramètres!$A$1:$I$89,3,0)*0.475*44/12</f>
        <v>5.6107330093649264</v>
      </c>
      <c r="AW142" s="21">
        <f>EXP(-LN(2)/2)*AW141+(1-EXP(-LN(2)/2))/(LN(2)/2)*AQ142*AT142*VLOOKUP('Données projet'!$B$10,Paramètres!$A$1:$I$89,3,0)*0.475*44/12</f>
        <v>7.7673812493486533E-12</v>
      </c>
      <c r="AX142" s="21">
        <f t="shared" si="114"/>
        <v>48.554219765318258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261.20475283925128</v>
      </c>
      <c r="BJ142" s="59">
        <f t="shared" si="146"/>
        <v>247.06045079522403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42.438025571132961</v>
      </c>
      <c r="BQ142" s="21">
        <f>EXP(-LN(2)/25)*BQ141+(1-EXP(-LN(2)/25))/(LN(2)/25)*Calculateur!BL142*Calculateur!BN142*VLOOKUP('Données projet'!$B$11,Paramètres!$A$1:$I$89,3,0)*0.475*44/12</f>
        <v>6.470113500107928</v>
      </c>
      <c r="BR142" s="21">
        <f>EXP(-LN(2)/2)*BR141+(1-EXP(-LN(2)/2))/(LN(2)/2)*BL142*BO142*VLOOKUP('Données projet'!$B$11,Paramètres!$A$1:$I$89,3,0)*0.475*44/12</f>
        <v>1.2963183024942986E-9</v>
      </c>
      <c r="BS142" s="22">
        <f t="shared" si="117"/>
        <v>48.90813907253721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-5.1159076974727213E-13</v>
      </c>
      <c r="BZ142" s="13">
        <f>BY142*VLOOKUP('Données projet'!$B$12,Paramètres!$A$1:$I$89,3,0)*VLOOKUP('Données projet'!$B$12,Paramètres!$A$1:$I$89,5,0)</f>
        <v>-2.9262992029543964E-13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268.71706840132384</v>
      </c>
      <c r="CE142" s="59">
        <f t="shared" si="148"/>
        <v>199.92519498289477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52.120837036051583</v>
      </c>
      <c r="CL142" s="21">
        <f>EXP(-LN(2)/25)*CL141+(1-EXP(-LN(2)/25))/(LN(2)/25)*Calculateur!CG142*Calculateur!CI142*VLOOKUP('Données projet'!$B$12,Paramètres!$A$1:$I$89,3,0)*0.475*44/12</f>
        <v>9.458289576488788</v>
      </c>
      <c r="CM142" s="21">
        <f>EXP(-LN(2)/2)*CM141+(1-EXP(-LN(2)/2))/(LN(2)/2)*CG142*CJ142*VLOOKUP('Données projet'!$B$12,Paramètres!$A$1:$I$89,3,0)*0.475*44/12</f>
        <v>6.6319935798831573E-5</v>
      </c>
      <c r="CN142" s="22">
        <f t="shared" si="120"/>
        <v>61.579192932476168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5.6843418860808015E-13</v>
      </c>
      <c r="O143" s="13">
        <f>N143*VLOOKUP('Données projet'!$B$9,Paramètres!$A$1:$I$89,3,0)*VLOOKUP('Données projet'!$B$9,Paramètres!$A$1:$I$89,5,0)</f>
        <v>5.1431925385259092E-13</v>
      </c>
      <c r="P143" s="13">
        <f t="shared" si="141"/>
        <v>6.3855359115685756E-12</v>
      </c>
      <c r="Q143" s="20">
        <f t="shared" si="108"/>
        <v>1.2017247746441865E-11</v>
      </c>
      <c r="R143" s="59">
        <f t="shared" si="109"/>
        <v>293.33333333334531</v>
      </c>
      <c r="S143" s="59">
        <f ca="1">AVERAGE(OFFSET($R$3,0,0,'Données projet'!$E$9+1,1))-AVERAGE(OFFSET($H$3,0,0,'Données projet'!$E$9+1,1))</f>
        <v>384.05928630855732</v>
      </c>
      <c r="T143" s="59">
        <f t="shared" si="142"/>
        <v>279.93992813630513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143.07125367909896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143.07125367909896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-6.3550942286383367E-14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335.04906256888819</v>
      </c>
      <c r="AO143" s="59">
        <f t="shared" si="144"/>
        <v>440.84111898279554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42.101391173602053</v>
      </c>
      <c r="AV143" s="21">
        <f>EXP(-LN(2)/25)*AV142+(1-EXP(-LN(2)/25))/(LN(2)/25)*Calculateur!AQ143*Calculateur!AS143*VLOOKUP('Données projet'!$B$10,Paramètres!$A$1:$I$89,3,0)*0.475*44/12</f>
        <v>5.4573072201682171</v>
      </c>
      <c r="AW143" s="21">
        <f>EXP(-LN(2)/2)*AW142+(1-EXP(-LN(2)/2))/(LN(2)/2)*AQ143*AT143*VLOOKUP('Données projet'!$B$10,Paramètres!$A$1:$I$89,3,0)*0.475*44/12</f>
        <v>5.4923679534756703E-12</v>
      </c>
      <c r="AX143" s="21">
        <f t="shared" si="114"/>
        <v>47.558698393775764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261.20475283925128</v>
      </c>
      <c r="BJ143" s="59">
        <f t="shared" si="146"/>
        <v>247.06045079522403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41.605841774322748</v>
      </c>
      <c r="BQ143" s="21">
        <f>EXP(-LN(2)/25)*BQ142+(1-EXP(-LN(2)/25))/(LN(2)/25)*Calculateur!BL143*Calculateur!BN143*VLOOKUP('Données projet'!$B$11,Paramètres!$A$1:$I$89,3,0)*0.475*44/12</f>
        <v>6.2931879061989955</v>
      </c>
      <c r="BR143" s="21">
        <f>EXP(-LN(2)/2)*BR142+(1-EXP(-LN(2)/2))/(LN(2)/2)*BL143*BO143*VLOOKUP('Données projet'!$B$11,Paramètres!$A$1:$I$89,3,0)*0.475*44/12</f>
        <v>9.1663546226995275E-10</v>
      </c>
      <c r="BS143" s="22">
        <f t="shared" si="117"/>
        <v>47.899029681438378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-5.1159076974727213E-13</v>
      </c>
      <c r="BZ143" s="13">
        <f>BY143*VLOOKUP('Données projet'!$B$12,Paramètres!$A$1:$I$89,3,0)*VLOOKUP('Données projet'!$B$12,Paramètres!$A$1:$I$89,5,0)</f>
        <v>-2.9262992029543964E-13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268.71706840132384</v>
      </c>
      <c r="CE143" s="59">
        <f t="shared" si="148"/>
        <v>199.92519498289477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51.098779212346145</v>
      </c>
      <c r="CL143" s="21">
        <f>EXP(-LN(2)/25)*CL142+(1-EXP(-LN(2)/25))/(LN(2)/25)*Calculateur!CG143*Calculateur!CI143*VLOOKUP('Données projet'!$B$12,Paramètres!$A$1:$I$89,3,0)*0.475*44/12</f>
        <v>9.1996521506298699</v>
      </c>
      <c r="CM143" s="21">
        <f>EXP(-LN(2)/2)*CM142+(1-EXP(-LN(2)/2))/(LN(2)/2)*CG143*CJ143*VLOOKUP('Données projet'!$B$12,Paramètres!$A$1:$I$89,3,0)*0.475*44/12</f>
        <v>4.6895276331210278E-5</v>
      </c>
      <c r="CN143" s="22">
        <f t="shared" si="120"/>
        <v>60.298478258252352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5.6843418860808015E-13</v>
      </c>
      <c r="O144" s="13">
        <f>N144*VLOOKUP('Données projet'!$B$9,Paramètres!$A$1:$I$89,3,0)*VLOOKUP('Données projet'!$B$9,Paramètres!$A$1:$I$89,5,0)</f>
        <v>5.1431925385259092E-13</v>
      </c>
      <c r="P144" s="13">
        <f t="shared" si="141"/>
        <v>6.3855359115685756E-12</v>
      </c>
      <c r="Q144" s="20">
        <f t="shared" si="108"/>
        <v>1.2017247746441865E-11</v>
      </c>
      <c r="R144" s="59">
        <f t="shared" si="109"/>
        <v>293.33333333334531</v>
      </c>
      <c r="S144" s="59">
        <f ca="1">AVERAGE(OFFSET($R$3,0,0,'Données projet'!$E$9+1,1))-AVERAGE(OFFSET($H$3,0,0,'Données projet'!$E$9+1,1))</f>
        <v>384.05928630855732</v>
      </c>
      <c r="T144" s="59">
        <f t="shared" si="142"/>
        <v>279.93992813630513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140.26571365929988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140.26571365929988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-6.3550942286383367E-14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335.04906256888819</v>
      </c>
      <c r="AO144" s="59">
        <f t="shared" si="144"/>
        <v>440.84111898279554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41.275808572000713</v>
      </c>
      <c r="AV144" s="21">
        <f>EXP(-LN(2)/25)*AV143+(1-EXP(-LN(2)/25))/(LN(2)/25)*Calculateur!AQ144*Calculateur!AS144*VLOOKUP('Données projet'!$B$10,Paramètres!$A$1:$I$89,3,0)*0.475*44/12</f>
        <v>5.3080768672454033</v>
      </c>
      <c r="AW144" s="21">
        <f>EXP(-LN(2)/2)*AW143+(1-EXP(-LN(2)/2))/(LN(2)/2)*AQ144*AT144*VLOOKUP('Données projet'!$B$10,Paramètres!$A$1:$I$89,3,0)*0.475*44/12</f>
        <v>3.8836906246743267E-12</v>
      </c>
      <c r="AX144" s="21">
        <f t="shared" si="114"/>
        <v>46.583885439250004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261.20475283925128</v>
      </c>
      <c r="BJ144" s="59">
        <f t="shared" si="146"/>
        <v>247.06045079522403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40.789976594185987</v>
      </c>
      <c r="BQ144" s="21">
        <f>EXP(-LN(2)/25)*BQ143+(1-EXP(-LN(2)/25))/(LN(2)/25)*Calculateur!BL144*Calculateur!BN144*VLOOKUP('Données projet'!$B$11,Paramètres!$A$1:$I$89,3,0)*0.475*44/12</f>
        <v>6.1211003519596154</v>
      </c>
      <c r="BR144" s="21">
        <f>EXP(-LN(2)/2)*BR143+(1-EXP(-LN(2)/2))/(LN(2)/2)*BL144*BO144*VLOOKUP('Données projet'!$B$11,Paramètres!$A$1:$I$89,3,0)*0.475*44/12</f>
        <v>6.4815915124714941E-10</v>
      </c>
      <c r="BS144" s="22">
        <f t="shared" si="117"/>
        <v>46.911076946793756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-5.1159076974727213E-13</v>
      </c>
      <c r="BZ144" s="13">
        <f>BY144*VLOOKUP('Données projet'!$B$12,Paramètres!$A$1:$I$89,3,0)*VLOOKUP('Données projet'!$B$12,Paramètres!$A$1:$I$89,5,0)</f>
        <v>-2.9262992029543964E-13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268.71706840132384</v>
      </c>
      <c r="CE144" s="59">
        <f t="shared" si="148"/>
        <v>199.92519498289477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50.096763319169852</v>
      </c>
      <c r="CL144" s="21">
        <f>EXP(-LN(2)/25)*CL143+(1-EXP(-LN(2)/25))/(LN(2)/25)*Calculateur!CG144*Calculateur!CI144*VLOOKUP('Données projet'!$B$12,Paramètres!$A$1:$I$89,3,0)*0.475*44/12</f>
        <v>8.9480871787822149</v>
      </c>
      <c r="CM144" s="21">
        <f>EXP(-LN(2)/2)*CM143+(1-EXP(-LN(2)/2))/(LN(2)/2)*CG144*CJ144*VLOOKUP('Données projet'!$B$12,Paramètres!$A$1:$I$89,3,0)*0.475*44/12</f>
        <v>3.3159967899415786E-5</v>
      </c>
      <c r="CN144" s="22">
        <f t="shared" si="120"/>
        <v>59.044883657919968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5.6843418860808015E-13</v>
      </c>
      <c r="O145" s="13">
        <f>N145*VLOOKUP('Données projet'!$B$9,Paramètres!$A$1:$I$89,3,0)*VLOOKUP('Données projet'!$B$9,Paramètres!$A$1:$I$89,5,0)</f>
        <v>5.1431925385259092E-13</v>
      </c>
      <c r="P145" s="13">
        <f t="shared" si="141"/>
        <v>6.3855359115685756E-12</v>
      </c>
      <c r="Q145" s="20">
        <f t="shared" si="108"/>
        <v>1.2017247746441865E-11</v>
      </c>
      <c r="R145" s="59">
        <f t="shared" si="109"/>
        <v>293.33333333334531</v>
      </c>
      <c r="S145" s="59">
        <f ca="1">AVERAGE(OFFSET($R$3,0,0,'Données projet'!$E$9+1,1))-AVERAGE(OFFSET($H$3,0,0,'Données projet'!$E$9+1,1))</f>
        <v>384.05928630855732</v>
      </c>
      <c r="T145" s="59">
        <f t="shared" si="142"/>
        <v>279.93992813630513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137.51518856807863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137.51518856807863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-6.3550942286383367E-14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335.04906256888819</v>
      </c>
      <c r="AO145" s="59">
        <f t="shared" si="144"/>
        <v>440.84111898279554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40.466415141661109</v>
      </c>
      <c r="AV145" s="21">
        <f>EXP(-LN(2)/25)*AV144+(1-EXP(-LN(2)/25))/(LN(2)/25)*Calculateur!AQ145*Calculateur!AS145*VLOOKUP('Données projet'!$B$10,Paramètres!$A$1:$I$89,3,0)*0.475*44/12</f>
        <v>5.1629272261709467</v>
      </c>
      <c r="AW145" s="21">
        <f>EXP(-LN(2)/2)*AW144+(1-EXP(-LN(2)/2))/(LN(2)/2)*AQ145*AT145*VLOOKUP('Données projet'!$B$10,Paramètres!$A$1:$I$89,3,0)*0.475*44/12</f>
        <v>2.7461839767378352E-12</v>
      </c>
      <c r="AX145" s="21">
        <f t="shared" si="114"/>
        <v>45.629342367834795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261.20475283925128</v>
      </c>
      <c r="BJ145" s="59">
        <f t="shared" si="146"/>
        <v>247.06045079522403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39.990110032603084</v>
      </c>
      <c r="BQ145" s="21">
        <f>EXP(-LN(2)/25)*BQ144+(1-EXP(-LN(2)/25))/(LN(2)/25)*Calculateur!BL145*Calculateur!BN145*VLOOKUP('Données projet'!$B$11,Paramètres!$A$1:$I$89,3,0)*0.475*44/12</f>
        <v>5.9537185409406019</v>
      </c>
      <c r="BR145" s="21">
        <f>EXP(-LN(2)/2)*BR144+(1-EXP(-LN(2)/2))/(LN(2)/2)*BL145*BO145*VLOOKUP('Données projet'!$B$11,Paramètres!$A$1:$I$89,3,0)*0.475*44/12</f>
        <v>4.5831773113497648E-10</v>
      </c>
      <c r="BS145" s="22">
        <f t="shared" si="117"/>
        <v>45.943828574001998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-5.1159076974727213E-13</v>
      </c>
      <c r="BZ145" s="13">
        <f>BY145*VLOOKUP('Données projet'!$B$12,Paramètres!$A$1:$I$89,3,0)*VLOOKUP('Données projet'!$B$12,Paramètres!$A$1:$I$89,5,0)</f>
        <v>-2.9262992029543964E-13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268.71706840132384</v>
      </c>
      <c r="CE145" s="59">
        <f t="shared" si="148"/>
        <v>199.92519498289477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49.1143963464894</v>
      </c>
      <c r="CL145" s="21">
        <f>EXP(-LN(2)/25)*CL144+(1-EXP(-LN(2)/25))/(LN(2)/25)*Calculateur!CG145*Calculateur!CI145*VLOOKUP('Données projet'!$B$12,Paramètres!$A$1:$I$89,3,0)*0.475*44/12</f>
        <v>8.7034012643189609</v>
      </c>
      <c r="CM145" s="21">
        <f>EXP(-LN(2)/2)*CM144+(1-EXP(-LN(2)/2))/(LN(2)/2)*CG145*CJ145*VLOOKUP('Données projet'!$B$12,Paramètres!$A$1:$I$89,3,0)*0.475*44/12</f>
        <v>2.3447638165605139E-5</v>
      </c>
      <c r="CN145" s="22">
        <f t="shared" si="120"/>
        <v>57.817821058446526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5.6843418860808015E-13</v>
      </c>
      <c r="O146" s="13">
        <f>N146*VLOOKUP('Données projet'!$B$9,Paramètres!$A$1:$I$89,3,0)*VLOOKUP('Données projet'!$B$9,Paramètres!$A$1:$I$89,5,0)</f>
        <v>5.1431925385259092E-13</v>
      </c>
      <c r="P146" s="13">
        <f t="shared" si="141"/>
        <v>6.3855359115685756E-12</v>
      </c>
      <c r="Q146" s="20">
        <f t="shared" si="108"/>
        <v>1.2017247746441865E-11</v>
      </c>
      <c r="R146" s="59">
        <f t="shared" si="109"/>
        <v>293.33333333334531</v>
      </c>
      <c r="S146" s="59">
        <f ca="1">AVERAGE(OFFSET($R$3,0,0,'Données projet'!$E$9+1,1))-AVERAGE(OFFSET($H$3,0,0,'Données projet'!$E$9+1,1))</f>
        <v>384.05928630855732</v>
      </c>
      <c r="T146" s="59">
        <f t="shared" si="142"/>
        <v>279.93992813630513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134.81859959624157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134.81859959624157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-6.3550942286383367E-14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335.04906256888819</v>
      </c>
      <c r="AO146" s="59">
        <f t="shared" si="144"/>
        <v>440.84111898279554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39.672893422809217</v>
      </c>
      <c r="AV146" s="21">
        <f>EXP(-LN(2)/25)*AV145+(1-EXP(-LN(2)/25))/(LN(2)/25)*Calculateur!AQ146*Calculateur!AS146*VLOOKUP('Données projet'!$B$10,Paramètres!$A$1:$I$89,3,0)*0.475*44/12</f>
        <v>5.0217467096647592</v>
      </c>
      <c r="AW146" s="21">
        <f>EXP(-LN(2)/2)*AW145+(1-EXP(-LN(2)/2))/(LN(2)/2)*AQ146*AT146*VLOOKUP('Données projet'!$B$10,Paramètres!$A$1:$I$89,3,0)*0.475*44/12</f>
        <v>1.9418453123371633E-12</v>
      </c>
      <c r="AX146" s="21">
        <f t="shared" si="114"/>
        <v>44.694640132475918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261.20475283925128</v>
      </c>
      <c r="BJ146" s="59">
        <f t="shared" si="146"/>
        <v>247.06045079522403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39.205928366422391</v>
      </c>
      <c r="BQ146" s="21">
        <f>EXP(-LN(2)/25)*BQ145+(1-EXP(-LN(2)/25))/(LN(2)/25)*Calculateur!BL146*Calculateur!BN146*VLOOKUP('Données projet'!$B$11,Paramètres!$A$1:$I$89,3,0)*0.475*44/12</f>
        <v>5.7909137943461308</v>
      </c>
      <c r="BR146" s="21">
        <f>EXP(-LN(2)/2)*BR145+(1-EXP(-LN(2)/2))/(LN(2)/2)*BL146*BO146*VLOOKUP('Données projet'!$B$11,Paramètres!$A$1:$I$89,3,0)*0.475*44/12</f>
        <v>3.2407957562357476E-10</v>
      </c>
      <c r="BS146" s="22">
        <f t="shared" si="117"/>
        <v>44.996842161092601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-5.1159076974727213E-13</v>
      </c>
      <c r="BZ146" s="13">
        <f>BY146*VLOOKUP('Données projet'!$B$12,Paramètres!$A$1:$I$89,3,0)*VLOOKUP('Données projet'!$B$12,Paramètres!$A$1:$I$89,5,0)</f>
        <v>-2.9262992029543964E-13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268.71706840132384</v>
      </c>
      <c r="CE146" s="59">
        <f t="shared" si="148"/>
        <v>199.92519498289477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48.151292990958524</v>
      </c>
      <c r="CL146" s="21">
        <f>EXP(-LN(2)/25)*CL145+(1-EXP(-LN(2)/25))/(LN(2)/25)*Calculateur!CG146*Calculateur!CI146*VLOOKUP('Données projet'!$B$12,Paramètres!$A$1:$I$89,3,0)*0.475*44/12</f>
        <v>8.4654062990541785</v>
      </c>
      <c r="CM146" s="21">
        <f>EXP(-LN(2)/2)*CM145+(1-EXP(-LN(2)/2))/(LN(2)/2)*CG146*CJ146*VLOOKUP('Données projet'!$B$12,Paramètres!$A$1:$I$89,3,0)*0.475*44/12</f>
        <v>1.6579983949707893E-5</v>
      </c>
      <c r="CN146" s="22">
        <f t="shared" si="120"/>
        <v>56.616715869996654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5.6843418860808015E-13</v>
      </c>
      <c r="O147" s="13">
        <f>N147*VLOOKUP('Données projet'!$B$9,Paramètres!$A$1:$I$89,3,0)*VLOOKUP('Données projet'!$B$9,Paramètres!$A$1:$I$89,5,0)</f>
        <v>5.1431925385259092E-13</v>
      </c>
      <c r="P147" s="13">
        <f t="shared" si="141"/>
        <v>6.3855359115685756E-12</v>
      </c>
      <c r="Q147" s="20">
        <f t="shared" si="108"/>
        <v>1.2017247746441865E-11</v>
      </c>
      <c r="R147" s="59">
        <f t="shared" si="109"/>
        <v>293.33333333334531</v>
      </c>
      <c r="S147" s="59">
        <f ca="1">AVERAGE(OFFSET($R$3,0,0,'Données projet'!$E$9+1,1))-AVERAGE(OFFSET($H$3,0,0,'Données projet'!$E$9+1,1))</f>
        <v>384.05928630855732</v>
      </c>
      <c r="T147" s="59">
        <f t="shared" si="142"/>
        <v>279.93992813630513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132.17488908938537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132.17488908938537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-6.3550942286383367E-14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335.04906256888819</v>
      </c>
      <c r="AO147" s="59">
        <f t="shared" si="144"/>
        <v>440.84111898279554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38.894932180863556</v>
      </c>
      <c r="AV147" s="21">
        <f>EXP(-LN(2)/25)*AV146+(1-EXP(-LN(2)/25))/(LN(2)/25)*Calculateur!AQ147*Calculateur!AS147*VLOOKUP('Données projet'!$B$10,Paramètres!$A$1:$I$89,3,0)*0.475*44/12</f>
        <v>4.8844267818067939</v>
      </c>
      <c r="AW147" s="21">
        <f>EXP(-LN(2)/2)*AW146+(1-EXP(-LN(2)/2))/(LN(2)/2)*AQ147*AT147*VLOOKUP('Données projet'!$B$10,Paramètres!$A$1:$I$89,3,0)*0.475*44/12</f>
        <v>1.3730919883689176E-12</v>
      </c>
      <c r="AX147" s="21">
        <f t="shared" si="114"/>
        <v>43.779358962671722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261.20475283925128</v>
      </c>
      <c r="BJ147" s="59">
        <f t="shared" si="146"/>
        <v>247.06045079522403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38.437124024411915</v>
      </c>
      <c r="BQ147" s="21">
        <f>EXP(-LN(2)/25)*BQ146+(1-EXP(-LN(2)/25))/(LN(2)/25)*Calculateur!BL147*Calculateur!BN147*VLOOKUP('Données projet'!$B$11,Paramètres!$A$1:$I$89,3,0)*0.475*44/12</f>
        <v>5.6325609521088147</v>
      </c>
      <c r="BR147" s="21">
        <f>EXP(-LN(2)/2)*BR146+(1-EXP(-LN(2)/2))/(LN(2)/2)*BL147*BO147*VLOOKUP('Données projet'!$B$11,Paramètres!$A$1:$I$89,3,0)*0.475*44/12</f>
        <v>2.2915886556748827E-10</v>
      </c>
      <c r="BS147" s="22">
        <f t="shared" si="117"/>
        <v>44.06968497674989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-5.1159076974727213E-13</v>
      </c>
      <c r="BZ147" s="13">
        <f>BY147*VLOOKUP('Données projet'!$B$12,Paramètres!$A$1:$I$89,3,0)*VLOOKUP('Données projet'!$B$12,Paramètres!$A$1:$I$89,5,0)</f>
        <v>-2.9262992029543964E-13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268.71706840132384</v>
      </c>
      <c r="CE147" s="59">
        <f t="shared" si="148"/>
        <v>199.92519498289477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47.207075504794567</v>
      </c>
      <c r="CL147" s="21">
        <f>EXP(-LN(2)/25)*CL146+(1-EXP(-LN(2)/25))/(LN(2)/25)*Calculateur!CG147*Calculateur!CI147*VLOOKUP('Données projet'!$B$12,Paramètres!$A$1:$I$89,3,0)*0.475*44/12</f>
        <v>8.2339193186301731</v>
      </c>
      <c r="CM147" s="21">
        <f>EXP(-LN(2)/2)*CM146+(1-EXP(-LN(2)/2))/(LN(2)/2)*CG147*CJ147*VLOOKUP('Données projet'!$B$12,Paramètres!$A$1:$I$89,3,0)*0.475*44/12</f>
        <v>1.172381908280257E-5</v>
      </c>
      <c r="CN147" s="22">
        <f t="shared" si="120"/>
        <v>55.441006547243823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5.6843418860808015E-13</v>
      </c>
      <c r="O148" s="13">
        <f>N148*VLOOKUP('Données projet'!$B$9,Paramètres!$A$1:$I$89,3,0)*VLOOKUP('Données projet'!$B$9,Paramètres!$A$1:$I$89,5,0)</f>
        <v>5.1431925385259092E-13</v>
      </c>
      <c r="P148" s="13">
        <f t="shared" si="141"/>
        <v>6.3855359115685756E-12</v>
      </c>
      <c r="Q148" s="20">
        <f t="shared" si="108"/>
        <v>1.2017247746441865E-11</v>
      </c>
      <c r="R148" s="59">
        <f t="shared" si="109"/>
        <v>293.33333333334531</v>
      </c>
      <c r="S148" s="59">
        <f ca="1">AVERAGE(OFFSET($R$3,0,0,'Données projet'!$E$9+1,1))-AVERAGE(OFFSET($H$3,0,0,'Données projet'!$E$9+1,1))</f>
        <v>384.05928630855732</v>
      </c>
      <c r="T148" s="59">
        <f t="shared" si="142"/>
        <v>279.93992813630513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129.58302013306442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129.58302013306442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-6.3550942286383367E-14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335.04906256888819</v>
      </c>
      <c r="AO148" s="59">
        <f t="shared" si="144"/>
        <v>440.84111898279554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38.132226284362943</v>
      </c>
      <c r="AV148" s="21">
        <f>EXP(-LN(2)/25)*AV147+(1-EXP(-LN(2)/25))/(LN(2)/25)*Calculateur!AQ148*Calculateur!AS148*VLOOKUP('Données projet'!$B$10,Paramètres!$A$1:$I$89,3,0)*0.475*44/12</f>
        <v>4.7508618745974465</v>
      </c>
      <c r="AW148" s="21">
        <f>EXP(-LN(2)/2)*AW147+(1-EXP(-LN(2)/2))/(LN(2)/2)*AQ148*AT148*VLOOKUP('Données projet'!$B$10,Paramètres!$A$1:$I$89,3,0)*0.475*44/12</f>
        <v>9.7092265616858166E-13</v>
      </c>
      <c r="AX148" s="21">
        <f t="shared" si="114"/>
        <v>42.883088158961364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261.20475283925128</v>
      </c>
      <c r="BJ148" s="59">
        <f t="shared" si="146"/>
        <v>247.06045079522403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37.683395466623914</v>
      </c>
      <c r="BQ148" s="21">
        <f>EXP(-LN(2)/25)*BQ147+(1-EXP(-LN(2)/25))/(LN(2)/25)*Calculateur!BL148*Calculateur!BN148*VLOOKUP('Données projet'!$B$11,Paramètres!$A$1:$I$89,3,0)*0.475*44/12</f>
        <v>5.4785382766698918</v>
      </c>
      <c r="BR148" s="21">
        <f>EXP(-LN(2)/2)*BR147+(1-EXP(-LN(2)/2))/(LN(2)/2)*BL148*BO148*VLOOKUP('Données projet'!$B$11,Paramètres!$A$1:$I$89,3,0)*0.475*44/12</f>
        <v>1.6203978781178741E-10</v>
      </c>
      <c r="BS148" s="22">
        <f t="shared" si="117"/>
        <v>43.161933743455847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-5.1159076974727213E-13</v>
      </c>
      <c r="BZ148" s="13">
        <f>BY148*VLOOKUP('Données projet'!$B$12,Paramètres!$A$1:$I$89,3,0)*VLOOKUP('Données projet'!$B$12,Paramètres!$A$1:$I$89,5,0)</f>
        <v>-2.9262992029543964E-13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268.71706840132384</v>
      </c>
      <c r="CE148" s="59">
        <f t="shared" si="148"/>
        <v>199.92519498289477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46.281373547618486</v>
      </c>
      <c r="CL148" s="21">
        <f>EXP(-LN(2)/25)*CL147+(1-EXP(-LN(2)/25))/(LN(2)/25)*Calculateur!CG148*Calculateur!CI148*VLOOKUP('Données projet'!$B$12,Paramètres!$A$1:$I$89,3,0)*0.475*44/12</f>
        <v>8.0087623618592332</v>
      </c>
      <c r="CM148" s="21">
        <f>EXP(-LN(2)/2)*CM147+(1-EXP(-LN(2)/2))/(LN(2)/2)*CG148*CJ148*VLOOKUP('Données projet'!$B$12,Paramètres!$A$1:$I$89,3,0)*0.475*44/12</f>
        <v>8.2899919748539466E-6</v>
      </c>
      <c r="CN148" s="22">
        <f t="shared" si="120"/>
        <v>54.290144199469694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5.6843418860808015E-13</v>
      </c>
      <c r="O149" s="13">
        <f>N149*VLOOKUP('Données projet'!$B$9,Paramètres!$A$1:$I$89,3,0)*VLOOKUP('Données projet'!$B$9,Paramètres!$A$1:$I$89,5,0)</f>
        <v>5.1431925385259092E-13</v>
      </c>
      <c r="P149" s="13">
        <f t="shared" si="141"/>
        <v>6.3855359115685756E-12</v>
      </c>
      <c r="Q149" s="20">
        <f t="shared" si="108"/>
        <v>1.2017247746441865E-11</v>
      </c>
      <c r="R149" s="59">
        <f t="shared" si="109"/>
        <v>293.33333333334531</v>
      </c>
      <c r="S149" s="59">
        <f ca="1">AVERAGE(OFFSET($R$3,0,0,'Données projet'!$E$9+1,1))-AVERAGE(OFFSET($H$3,0,0,'Données projet'!$E$9+1,1))</f>
        <v>384.05928630855732</v>
      </c>
      <c r="T149" s="59">
        <f t="shared" si="142"/>
        <v>279.93992813630513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127.04197614609298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127.04197614609298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-6.3550942286383367E-14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335.04906256888819</v>
      </c>
      <c r="AO149" s="59">
        <f t="shared" si="144"/>
        <v>440.84111898279554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37.384476585288049</v>
      </c>
      <c r="AV149" s="21">
        <f>EXP(-LN(2)/25)*AV148+(1-EXP(-LN(2)/25))/(LN(2)/25)*Calculateur!AQ149*Calculateur!AS149*VLOOKUP('Données projet'!$B$10,Paramètres!$A$1:$I$89,3,0)*0.475*44/12</f>
        <v>4.6209493067996119</v>
      </c>
      <c r="AW149" s="21">
        <f>EXP(-LN(2)/2)*AW148+(1-EXP(-LN(2)/2))/(LN(2)/2)*AQ149*AT149*VLOOKUP('Données projet'!$B$10,Paramètres!$A$1:$I$89,3,0)*0.475*44/12</f>
        <v>6.8654599418445879E-13</v>
      </c>
      <c r="AX149" s="21">
        <f t="shared" si="114"/>
        <v>42.005425892088347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261.20475283925128</v>
      </c>
      <c r="BJ149" s="59">
        <f t="shared" si="146"/>
        <v>247.06045079522403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36.944447066125115</v>
      </c>
      <c r="BQ149" s="21">
        <f>EXP(-LN(2)/25)*BQ148+(1-EXP(-LN(2)/25))/(LN(2)/25)*Calculateur!BL149*Calculateur!BN149*VLOOKUP('Données projet'!$B$11,Paramètres!$A$1:$I$89,3,0)*0.475*44/12</f>
        <v>5.3287273593905473</v>
      </c>
      <c r="BR149" s="21">
        <f>EXP(-LN(2)/2)*BR148+(1-EXP(-LN(2)/2))/(LN(2)/2)*BL149*BO149*VLOOKUP('Données projet'!$B$11,Paramètres!$A$1:$I$89,3,0)*0.475*44/12</f>
        <v>1.1457943278374416E-10</v>
      </c>
      <c r="BS149" s="22">
        <f t="shared" si="117"/>
        <v>42.273174425630245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-5.1159076974727213E-13</v>
      </c>
      <c r="BZ149" s="13">
        <f>BY149*VLOOKUP('Données projet'!$B$12,Paramètres!$A$1:$I$89,3,0)*VLOOKUP('Données projet'!$B$12,Paramètres!$A$1:$I$89,5,0)</f>
        <v>-2.9262992029543964E-13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268.71706840132384</v>
      </c>
      <c r="CE149" s="59">
        <f t="shared" si="148"/>
        <v>199.92519498289477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45.373824041200187</v>
      </c>
      <c r="CL149" s="21">
        <f>EXP(-LN(2)/25)*CL148+(1-EXP(-LN(2)/25))/(LN(2)/25)*Calculateur!CG149*Calculateur!CI149*VLOOKUP('Données projet'!$B$12,Paramètres!$A$1:$I$89,3,0)*0.475*44/12</f>
        <v>7.7897623339116837</v>
      </c>
      <c r="CM149" s="21">
        <f>EXP(-LN(2)/2)*CM148+(1-EXP(-LN(2)/2))/(LN(2)/2)*CG149*CJ149*VLOOKUP('Données projet'!$B$12,Paramètres!$A$1:$I$89,3,0)*0.475*44/12</f>
        <v>5.8619095414012848E-6</v>
      </c>
      <c r="CN149" s="22">
        <f t="shared" si="120"/>
        <v>53.163592237021412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5.6843418860808015E-13</v>
      </c>
      <c r="O150" s="13">
        <f>N150*VLOOKUP('Données projet'!$B$9,Paramètres!$A$1:$I$89,3,0)*VLOOKUP('Données projet'!$B$9,Paramètres!$A$1:$I$89,5,0)</f>
        <v>5.1431925385259092E-13</v>
      </c>
      <c r="P150" s="13">
        <f t="shared" si="141"/>
        <v>6.3855359115685756E-12</v>
      </c>
      <c r="Q150" s="20">
        <f t="shared" si="108"/>
        <v>1.2017247746441865E-11</v>
      </c>
      <c r="R150" s="59">
        <f t="shared" si="109"/>
        <v>293.33333333334531</v>
      </c>
      <c r="S150" s="59">
        <f ca="1">AVERAGE(OFFSET($R$3,0,0,'Données projet'!$E$9+1,1))-AVERAGE(OFFSET($H$3,0,0,'Données projet'!$E$9+1,1))</f>
        <v>384.05928630855732</v>
      </c>
      <c r="T150" s="59">
        <f t="shared" si="142"/>
        <v>279.93992813630513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124.55076048182224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124.55076048182224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-6.3550942286383367E-14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335.04906256888819</v>
      </c>
      <c r="AO150" s="59">
        <f t="shared" si="144"/>
        <v>440.84111898279554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36.651389801729728</v>
      </c>
      <c r="AV150" s="21">
        <f>EXP(-LN(2)/25)*AV149+(1-EXP(-LN(2)/25))/(LN(2)/25)*Calculateur!AQ150*Calculateur!AS150*VLOOKUP('Données projet'!$B$10,Paramètres!$A$1:$I$89,3,0)*0.475*44/12</f>
        <v>4.4945892050000138</v>
      </c>
      <c r="AW150" s="21">
        <f>EXP(-LN(2)/2)*AW149+(1-EXP(-LN(2)/2))/(LN(2)/2)*AQ150*AT150*VLOOKUP('Données projet'!$B$10,Paramètres!$A$1:$I$89,3,0)*0.475*44/12</f>
        <v>4.8546132808429083E-13</v>
      </c>
      <c r="AX150" s="21">
        <f t="shared" si="114"/>
        <v>41.145979006730222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261.20475283925128</v>
      </c>
      <c r="BJ150" s="59">
        <f t="shared" si="146"/>
        <v>247.06045079522403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36.219988993046073</v>
      </c>
      <c r="BQ150" s="21">
        <f>EXP(-LN(2)/25)*BQ149+(1-EXP(-LN(2)/25))/(LN(2)/25)*Calculateur!BL150*Calculateur!BN150*VLOOKUP('Données projet'!$B$11,Paramètres!$A$1:$I$89,3,0)*0.475*44/12</f>
        <v>5.1830130295224199</v>
      </c>
      <c r="BR150" s="21">
        <f>EXP(-LN(2)/2)*BR149+(1-EXP(-LN(2)/2))/(LN(2)/2)*BL150*BO150*VLOOKUP('Données projet'!$B$11,Paramètres!$A$1:$I$89,3,0)*0.475*44/12</f>
        <v>8.1019893905893715E-11</v>
      </c>
      <c r="BS150" s="22">
        <f t="shared" si="117"/>
        <v>41.403002022649517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-5.1159076974727213E-13</v>
      </c>
      <c r="BZ150" s="13">
        <f>BY150*VLOOKUP('Données projet'!$B$12,Paramètres!$A$1:$I$89,3,0)*VLOOKUP('Données projet'!$B$12,Paramètres!$A$1:$I$89,5,0)</f>
        <v>-2.9262992029543964E-13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268.71706840132384</v>
      </c>
      <c r="CE150" s="59">
        <f t="shared" si="148"/>
        <v>199.92519498289477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44.48407102705221</v>
      </c>
      <c r="CL150" s="21">
        <f>EXP(-LN(2)/25)*CL149+(1-EXP(-LN(2)/25))/(LN(2)/25)*Calculateur!CG150*Calculateur!CI150*VLOOKUP('Données projet'!$B$12,Paramètres!$A$1:$I$89,3,0)*0.475*44/12</f>
        <v>7.5767508732450715</v>
      </c>
      <c r="CM150" s="21">
        <f>EXP(-LN(2)/2)*CM149+(1-EXP(-LN(2)/2))/(LN(2)/2)*CG150*CJ150*VLOOKUP('Données projet'!$B$12,Paramètres!$A$1:$I$89,3,0)*0.475*44/12</f>
        <v>4.1449959874269733E-6</v>
      </c>
      <c r="CN150" s="22">
        <f t="shared" si="120"/>
        <v>52.060826045293275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5.6843418860808015E-13</v>
      </c>
      <c r="O151" s="13">
        <f>N151*VLOOKUP('Données projet'!$B$9,Paramètres!$A$1:$I$89,3,0)*VLOOKUP('Données projet'!$B$9,Paramètres!$A$1:$I$89,5,0)</f>
        <v>5.1431925385259092E-13</v>
      </c>
      <c r="P151" s="13">
        <f t="shared" si="141"/>
        <v>6.3855359115685756E-12</v>
      </c>
      <c r="Q151" s="20">
        <f t="shared" si="108"/>
        <v>1.2017247746441865E-11</v>
      </c>
      <c r="R151" s="59">
        <f t="shared" si="109"/>
        <v>293.33333333334531</v>
      </c>
      <c r="S151" s="59">
        <f ca="1">AVERAGE(OFFSET($R$3,0,0,'Données projet'!$E$9+1,1))-AVERAGE(OFFSET($H$3,0,0,'Données projet'!$E$9+1,1))</f>
        <v>384.05928630855732</v>
      </c>
      <c r="T151" s="59">
        <f t="shared" si="142"/>
        <v>279.93992813630513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122.10839603723633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122.10839603723633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-6.3550942286383367E-14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335.04906256888819</v>
      </c>
      <c r="AO151" s="59">
        <f t="shared" si="144"/>
        <v>440.84111898279554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35.932678402858201</v>
      </c>
      <c r="AV151" s="21">
        <f>EXP(-LN(2)/25)*AV150+(1-EXP(-LN(2)/25))/(LN(2)/25)*Calculateur!AQ151*Calculateur!AS151*VLOOKUP('Données projet'!$B$10,Paramètres!$A$1:$I$89,3,0)*0.475*44/12</f>
        <v>4.3716844268291144</v>
      </c>
      <c r="AW151" s="21">
        <f>EXP(-LN(2)/2)*AW150+(1-EXP(-LN(2)/2))/(LN(2)/2)*AQ151*AT151*VLOOKUP('Données projet'!$B$10,Paramètres!$A$1:$I$89,3,0)*0.475*44/12</f>
        <v>3.432729970922294E-13</v>
      </c>
      <c r="AX151" s="21">
        <f t="shared" si="114"/>
        <v>40.304362829687655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261.20475283925128</v>
      </c>
      <c r="BJ151" s="59">
        <f t="shared" si="146"/>
        <v>247.06045079522403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35.509737100904317</v>
      </c>
      <c r="BQ151" s="21">
        <f>EXP(-LN(2)/25)*BQ150+(1-EXP(-LN(2)/25))/(LN(2)/25)*Calculateur!BL151*Calculateur!BN151*VLOOKUP('Données projet'!$B$11,Paramètres!$A$1:$I$89,3,0)*0.475*44/12</f>
        <v>5.0412832656673201</v>
      </c>
      <c r="BR151" s="21">
        <f>EXP(-LN(2)/2)*BR150+(1-EXP(-LN(2)/2))/(LN(2)/2)*BL151*BO151*VLOOKUP('Données projet'!$B$11,Paramètres!$A$1:$I$89,3,0)*0.475*44/12</f>
        <v>5.7289716391872086E-11</v>
      </c>
      <c r="BS151" s="22">
        <f t="shared" si="117"/>
        <v>40.551020366628926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-5.1159076974727213E-13</v>
      </c>
      <c r="BZ151" s="13">
        <f>BY151*VLOOKUP('Données projet'!$B$12,Paramètres!$A$1:$I$89,3,0)*VLOOKUP('Données projet'!$B$12,Paramètres!$A$1:$I$89,5,0)</f>
        <v>-2.9262992029543964E-13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268.71706840132384</v>
      </c>
      <c r="CE151" s="59">
        <f t="shared" si="148"/>
        <v>199.92519498289477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43.611765526815923</v>
      </c>
      <c r="CL151" s="21">
        <f>EXP(-LN(2)/25)*CL150+(1-EXP(-LN(2)/25))/(LN(2)/25)*Calculateur!CG151*Calculateur!CI151*VLOOKUP('Données projet'!$B$12,Paramètres!$A$1:$I$89,3,0)*0.475*44/12</f>
        <v>7.3695642221721736</v>
      </c>
      <c r="CM151" s="21">
        <f>EXP(-LN(2)/2)*CM150+(1-EXP(-LN(2)/2))/(LN(2)/2)*CG151*CJ151*VLOOKUP('Données projet'!$B$12,Paramètres!$A$1:$I$89,3,0)*0.475*44/12</f>
        <v>2.9309547707006424E-6</v>
      </c>
      <c r="CN151" s="22">
        <f t="shared" si="120"/>
        <v>50.981332679942867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5.6843418860808015E-13</v>
      </c>
      <c r="O152" s="13">
        <f>N152*VLOOKUP('Données projet'!$B$9,Paramètres!$A$1:$I$89,3,0)*VLOOKUP('Données projet'!$B$9,Paramètres!$A$1:$I$89,5,0)</f>
        <v>5.1431925385259092E-13</v>
      </c>
      <c r="P152" s="13">
        <f t="shared" si="141"/>
        <v>6.3855359115685756E-12</v>
      </c>
      <c r="Q152" s="20">
        <f t="shared" si="108"/>
        <v>1.2017247746441865E-11</v>
      </c>
      <c r="R152" s="59">
        <f t="shared" si="109"/>
        <v>293.33333333334531</v>
      </c>
      <c r="S152" s="59">
        <f ca="1">AVERAGE(OFFSET($R$3,0,0,'Données projet'!$E$9+1,1))-AVERAGE(OFFSET($H$3,0,0,'Données projet'!$E$9+1,1))</f>
        <v>384.05928630855732</v>
      </c>
      <c r="T152" s="59">
        <f t="shared" si="142"/>
        <v>279.93992813630513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119.71392486971354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119.71392486971354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-6.3550942286383367E-14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335.04906256888819</v>
      </c>
      <c r="AO152" s="59">
        <f t="shared" si="144"/>
        <v>440.84111898279554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35.228060496147876</v>
      </c>
      <c r="AV152" s="21">
        <f>EXP(-LN(2)/25)*AV151+(1-EXP(-LN(2)/25))/(LN(2)/25)*Calculateur!AQ152*Calculateur!AS152*VLOOKUP('Données projet'!$B$10,Paramètres!$A$1:$I$89,3,0)*0.475*44/12</f>
        <v>4.2521404862805801</v>
      </c>
      <c r="AW152" s="21">
        <f>EXP(-LN(2)/2)*AW151+(1-EXP(-LN(2)/2))/(LN(2)/2)*AQ152*AT152*VLOOKUP('Données projet'!$B$10,Paramètres!$A$1:$I$89,3,0)*0.475*44/12</f>
        <v>2.4273066404214542E-13</v>
      </c>
      <c r="AX152" s="21">
        <f t="shared" si="114"/>
        <v>39.480200982428698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261.20475283925128</v>
      </c>
      <c r="BJ152" s="59">
        <f t="shared" si="146"/>
        <v>247.06045079522403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34.813412815156589</v>
      </c>
      <c r="BQ152" s="21">
        <f>EXP(-LN(2)/25)*BQ151+(1-EXP(-LN(2)/25))/(LN(2)/25)*Calculateur!BL152*Calculateur!BN152*VLOOKUP('Données projet'!$B$11,Paramètres!$A$1:$I$89,3,0)*0.475*44/12</f>
        <v>4.9034291096580827</v>
      </c>
      <c r="BR152" s="21">
        <f>EXP(-LN(2)/2)*BR151+(1-EXP(-LN(2)/2))/(LN(2)/2)*BL152*BO152*VLOOKUP('Données projet'!$B$11,Paramètres!$A$1:$I$89,3,0)*0.475*44/12</f>
        <v>4.0509946952946864E-11</v>
      </c>
      <c r="BS152" s="22">
        <f t="shared" si="117"/>
        <v>39.716841924855181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-5.1159076974727213E-13</v>
      </c>
      <c r="BZ152" s="13">
        <f>BY152*VLOOKUP('Données projet'!$B$12,Paramètres!$A$1:$I$89,3,0)*VLOOKUP('Données projet'!$B$12,Paramètres!$A$1:$I$89,5,0)</f>
        <v>-2.9262992029543964E-13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268.71706840132384</v>
      </c>
      <c r="CE152" s="59">
        <f t="shared" si="148"/>
        <v>199.92519498289477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42.756565405385444</v>
      </c>
      <c r="CL152" s="21">
        <f>EXP(-LN(2)/25)*CL151+(1-EXP(-LN(2)/25))/(LN(2)/25)*Calculateur!CG152*Calculateur!CI152*VLOOKUP('Données projet'!$B$12,Paramètres!$A$1:$I$89,3,0)*0.475*44/12</f>
        <v>7.1680431009683367</v>
      </c>
      <c r="CM152" s="21">
        <f>EXP(-LN(2)/2)*CM151+(1-EXP(-LN(2)/2))/(LN(2)/2)*CG152*CJ152*VLOOKUP('Données projet'!$B$12,Paramètres!$A$1:$I$89,3,0)*0.475*44/12</f>
        <v>2.0724979937134866E-6</v>
      </c>
      <c r="CN152" s="22">
        <f t="shared" si="120"/>
        <v>49.92461057885177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5.6843418860808015E-13</v>
      </c>
      <c r="O153" s="13">
        <f>N153*VLOOKUP('Données projet'!$B$9,Paramètres!$A$1:$I$89,3,0)*VLOOKUP('Données projet'!$B$9,Paramètres!$A$1:$I$89,5,0)</f>
        <v>5.1431925385259092E-13</v>
      </c>
      <c r="P153" s="13">
        <f t="shared" si="141"/>
        <v>6.3855359115685756E-12</v>
      </c>
      <c r="Q153" s="20">
        <f t="shared" si="108"/>
        <v>1.2017247746441865E-11</v>
      </c>
      <c r="R153" s="59">
        <f t="shared" si="109"/>
        <v>293.33333333334531</v>
      </c>
      <c r="S153" s="59">
        <f ca="1">AVERAGE(OFFSET($R$3,0,0,'Données projet'!$E$9+1,1))-AVERAGE(OFFSET($H$3,0,0,'Données projet'!$E$9+1,1))</f>
        <v>384.05928630855732</v>
      </c>
      <c r="T153" s="59">
        <f t="shared" si="142"/>
        <v>279.93992813630513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117.36640782130267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117.36640782130267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-6.3550942286383367E-14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335.04906256888819</v>
      </c>
      <c r="AO153" s="59">
        <f t="shared" si="144"/>
        <v>440.84111898279554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34.537259716813651</v>
      </c>
      <c r="AV153" s="21">
        <f>EXP(-LN(2)/25)*AV152+(1-EXP(-LN(2)/25))/(LN(2)/25)*Calculateur!AQ153*Calculateur!AS153*VLOOKUP('Données projet'!$B$10,Paramètres!$A$1:$I$89,3,0)*0.475*44/12</f>
        <v>4.1358654810728881</v>
      </c>
      <c r="AW153" s="21">
        <f>EXP(-LN(2)/2)*AW152+(1-EXP(-LN(2)/2))/(LN(2)/2)*AQ153*AT153*VLOOKUP('Données projet'!$B$10,Paramètres!$A$1:$I$89,3,0)*0.475*44/12</f>
        <v>1.716364985461147E-13</v>
      </c>
      <c r="AX153" s="21">
        <f t="shared" si="114"/>
        <v>38.673125197886712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261.20475283925128</v>
      </c>
      <c r="BJ153" s="59">
        <f t="shared" si="146"/>
        <v>247.06045079522403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34.130743023936496</v>
      </c>
      <c r="BQ153" s="21">
        <f>EXP(-LN(2)/25)*BQ152+(1-EXP(-LN(2)/25))/(LN(2)/25)*Calculateur!BL153*Calculateur!BN153*VLOOKUP('Données projet'!$B$11,Paramètres!$A$1:$I$89,3,0)*0.475*44/12</f>
        <v>4.7693445827943526</v>
      </c>
      <c r="BR153" s="21">
        <f>EXP(-LN(2)/2)*BR152+(1-EXP(-LN(2)/2))/(LN(2)/2)*BL153*BO153*VLOOKUP('Données projet'!$B$11,Paramètres!$A$1:$I$89,3,0)*0.475*44/12</f>
        <v>2.8644858195936049E-11</v>
      </c>
      <c r="BS153" s="22">
        <f t="shared" si="117"/>
        <v>38.900087606759492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-5.1159076974727213E-13</v>
      </c>
      <c r="BZ153" s="13">
        <f>BY153*VLOOKUP('Données projet'!$B$12,Paramètres!$A$1:$I$89,3,0)*VLOOKUP('Données projet'!$B$12,Paramètres!$A$1:$I$89,5,0)</f>
        <v>-2.9262992029543964E-13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268.71706840132384</v>
      </c>
      <c r="CE153" s="59">
        <f t="shared" si="148"/>
        <v>199.92519498289477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41.918135236715649</v>
      </c>
      <c r="CL153" s="21">
        <f>EXP(-LN(2)/25)*CL152+(1-EXP(-LN(2)/25))/(LN(2)/25)*Calculateur!CG153*Calculateur!CI153*VLOOKUP('Données projet'!$B$12,Paramètres!$A$1:$I$89,3,0)*0.475*44/12</f>
        <v>6.9720325854213536</v>
      </c>
      <c r="CM153" s="21">
        <f>EXP(-LN(2)/2)*CM152+(1-EXP(-LN(2)/2))/(LN(2)/2)*CG153*CJ153*VLOOKUP('Données projet'!$B$12,Paramètres!$A$1:$I$89,3,0)*0.475*44/12</f>
        <v>1.4654773853503212E-6</v>
      </c>
      <c r="CN153" s="22">
        <f t="shared" si="120"/>
        <v>48.890169287614384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5.6843418860808015E-13</v>
      </c>
      <c r="O154" s="13">
        <f>N154*VLOOKUP('Données projet'!$B$9,Paramètres!$A$1:$I$89,3,0)*VLOOKUP('Données projet'!$B$9,Paramètres!$A$1:$I$89,5,0)</f>
        <v>5.1431925385259092E-13</v>
      </c>
      <c r="P154" s="13">
        <f t="shared" si="141"/>
        <v>6.3855359115685756E-12</v>
      </c>
      <c r="Q154" s="20">
        <f t="shared" ref="Q154:Q203" si="162">(O154+P154)*0.475*44/12</f>
        <v>1.2017247746441865E-11</v>
      </c>
      <c r="R154" s="59">
        <f t="shared" si="109"/>
        <v>293.33333333334531</v>
      </c>
      <c r="S154" s="59">
        <f ca="1">AVERAGE(OFFSET($R$3,0,0,'Données projet'!$E$9+1,1))-AVERAGE(OFFSET($H$3,0,0,'Données projet'!$E$9+1,1))</f>
        <v>384.05928630855732</v>
      </c>
      <c r="T154" s="59">
        <f t="shared" si="142"/>
        <v>279.93992813630513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115.06492415036712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115.06492415036712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-6.3550942286383367E-14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335.04906256888819</v>
      </c>
      <c r="AO154" s="59">
        <f t="shared" si="144"/>
        <v>440.84111898279554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33.860005119415305</v>
      </c>
      <c r="AV154" s="21">
        <f>EXP(-LN(2)/25)*AV153+(1-EXP(-LN(2)/25))/(LN(2)/25)*Calculateur!AQ154*Calculateur!AS154*VLOOKUP('Données projet'!$B$10,Paramètres!$A$1:$I$89,3,0)*0.475*44/12</f>
        <v>4.0227700219972373</v>
      </c>
      <c r="AW154" s="21">
        <f>EXP(-LN(2)/2)*AW153+(1-EXP(-LN(2)/2))/(LN(2)/2)*AQ154*AT154*VLOOKUP('Données projet'!$B$10,Paramètres!$A$1:$I$89,3,0)*0.475*44/12</f>
        <v>1.2136533202107271E-13</v>
      </c>
      <c r="AX154" s="21">
        <f t="shared" ref="AX154:AX203" si="166">SUM(AU154:AW154)</f>
        <v>37.882775141412665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261.20475283925128</v>
      </c>
      <c r="BJ154" s="59">
        <f t="shared" si="146"/>
        <v>247.06045079522403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33.461459970934769</v>
      </c>
      <c r="BQ154" s="21">
        <f>EXP(-LN(2)/25)*BQ153+(1-EXP(-LN(2)/25))/(LN(2)/25)*Calculateur!BL154*Calculateur!BN154*VLOOKUP('Données projet'!$B$11,Paramètres!$A$1:$I$89,3,0)*0.475*44/12</f>
        <v>4.6389266043689101</v>
      </c>
      <c r="BR154" s="21">
        <f>EXP(-LN(2)/2)*BR153+(1-EXP(-LN(2)/2))/(LN(2)/2)*BL154*BO154*VLOOKUP('Données projet'!$B$11,Paramètres!$A$1:$I$89,3,0)*0.475*44/12</f>
        <v>2.0254973476473435E-11</v>
      </c>
      <c r="BS154" s="22">
        <f t="shared" ref="BS154:BS203" si="169">SUM(BP154:BR154)</f>
        <v>38.100386575323938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-5.1159076974727213E-13</v>
      </c>
      <c r="BZ154" s="13">
        <f>BY154*VLOOKUP('Données projet'!$B$12,Paramètres!$A$1:$I$89,3,0)*VLOOKUP('Données projet'!$B$12,Paramètres!$A$1:$I$89,5,0)</f>
        <v>-2.9262992029543964E-13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268.71706840132384</v>
      </c>
      <c r="CE154" s="59">
        <f t="shared" si="148"/>
        <v>199.92519498289477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41.096146172261562</v>
      </c>
      <c r="CL154" s="21">
        <f>EXP(-LN(2)/25)*CL153+(1-EXP(-LN(2)/25))/(LN(2)/25)*Calculateur!CG154*Calculateur!CI154*VLOOKUP('Données projet'!$B$12,Paramètres!$A$1:$I$89,3,0)*0.475*44/12</f>
        <v>6.7813819877297474</v>
      </c>
      <c r="CM154" s="21">
        <f>EXP(-LN(2)/2)*CM153+(1-EXP(-LN(2)/2))/(LN(2)/2)*CG154*CJ154*VLOOKUP('Données projet'!$B$12,Paramètres!$A$1:$I$89,3,0)*0.475*44/12</f>
        <v>1.0362489968567433E-6</v>
      </c>
      <c r="CN154" s="22">
        <f t="shared" ref="CN154:CN203" si="172">SUM(CK154:CM154)</f>
        <v>47.877529196240303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5.6843418860808015E-13</v>
      </c>
      <c r="O155" s="13">
        <f>N155*VLOOKUP('Données projet'!$B$9,Paramètres!$A$1:$I$89,3,0)*VLOOKUP('Données projet'!$B$9,Paramètres!$A$1:$I$89,5,0)</f>
        <v>5.1431925385259092E-13</v>
      </c>
      <c r="P155" s="13">
        <f t="shared" si="141"/>
        <v>6.3855359115685756E-12</v>
      </c>
      <c r="Q155" s="20">
        <f t="shared" si="162"/>
        <v>1.2017247746441865E-11</v>
      </c>
      <c r="R155" s="59">
        <f t="shared" si="109"/>
        <v>293.33333333334531</v>
      </c>
      <c r="S155" s="59">
        <f ca="1">AVERAGE(OFFSET($R$3,0,0,'Données projet'!$E$9+1,1))-AVERAGE(OFFSET($H$3,0,0,'Données projet'!$E$9+1,1))</f>
        <v>384.05928630855732</v>
      </c>
      <c r="T155" s="59">
        <f t="shared" si="142"/>
        <v>279.93992813630513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112.80857117045218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112.80857117045218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-6.3550942286383367E-14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335.04906256888819</v>
      </c>
      <c r="AO155" s="59">
        <f t="shared" si="144"/>
        <v>440.84111898279554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33.19603107158742</v>
      </c>
      <c r="AV155" s="21">
        <f>EXP(-LN(2)/25)*AV154+(1-EXP(-LN(2)/25))/(LN(2)/25)*Calculateur!AQ155*Calculateur!AS155*VLOOKUP('Données projet'!$B$10,Paramètres!$A$1:$I$89,3,0)*0.475*44/12</f>
        <v>3.9127671641974415</v>
      </c>
      <c r="AW155" s="21">
        <f>EXP(-LN(2)/2)*AW154+(1-EXP(-LN(2)/2))/(LN(2)/2)*AQ155*AT155*VLOOKUP('Données projet'!$B$10,Paramètres!$A$1:$I$89,3,0)*0.475*44/12</f>
        <v>8.5818249273057349E-14</v>
      </c>
      <c r="AX155" s="21">
        <f t="shared" si="166"/>
        <v>37.108798235784946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261.20475283925128</v>
      </c>
      <c r="BJ155" s="59">
        <f t="shared" si="146"/>
        <v>247.06045079522403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32.805301150380053</v>
      </c>
      <c r="BQ155" s="21">
        <f>EXP(-LN(2)/25)*BQ154+(1-EXP(-LN(2)/25))/(LN(2)/25)*Calculateur!BL155*Calculateur!BN155*VLOOKUP('Données projet'!$B$11,Paramètres!$A$1:$I$89,3,0)*0.475*44/12</f>
        <v>4.5120749124218946</v>
      </c>
      <c r="BR155" s="21">
        <f>EXP(-LN(2)/2)*BR154+(1-EXP(-LN(2)/2))/(LN(2)/2)*BL155*BO155*VLOOKUP('Données projet'!$B$11,Paramètres!$A$1:$I$89,3,0)*0.475*44/12</f>
        <v>1.4322429097968026E-11</v>
      </c>
      <c r="BS155" s="22">
        <f t="shared" si="169"/>
        <v>37.317376062816273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-5.1159076974727213E-13</v>
      </c>
      <c r="BZ155" s="13">
        <f>BY155*VLOOKUP('Données projet'!$B$12,Paramètres!$A$1:$I$89,3,0)*VLOOKUP('Données projet'!$B$12,Paramètres!$A$1:$I$89,5,0)</f>
        <v>-2.9262992029543964E-13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268.71706840132384</v>
      </c>
      <c r="CE155" s="59">
        <f t="shared" si="148"/>
        <v>199.92519498289477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40.290275811997596</v>
      </c>
      <c r="CL155" s="21">
        <f>EXP(-LN(2)/25)*CL154+(1-EXP(-LN(2)/25))/(LN(2)/25)*Calculateur!CG155*Calculateur!CI155*VLOOKUP('Données projet'!$B$12,Paramètres!$A$1:$I$89,3,0)*0.475*44/12</f>
        <v>6.5959447406578979</v>
      </c>
      <c r="CM155" s="21">
        <f>EXP(-LN(2)/2)*CM154+(1-EXP(-LN(2)/2))/(LN(2)/2)*CG155*CJ155*VLOOKUP('Données projet'!$B$12,Paramètres!$A$1:$I$89,3,0)*0.475*44/12</f>
        <v>7.3273869267516059E-7</v>
      </c>
      <c r="CN155" s="22">
        <f t="shared" si="172"/>
        <v>46.886221285394186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5.6843418860808015E-13</v>
      </c>
      <c r="O156" s="13">
        <f>N156*VLOOKUP('Données projet'!$B$9,Paramètres!$A$1:$I$89,3,0)*VLOOKUP('Données projet'!$B$9,Paramètres!$A$1:$I$89,5,0)</f>
        <v>5.1431925385259092E-13</v>
      </c>
      <c r="P156" s="13">
        <f t="shared" si="141"/>
        <v>6.3855359115685756E-12</v>
      </c>
      <c r="Q156" s="20">
        <f t="shared" si="162"/>
        <v>1.2017247746441865E-11</v>
      </c>
      <c r="R156" s="59">
        <f t="shared" si="109"/>
        <v>293.33333333334531</v>
      </c>
      <c r="S156" s="59">
        <f ca="1">AVERAGE(OFFSET($R$3,0,0,'Données projet'!$E$9+1,1))-AVERAGE(OFFSET($H$3,0,0,'Données projet'!$E$9+1,1))</f>
        <v>384.05928630855732</v>
      </c>
      <c r="T156" s="59">
        <f t="shared" si="142"/>
        <v>279.93992813630513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110.59646389623396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110.59646389623396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-6.3550942286383367E-14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335.04906256888819</v>
      </c>
      <c r="AO156" s="59">
        <f t="shared" si="144"/>
        <v>440.84111898279554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32.545077149853263</v>
      </c>
      <c r="AV156" s="21">
        <f>EXP(-LN(2)/25)*AV155+(1-EXP(-LN(2)/25))/(LN(2)/25)*Calculateur!AQ156*Calculateur!AS156*VLOOKUP('Données projet'!$B$10,Paramètres!$A$1:$I$89,3,0)*0.475*44/12</f>
        <v>3.8057723403289803</v>
      </c>
      <c r="AW156" s="21">
        <f>EXP(-LN(2)/2)*AW155+(1-EXP(-LN(2)/2))/(LN(2)/2)*AQ156*AT156*VLOOKUP('Données projet'!$B$10,Paramètres!$A$1:$I$89,3,0)*0.475*44/12</f>
        <v>6.0682666010536354E-14</v>
      </c>
      <c r="AX156" s="21">
        <f t="shared" si="166"/>
        <v>36.350849490182306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261.20475283925128</v>
      </c>
      <c r="BJ156" s="59">
        <f t="shared" si="146"/>
        <v>247.06045079522403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32.162009204079055</v>
      </c>
      <c r="BQ156" s="21">
        <f>EXP(-LN(2)/25)*BQ155+(1-EXP(-LN(2)/25))/(LN(2)/25)*Calculateur!BL156*Calculateur!BN156*VLOOKUP('Données projet'!$B$11,Paramètres!$A$1:$I$89,3,0)*0.475*44/12</f>
        <v>4.3886919866620104</v>
      </c>
      <c r="BR156" s="21">
        <f>EXP(-LN(2)/2)*BR155+(1-EXP(-LN(2)/2))/(LN(2)/2)*BL156*BO156*VLOOKUP('Données projet'!$B$11,Paramètres!$A$1:$I$89,3,0)*0.475*44/12</f>
        <v>1.0127486738236719E-11</v>
      </c>
      <c r="BS156" s="22">
        <f t="shared" si="169"/>
        <v>36.550701190751191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-5.1159076974727213E-13</v>
      </c>
      <c r="BZ156" s="13">
        <f>BY156*VLOOKUP('Données projet'!$B$12,Paramètres!$A$1:$I$89,3,0)*VLOOKUP('Données projet'!$B$12,Paramètres!$A$1:$I$89,5,0)</f>
        <v>-2.9262992029543964E-13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268.71706840132384</v>
      </c>
      <c r="CE156" s="59">
        <f t="shared" si="148"/>
        <v>199.92519498289477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39.500208077966022</v>
      </c>
      <c r="CL156" s="21">
        <f>EXP(-LN(2)/25)*CL155+(1-EXP(-LN(2)/25))/(LN(2)/25)*Calculateur!CG156*Calculateur!CI156*VLOOKUP('Données projet'!$B$12,Paramètres!$A$1:$I$89,3,0)*0.475*44/12</f>
        <v>6.4155782848589489</v>
      </c>
      <c r="CM156" s="21">
        <f>EXP(-LN(2)/2)*CM155+(1-EXP(-LN(2)/2))/(LN(2)/2)*CG156*CJ156*VLOOKUP('Données projet'!$B$12,Paramètres!$A$1:$I$89,3,0)*0.475*44/12</f>
        <v>5.1812449842837166E-7</v>
      </c>
      <c r="CN156" s="22">
        <f t="shared" si="172"/>
        <v>45.915786880949476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5.6843418860808015E-13</v>
      </c>
      <c r="O157" s="13">
        <f>N157*VLOOKUP('Données projet'!$B$9,Paramètres!$A$1:$I$89,3,0)*VLOOKUP('Données projet'!$B$9,Paramètres!$A$1:$I$89,5,0)</f>
        <v>5.1431925385259092E-13</v>
      </c>
      <c r="P157" s="13">
        <f t="shared" si="141"/>
        <v>6.3855359115685756E-12</v>
      </c>
      <c r="Q157" s="20">
        <f t="shared" si="162"/>
        <v>1.2017247746441865E-11</v>
      </c>
      <c r="R157" s="59">
        <f t="shared" si="109"/>
        <v>293.33333333334531</v>
      </c>
      <c r="S157" s="59">
        <f ca="1">AVERAGE(OFFSET($R$3,0,0,'Données projet'!$E$9+1,1))-AVERAGE(OFFSET($H$3,0,0,'Données projet'!$E$9+1,1))</f>
        <v>384.05928630855732</v>
      </c>
      <c r="T157" s="59">
        <f t="shared" si="142"/>
        <v>279.93992813630513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108.42773469641094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108.42773469641094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-6.3550942286383367E-14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335.04906256888819</v>
      </c>
      <c r="AO157" s="59">
        <f t="shared" si="144"/>
        <v>440.84111898279554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31.906888037481625</v>
      </c>
      <c r="AV157" s="21">
        <f>EXP(-LN(2)/25)*AV156+(1-EXP(-LN(2)/25))/(LN(2)/25)*Calculateur!AQ157*Calculateur!AS157*VLOOKUP('Données projet'!$B$10,Paramètres!$A$1:$I$89,3,0)*0.475*44/12</f>
        <v>3.7017032955458151</v>
      </c>
      <c r="AW157" s="21">
        <f>EXP(-LN(2)/2)*AW156+(1-EXP(-LN(2)/2))/(LN(2)/2)*AQ157*AT157*VLOOKUP('Données projet'!$B$10,Paramètres!$A$1:$I$89,3,0)*0.475*44/12</f>
        <v>4.2909124636528675E-14</v>
      </c>
      <c r="AX157" s="21">
        <f t="shared" si="166"/>
        <v>35.608591333027483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261.20475283925128</v>
      </c>
      <c r="BJ157" s="59">
        <f t="shared" si="146"/>
        <v>247.06045079522403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31.531331820475671</v>
      </c>
      <c r="BQ157" s="21">
        <f>EXP(-LN(2)/25)*BQ156+(1-EXP(-LN(2)/25))/(LN(2)/25)*Calculateur!BL157*Calculateur!BN157*VLOOKUP('Données projet'!$B$11,Paramètres!$A$1:$I$89,3,0)*0.475*44/12</f>
        <v>4.2686829734954568</v>
      </c>
      <c r="BR157" s="21">
        <f>EXP(-LN(2)/2)*BR156+(1-EXP(-LN(2)/2))/(LN(2)/2)*BL157*BO157*VLOOKUP('Données projet'!$B$11,Paramètres!$A$1:$I$89,3,0)*0.475*44/12</f>
        <v>7.1612145489840139E-12</v>
      </c>
      <c r="BS157" s="22">
        <f t="shared" si="169"/>
        <v>35.800014793978292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-5.1159076974727213E-13</v>
      </c>
      <c r="BZ157" s="13">
        <f>BY157*VLOOKUP('Données projet'!$B$12,Paramètres!$A$1:$I$89,3,0)*VLOOKUP('Données projet'!$B$12,Paramètres!$A$1:$I$89,5,0)</f>
        <v>-2.9262992029543964E-13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268.71706840132384</v>
      </c>
      <c r="CE157" s="59">
        <f t="shared" si="148"/>
        <v>199.92519498289477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38.725633090305074</v>
      </c>
      <c r="CL157" s="21">
        <f>EXP(-LN(2)/25)*CL156+(1-EXP(-LN(2)/25))/(LN(2)/25)*Calculateur!CG157*Calculateur!CI157*VLOOKUP('Données projet'!$B$12,Paramètres!$A$1:$I$89,3,0)*0.475*44/12</f>
        <v>6.2401439592788819</v>
      </c>
      <c r="CM157" s="21">
        <f>EXP(-LN(2)/2)*CM156+(1-EXP(-LN(2)/2))/(LN(2)/2)*CG157*CJ157*VLOOKUP('Données projet'!$B$12,Paramètres!$A$1:$I$89,3,0)*0.475*44/12</f>
        <v>3.663693463375803E-7</v>
      </c>
      <c r="CN157" s="22">
        <f t="shared" si="172"/>
        <v>44.965777415953305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5.6843418860808015E-13</v>
      </c>
      <c r="O158" s="13">
        <f>N158*VLOOKUP('Données projet'!$B$9,Paramètres!$A$1:$I$89,3,0)*VLOOKUP('Données projet'!$B$9,Paramètres!$A$1:$I$89,5,0)</f>
        <v>5.1431925385259092E-13</v>
      </c>
      <c r="P158" s="13">
        <f t="shared" si="141"/>
        <v>6.3855359115685756E-12</v>
      </c>
      <c r="Q158" s="20">
        <f t="shared" si="162"/>
        <v>1.2017247746441865E-11</v>
      </c>
      <c r="R158" s="59">
        <f t="shared" si="109"/>
        <v>293.33333333334531</v>
      </c>
      <c r="S158" s="59">
        <f ca="1">AVERAGE(OFFSET($R$3,0,0,'Données projet'!$E$9+1,1))-AVERAGE(OFFSET($H$3,0,0,'Données projet'!$E$9+1,1))</f>
        <v>384.05928630855732</v>
      </c>
      <c r="T158" s="59">
        <f t="shared" si="142"/>
        <v>279.93992813630513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106.30153295340226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106.30153295340226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-6.3550942286383367E-14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335.04906256888819</v>
      </c>
      <c r="AO158" s="59">
        <f t="shared" si="144"/>
        <v>440.84111898279554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31.281213424346671</v>
      </c>
      <c r="AV158" s="21">
        <f>EXP(-LN(2)/25)*AV157+(1-EXP(-LN(2)/25))/(LN(2)/25)*Calculateur!AQ158*Calculateur!AS158*VLOOKUP('Données projet'!$B$10,Paramètres!$A$1:$I$89,3,0)*0.475*44/12</f>
        <v>3.600480024264999</v>
      </c>
      <c r="AW158" s="21">
        <f>EXP(-LN(2)/2)*AW157+(1-EXP(-LN(2)/2))/(LN(2)/2)*AQ158*AT158*VLOOKUP('Données projet'!$B$10,Paramètres!$A$1:$I$89,3,0)*0.475*44/12</f>
        <v>3.0341333005268177E-14</v>
      </c>
      <c r="AX158" s="21">
        <f t="shared" si="166"/>
        <v>34.881693448611699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261.20475283925128</v>
      </c>
      <c r="BJ158" s="59">
        <f t="shared" si="146"/>
        <v>247.06045079522403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30.913021635689532</v>
      </c>
      <c r="BQ158" s="21">
        <f>EXP(-LN(2)/25)*BQ157+(1-EXP(-LN(2)/25))/(LN(2)/25)*Calculateur!BL158*Calculateur!BN158*VLOOKUP('Données projet'!$B$11,Paramètres!$A$1:$I$89,3,0)*0.475*44/12</f>
        <v>4.151955613104942</v>
      </c>
      <c r="BR158" s="21">
        <f>EXP(-LN(2)/2)*BR157+(1-EXP(-LN(2)/2))/(LN(2)/2)*BL158*BO158*VLOOKUP('Données projet'!$B$11,Paramètres!$A$1:$I$89,3,0)*0.475*44/12</f>
        <v>5.0637433691183604E-12</v>
      </c>
      <c r="BS158" s="22">
        <f t="shared" si="169"/>
        <v>35.064977248799543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-5.1159076974727213E-13</v>
      </c>
      <c r="BZ158" s="13">
        <f>BY158*VLOOKUP('Données projet'!$B$12,Paramètres!$A$1:$I$89,3,0)*VLOOKUP('Données projet'!$B$12,Paramètres!$A$1:$I$89,5,0)</f>
        <v>-2.9262992029543964E-13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268.71706840132384</v>
      </c>
      <c r="CE158" s="59">
        <f t="shared" si="148"/>
        <v>199.92519498289477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37.966247045708066</v>
      </c>
      <c r="CL158" s="21">
        <f>EXP(-LN(2)/25)*CL157+(1-EXP(-LN(2)/25))/(LN(2)/25)*Calculateur!CG158*Calculateur!CI158*VLOOKUP('Données projet'!$B$12,Paramètres!$A$1:$I$89,3,0)*0.475*44/12</f>
        <v>6.0695068945574917</v>
      </c>
      <c r="CM158" s="21">
        <f>EXP(-LN(2)/2)*CM157+(1-EXP(-LN(2)/2))/(LN(2)/2)*CG158*CJ158*VLOOKUP('Données projet'!$B$12,Paramètres!$A$1:$I$89,3,0)*0.475*44/12</f>
        <v>2.5906224921418583E-7</v>
      </c>
      <c r="CN158" s="22">
        <f t="shared" si="172"/>
        <v>44.035754199327805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5.6843418860808015E-13</v>
      </c>
      <c r="O159" s="13">
        <f>N159*VLOOKUP('Données projet'!$B$9,Paramètres!$A$1:$I$89,3,0)*VLOOKUP('Données projet'!$B$9,Paramètres!$A$1:$I$89,5,0)</f>
        <v>5.1431925385259092E-13</v>
      </c>
      <c r="P159" s="13">
        <f t="shared" si="141"/>
        <v>6.3855359115685756E-12</v>
      </c>
      <c r="Q159" s="20">
        <f t="shared" si="162"/>
        <v>1.2017247746441865E-11</v>
      </c>
      <c r="R159" s="59">
        <f t="shared" si="109"/>
        <v>293.33333333334531</v>
      </c>
      <c r="S159" s="59">
        <f ca="1">AVERAGE(OFFSET($R$3,0,0,'Données projet'!$E$9+1,1))-AVERAGE(OFFSET($H$3,0,0,'Données projet'!$E$9+1,1))</f>
        <v>384.05928630855732</v>
      </c>
      <c r="T159" s="59">
        <f t="shared" si="142"/>
        <v>279.93992813630513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104.21702472971897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104.21702472971897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-6.3550942286383367E-14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335.04906256888819</v>
      </c>
      <c r="AO159" s="59">
        <f t="shared" si="144"/>
        <v>440.84111898279554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30.667807908751463</v>
      </c>
      <c r="AV159" s="21">
        <f>EXP(-LN(2)/25)*AV158+(1-EXP(-LN(2)/25))/(LN(2)/25)*Calculateur!AQ159*Calculateur!AS159*VLOOKUP('Données projet'!$B$10,Paramètres!$A$1:$I$89,3,0)*0.475*44/12</f>
        <v>3.502024708660457</v>
      </c>
      <c r="AW159" s="21">
        <f>EXP(-LN(2)/2)*AW158+(1-EXP(-LN(2)/2))/(LN(2)/2)*AQ159*AT159*VLOOKUP('Données projet'!$B$10,Paramètres!$A$1:$I$89,3,0)*0.475*44/12</f>
        <v>2.1454562318264337E-14</v>
      </c>
      <c r="AX159" s="21">
        <f t="shared" si="166"/>
        <v>34.169832617411942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261.20475283925128</v>
      </c>
      <c r="BJ159" s="59">
        <f t="shared" si="146"/>
        <v>247.06045079522403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30.306836136495072</v>
      </c>
      <c r="BQ159" s="21">
        <f>EXP(-LN(2)/25)*BQ158+(1-EXP(-LN(2)/25))/(LN(2)/25)*Calculateur!BL159*Calculateur!BN159*VLOOKUP('Données projet'!$B$11,Paramètres!$A$1:$I$89,3,0)*0.475*44/12</f>
        <v>4.0384201685227312</v>
      </c>
      <c r="BR159" s="21">
        <f>EXP(-LN(2)/2)*BR158+(1-EXP(-LN(2)/2))/(LN(2)/2)*BL159*BO159*VLOOKUP('Données projet'!$B$11,Paramètres!$A$1:$I$89,3,0)*0.475*44/12</f>
        <v>3.5806072744920078E-12</v>
      </c>
      <c r="BS159" s="22">
        <f t="shared" si="169"/>
        <v>34.345256305021387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-5.1159076974727213E-13</v>
      </c>
      <c r="BZ159" s="13">
        <f>BY159*VLOOKUP('Données projet'!$B$12,Paramètres!$A$1:$I$89,3,0)*VLOOKUP('Données projet'!$B$12,Paramètres!$A$1:$I$89,5,0)</f>
        <v>-2.9262992029543964E-13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268.71706840132384</v>
      </c>
      <c r="CE159" s="59">
        <f t="shared" si="148"/>
        <v>199.92519498289477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37.221752098265853</v>
      </c>
      <c r="CL159" s="21">
        <f>EXP(-LN(2)/25)*CL158+(1-EXP(-LN(2)/25))/(LN(2)/25)*Calculateur!CG159*Calculateur!CI159*VLOOKUP('Données projet'!$B$12,Paramètres!$A$1:$I$89,3,0)*0.475*44/12</f>
        <v>5.9035359093443214</v>
      </c>
      <c r="CM159" s="21">
        <f>EXP(-LN(2)/2)*CM158+(1-EXP(-LN(2)/2))/(LN(2)/2)*CG159*CJ159*VLOOKUP('Données projet'!$B$12,Paramètres!$A$1:$I$89,3,0)*0.475*44/12</f>
        <v>1.8318467316879015E-7</v>
      </c>
      <c r="CN159" s="22">
        <f t="shared" si="172"/>
        <v>43.125288190794848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5.6843418860808015E-13</v>
      </c>
      <c r="O160" s="13">
        <f>N160*VLOOKUP('Données projet'!$B$9,Paramètres!$A$1:$I$89,3,0)*VLOOKUP('Données projet'!$B$9,Paramètres!$A$1:$I$89,5,0)</f>
        <v>5.1431925385259092E-13</v>
      </c>
      <c r="P160" s="13">
        <f t="shared" si="141"/>
        <v>6.3855359115685756E-12</v>
      </c>
      <c r="Q160" s="20">
        <f t="shared" si="162"/>
        <v>1.2017247746441865E-11</v>
      </c>
      <c r="R160" s="59">
        <f t="shared" si="109"/>
        <v>293.33333333334531</v>
      </c>
      <c r="S160" s="59">
        <f ca="1">AVERAGE(OFFSET($R$3,0,0,'Données projet'!$E$9+1,1))-AVERAGE(OFFSET($H$3,0,0,'Données projet'!$E$9+1,1))</f>
        <v>384.05928630855732</v>
      </c>
      <c r="T160" s="59">
        <f t="shared" si="142"/>
        <v>279.93992813630513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102.17339244087763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102.17339244087763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-6.3550942286383367E-14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335.04906256888819</v>
      </c>
      <c r="AO160" s="59">
        <f t="shared" si="144"/>
        <v>440.84111898279554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30.066430901176656</v>
      </c>
      <c r="AV160" s="21">
        <f>EXP(-LN(2)/25)*AV159+(1-EXP(-LN(2)/25))/(LN(2)/25)*Calculateur!AQ160*Calculateur!AS160*VLOOKUP('Données projet'!$B$10,Paramètres!$A$1:$I$89,3,0)*0.475*44/12</f>
        <v>3.4062616588386612</v>
      </c>
      <c r="AW160" s="21">
        <f>EXP(-LN(2)/2)*AW159+(1-EXP(-LN(2)/2))/(LN(2)/2)*AQ160*AT160*VLOOKUP('Données projet'!$B$10,Paramètres!$A$1:$I$89,3,0)*0.475*44/12</f>
        <v>1.5170666502634088E-14</v>
      </c>
      <c r="AX160" s="21">
        <f t="shared" si="166"/>
        <v>33.472692560015332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261.20475283925128</v>
      </c>
      <c r="BJ160" s="59">
        <f t="shared" si="146"/>
        <v>247.06045079522403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29.712537565203171</v>
      </c>
      <c r="BQ160" s="21">
        <f>EXP(-LN(2)/25)*BQ159+(1-EXP(-LN(2)/25))/(LN(2)/25)*Calculateur!BL160*Calculateur!BN160*VLOOKUP('Données projet'!$B$11,Paramètres!$A$1:$I$89,3,0)*0.475*44/12</f>
        <v>3.9279893566431903</v>
      </c>
      <c r="BR160" s="21">
        <f>EXP(-LN(2)/2)*BR159+(1-EXP(-LN(2)/2))/(LN(2)/2)*BL160*BO160*VLOOKUP('Données projet'!$B$11,Paramètres!$A$1:$I$89,3,0)*0.475*44/12</f>
        <v>2.5318716845591806E-12</v>
      </c>
      <c r="BS160" s="22">
        <f t="shared" si="169"/>
        <v>33.640526921848888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-5.1159076974727213E-13</v>
      </c>
      <c r="BZ160" s="13">
        <f>BY160*VLOOKUP('Données projet'!$B$12,Paramètres!$A$1:$I$89,3,0)*VLOOKUP('Données projet'!$B$12,Paramètres!$A$1:$I$89,5,0)</f>
        <v>-2.9262992029543964E-13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268.71706840132384</v>
      </c>
      <c r="CE160" s="59">
        <f t="shared" si="148"/>
        <v>199.92519498289477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36.491856242645902</v>
      </c>
      <c r="CL160" s="21">
        <f>EXP(-LN(2)/25)*CL159+(1-EXP(-LN(2)/25))/(LN(2)/25)*Calculateur!CG160*Calculateur!CI160*VLOOKUP('Données projet'!$B$12,Paramètres!$A$1:$I$89,3,0)*0.475*44/12</f>
        <v>5.7421034094498404</v>
      </c>
      <c r="CM160" s="21">
        <f>EXP(-LN(2)/2)*CM159+(1-EXP(-LN(2)/2))/(LN(2)/2)*CG160*CJ160*VLOOKUP('Données projet'!$B$12,Paramètres!$A$1:$I$89,3,0)*0.475*44/12</f>
        <v>1.2953112460709292E-7</v>
      </c>
      <c r="CN160" s="22">
        <f t="shared" si="172"/>
        <v>42.233959781626865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5.6843418860808015E-13</v>
      </c>
      <c r="O161" s="13">
        <f>N161*VLOOKUP('Données projet'!$B$9,Paramètres!$A$1:$I$89,3,0)*VLOOKUP('Données projet'!$B$9,Paramètres!$A$1:$I$89,5,0)</f>
        <v>5.1431925385259092E-13</v>
      </c>
      <c r="P161" s="13">
        <f t="shared" si="141"/>
        <v>6.3855359115685756E-12</v>
      </c>
      <c r="Q161" s="20">
        <f t="shared" si="162"/>
        <v>1.2017247746441865E-11</v>
      </c>
      <c r="R161" s="59">
        <f t="shared" si="109"/>
        <v>293.33333333334531</v>
      </c>
      <c r="S161" s="59">
        <f ca="1">AVERAGE(OFFSET($R$3,0,0,'Données projet'!$E$9+1,1))-AVERAGE(OFFSET($H$3,0,0,'Données projet'!$E$9+1,1))</f>
        <v>384.05928630855732</v>
      </c>
      <c r="T161" s="59">
        <f t="shared" si="142"/>
        <v>279.93992813630513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100.16983453472787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100.16983453472787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-6.3550942286383367E-14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335.04906256888819</v>
      </c>
      <c r="AO161" s="59">
        <f t="shared" si="144"/>
        <v>440.84111898279554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29.476846529916635</v>
      </c>
      <c r="AV161" s="21">
        <f>EXP(-LN(2)/25)*AV160+(1-EXP(-LN(2)/25))/(LN(2)/25)*Calculateur!AQ161*Calculateur!AS161*VLOOKUP('Données projet'!$B$10,Paramètres!$A$1:$I$89,3,0)*0.475*44/12</f>
        <v>3.3131172546502023</v>
      </c>
      <c r="AW161" s="21">
        <f>EXP(-LN(2)/2)*AW160+(1-EXP(-LN(2)/2))/(LN(2)/2)*AQ161*AT161*VLOOKUP('Données projet'!$B$10,Paramètres!$A$1:$I$89,3,0)*0.475*44/12</f>
        <v>1.0727281159132169E-14</v>
      </c>
      <c r="AX161" s="21">
        <f t="shared" si="166"/>
        <v>32.789963784566851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261.20475283925128</v>
      </c>
      <c r="BJ161" s="59">
        <f t="shared" si="146"/>
        <v>247.06045079522403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29.129892826407968</v>
      </c>
      <c r="BQ161" s="21">
        <f>EXP(-LN(2)/25)*BQ160+(1-EXP(-LN(2)/25))/(LN(2)/25)*Calculateur!BL161*Calculateur!BN161*VLOOKUP('Données projet'!$B$11,Paramètres!$A$1:$I$89,3,0)*0.475*44/12</f>
        <v>3.8205782811217994</v>
      </c>
      <c r="BR161" s="21">
        <f>EXP(-LN(2)/2)*BR160+(1-EXP(-LN(2)/2))/(LN(2)/2)*BL161*BO161*VLOOKUP('Données projet'!$B$11,Paramètres!$A$1:$I$89,3,0)*0.475*44/12</f>
        <v>1.7903036372460041E-12</v>
      </c>
      <c r="BS161" s="22">
        <f t="shared" si="169"/>
        <v>32.950471107531556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-5.1159076974727213E-13</v>
      </c>
      <c r="BZ161" s="13">
        <f>BY161*VLOOKUP('Données projet'!$B$12,Paramètres!$A$1:$I$89,3,0)*VLOOKUP('Données projet'!$B$12,Paramètres!$A$1:$I$89,5,0)</f>
        <v>-2.9262992029543964E-13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268.71706840132384</v>
      </c>
      <c r="CE161" s="59">
        <f t="shared" si="148"/>
        <v>199.92519498289477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35.776273199562148</v>
      </c>
      <c r="CL161" s="21">
        <f>EXP(-LN(2)/25)*CL160+(1-EXP(-LN(2)/25))/(LN(2)/25)*Calculateur!CG161*Calculateur!CI161*VLOOKUP('Données projet'!$B$12,Paramètres!$A$1:$I$89,3,0)*0.475*44/12</f>
        <v>5.5850852897543399</v>
      </c>
      <c r="CM161" s="21">
        <f>EXP(-LN(2)/2)*CM160+(1-EXP(-LN(2)/2))/(LN(2)/2)*CG161*CJ161*VLOOKUP('Données projet'!$B$12,Paramètres!$A$1:$I$89,3,0)*0.475*44/12</f>
        <v>9.1592336584395074E-8</v>
      </c>
      <c r="CN161" s="22">
        <f t="shared" si="172"/>
        <v>41.361358580908821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5.6843418860808015E-13</v>
      </c>
      <c r="O162" s="13">
        <f>N162*VLOOKUP('Données projet'!$B$9,Paramètres!$A$1:$I$89,3,0)*VLOOKUP('Données projet'!$B$9,Paramètres!$A$1:$I$89,5,0)</f>
        <v>5.1431925385259092E-13</v>
      </c>
      <c r="P162" s="13">
        <f t="shared" si="141"/>
        <v>6.3855359115685756E-12</v>
      </c>
      <c r="Q162" s="20">
        <f t="shared" si="162"/>
        <v>1.2017247746441865E-11</v>
      </c>
      <c r="R162" s="59">
        <f t="shared" si="109"/>
        <v>293.33333333334531</v>
      </c>
      <c r="S162" s="59">
        <f ca="1">AVERAGE(OFFSET($R$3,0,0,'Données projet'!$E$9+1,1))-AVERAGE(OFFSET($H$3,0,0,'Données projet'!$E$9+1,1))</f>
        <v>384.05928630855732</v>
      </c>
      <c r="T162" s="59">
        <f t="shared" si="142"/>
        <v>279.93992813630513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98.205565177068038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98.205565177068038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-6.3550942286383367E-14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335.04906256888819</v>
      </c>
      <c r="AO162" s="59">
        <f t="shared" si="144"/>
        <v>440.84111898279554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28.898823548566064</v>
      </c>
      <c r="AV162" s="21">
        <f>EXP(-LN(2)/25)*AV161+(1-EXP(-LN(2)/25))/(LN(2)/25)*Calculateur!AQ162*Calculateur!AS162*VLOOKUP('Données projet'!$B$10,Paramètres!$A$1:$I$89,3,0)*0.475*44/12</f>
        <v>3.2225198890925282</v>
      </c>
      <c r="AW162" s="21">
        <f>EXP(-LN(2)/2)*AW161+(1-EXP(-LN(2)/2))/(LN(2)/2)*AQ162*AT162*VLOOKUP('Données projet'!$B$10,Paramètres!$A$1:$I$89,3,0)*0.475*44/12</f>
        <v>7.5853332513170442E-15</v>
      </c>
      <c r="AX162" s="21">
        <f t="shared" si="166"/>
        <v>32.121343437658602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261.20475283925128</v>
      </c>
      <c r="BJ162" s="59">
        <f t="shared" si="146"/>
        <v>247.06045079522403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28.558673395562337</v>
      </c>
      <c r="BQ162" s="21">
        <f>EXP(-LN(2)/25)*BQ161+(1-EXP(-LN(2)/25))/(LN(2)/25)*Calculateur!BL162*Calculateur!BN162*VLOOKUP('Données projet'!$B$11,Paramètres!$A$1:$I$89,3,0)*0.475*44/12</f>
        <v>3.7161043671090441</v>
      </c>
      <c r="BR162" s="21">
        <f>EXP(-LN(2)/2)*BR161+(1-EXP(-LN(2)/2))/(LN(2)/2)*BL162*BO162*VLOOKUP('Données projet'!$B$11,Paramètres!$A$1:$I$89,3,0)*0.475*44/12</f>
        <v>1.2659358422795905E-12</v>
      </c>
      <c r="BS162" s="22">
        <f t="shared" si="169"/>
        <v>32.274777762672649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-5.1159076974727213E-13</v>
      </c>
      <c r="BZ162" s="13">
        <f>BY162*VLOOKUP('Données projet'!$B$12,Paramètres!$A$1:$I$89,3,0)*VLOOKUP('Données projet'!$B$12,Paramètres!$A$1:$I$89,5,0)</f>
        <v>-2.9262992029543964E-13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268.71706840132384</v>
      </c>
      <c r="CE162" s="59">
        <f t="shared" si="148"/>
        <v>199.92519498289477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35.074722303490702</v>
      </c>
      <c r="CL162" s="21">
        <f>EXP(-LN(2)/25)*CL161+(1-EXP(-LN(2)/25))/(LN(2)/25)*Calculateur!CG162*Calculateur!CI162*VLOOKUP('Données projet'!$B$12,Paramètres!$A$1:$I$89,3,0)*0.475*44/12</f>
        <v>5.4323608387991369</v>
      </c>
      <c r="CM162" s="21">
        <f>EXP(-LN(2)/2)*CM161+(1-EXP(-LN(2)/2))/(LN(2)/2)*CG162*CJ162*VLOOKUP('Données projet'!$B$12,Paramètres!$A$1:$I$89,3,0)*0.475*44/12</f>
        <v>6.4765562303546458E-8</v>
      </c>
      <c r="CN162" s="22">
        <f t="shared" si="172"/>
        <v>40.507083207055402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5.6843418860808015E-13</v>
      </c>
      <c r="O163" s="13">
        <f>N163*VLOOKUP('Données projet'!$B$9,Paramètres!$A$1:$I$89,3,0)*VLOOKUP('Données projet'!$B$9,Paramètres!$A$1:$I$89,5,0)</f>
        <v>5.1431925385259092E-13</v>
      </c>
      <c r="P163" s="13">
        <f t="shared" si="141"/>
        <v>6.3855359115685756E-12</v>
      </c>
      <c r="Q163" s="20">
        <f t="shared" si="162"/>
        <v>1.2017247746441865E-11</v>
      </c>
      <c r="R163" s="59">
        <f t="shared" si="109"/>
        <v>293.33333333334531</v>
      </c>
      <c r="S163" s="59">
        <f ca="1">AVERAGE(OFFSET($R$3,0,0,'Données projet'!$E$9+1,1))-AVERAGE(OFFSET($H$3,0,0,'Données projet'!$E$9+1,1))</f>
        <v>384.05928630855732</v>
      </c>
      <c r="T163" s="59">
        <f t="shared" si="142"/>
        <v>279.93992813630513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96.279813943425907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96.279813943425907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-6.3550942286383367E-14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335.04906256888819</v>
      </c>
      <c r="AO163" s="59">
        <f t="shared" si="144"/>
        <v>440.84111898279554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28.332135245320572</v>
      </c>
      <c r="AV163" s="21">
        <f>EXP(-LN(2)/25)*AV162+(1-EXP(-LN(2)/25))/(LN(2)/25)*Calculateur!AQ163*Calculateur!AS163*VLOOKUP('Données projet'!$B$10,Paramètres!$A$1:$I$89,3,0)*0.475*44/12</f>
        <v>3.1343999132603373</v>
      </c>
      <c r="AW163" s="21">
        <f>EXP(-LN(2)/2)*AW162+(1-EXP(-LN(2)/2))/(LN(2)/2)*AQ163*AT163*VLOOKUP('Données projet'!$B$10,Paramètres!$A$1:$I$89,3,0)*0.475*44/12</f>
        <v>5.3636405795660843E-15</v>
      </c>
      <c r="AX163" s="21">
        <f t="shared" si="166"/>
        <v>31.466535158580918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261.20475283925128</v>
      </c>
      <c r="BJ163" s="59">
        <f t="shared" si="146"/>
        <v>247.06045079522403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27.998655229346141</v>
      </c>
      <c r="BQ163" s="21">
        <f>EXP(-LN(2)/25)*BQ162+(1-EXP(-LN(2)/25))/(LN(2)/25)*Calculateur!BL163*Calculateur!BN163*VLOOKUP('Données projet'!$B$11,Paramètres!$A$1:$I$89,3,0)*0.475*44/12</f>
        <v>3.6144872977690121</v>
      </c>
      <c r="BR163" s="21">
        <f>EXP(-LN(2)/2)*BR162+(1-EXP(-LN(2)/2))/(LN(2)/2)*BL163*BO163*VLOOKUP('Données projet'!$B$11,Paramètres!$A$1:$I$89,3,0)*0.475*44/12</f>
        <v>8.9515181862300225E-13</v>
      </c>
      <c r="BS163" s="22">
        <f t="shared" si="169"/>
        <v>31.61314252711605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-5.1159076974727213E-13</v>
      </c>
      <c r="BZ163" s="13">
        <f>BY163*VLOOKUP('Données projet'!$B$12,Paramètres!$A$1:$I$89,3,0)*VLOOKUP('Données projet'!$B$12,Paramètres!$A$1:$I$89,5,0)</f>
        <v>-2.9262992029543964E-13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268.71706840132384</v>
      </c>
      <c r="CE163" s="59">
        <f t="shared" si="148"/>
        <v>199.92519498289477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34.386928392587429</v>
      </c>
      <c r="CL163" s="21">
        <f>EXP(-LN(2)/25)*CL162+(1-EXP(-LN(2)/25))/(LN(2)/25)*Calculateur!CG163*Calculateur!CI163*VLOOKUP('Données projet'!$B$12,Paramètres!$A$1:$I$89,3,0)*0.475*44/12</f>
        <v>5.2838126459867336</v>
      </c>
      <c r="CM163" s="21">
        <f>EXP(-LN(2)/2)*CM162+(1-EXP(-LN(2)/2))/(LN(2)/2)*CG163*CJ163*VLOOKUP('Données projet'!$B$12,Paramètres!$A$1:$I$89,3,0)*0.475*44/12</f>
        <v>4.5796168292197537E-8</v>
      </c>
      <c r="CN163" s="22">
        <f t="shared" si="172"/>
        <v>39.670741084370334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5.6843418860808015E-13</v>
      </c>
      <c r="O164" s="13">
        <f>N164*VLOOKUP('Données projet'!$B$9,Paramètres!$A$1:$I$89,3,0)*VLOOKUP('Données projet'!$B$9,Paramètres!$A$1:$I$89,5,0)</f>
        <v>5.1431925385259092E-13</v>
      </c>
      <c r="P164" s="13">
        <f t="shared" si="141"/>
        <v>6.3855359115685756E-12</v>
      </c>
      <c r="Q164" s="20">
        <f t="shared" si="162"/>
        <v>1.2017247746441865E-11</v>
      </c>
      <c r="R164" s="59">
        <f t="shared" si="109"/>
        <v>293.33333333334531</v>
      </c>
      <c r="S164" s="59">
        <f ca="1">AVERAGE(OFFSET($R$3,0,0,'Données projet'!$E$9+1,1))-AVERAGE(OFFSET($H$3,0,0,'Données projet'!$E$9+1,1))</f>
        <v>384.05928630855732</v>
      </c>
      <c r="T164" s="59">
        <f t="shared" si="142"/>
        <v>279.93992813630513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94.39182551688323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94.39182551688323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-6.3550942286383367E-14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335.04906256888819</v>
      </c>
      <c r="AO164" s="59">
        <f t="shared" si="144"/>
        <v>440.84111898279554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27.776559354055987</v>
      </c>
      <c r="AV164" s="21">
        <f>EXP(-LN(2)/25)*AV163+(1-EXP(-LN(2)/25))/(LN(2)/25)*Calculateur!AQ164*Calculateur!AS164*VLOOKUP('Données projet'!$B$10,Paramètres!$A$1:$I$89,3,0)*0.475*44/12</f>
        <v>3.0486895828013059</v>
      </c>
      <c r="AW164" s="21">
        <f>EXP(-LN(2)/2)*AW163+(1-EXP(-LN(2)/2))/(LN(2)/2)*AQ164*AT164*VLOOKUP('Données projet'!$B$10,Paramètres!$A$1:$I$89,3,0)*0.475*44/12</f>
        <v>3.7926666256585221E-15</v>
      </c>
      <c r="AX164" s="21">
        <f t="shared" si="166"/>
        <v>30.825248936857296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261.20475283925128</v>
      </c>
      <c r="BJ164" s="59">
        <f t="shared" si="146"/>
        <v>247.06045079522403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27.449618677792092</v>
      </c>
      <c r="BQ164" s="21">
        <f>EXP(-LN(2)/25)*BQ163+(1-EXP(-LN(2)/25))/(LN(2)/25)*Calculateur!BL164*Calculateur!BN164*VLOOKUP('Données projet'!$B$11,Paramètres!$A$1:$I$89,3,0)*0.475*44/12</f>
        <v>3.5156489525338923</v>
      </c>
      <c r="BR164" s="21">
        <f>EXP(-LN(2)/2)*BR163+(1-EXP(-LN(2)/2))/(LN(2)/2)*BL164*BO164*VLOOKUP('Données projet'!$B$11,Paramètres!$A$1:$I$89,3,0)*0.475*44/12</f>
        <v>6.3296792113979536E-13</v>
      </c>
      <c r="BS164" s="22">
        <f t="shared" si="169"/>
        <v>30.965267630326615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-5.1159076974727213E-13</v>
      </c>
      <c r="BZ164" s="13">
        <f>BY164*VLOOKUP('Données projet'!$B$12,Paramètres!$A$1:$I$89,3,0)*VLOOKUP('Données projet'!$B$12,Paramètres!$A$1:$I$89,5,0)</f>
        <v>-2.9262992029543964E-13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268.71706840132384</v>
      </c>
      <c r="CE164" s="59">
        <f t="shared" si="148"/>
        <v>199.92519498289477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33.712621700764103</v>
      </c>
      <c r="CL164" s="21">
        <f>EXP(-LN(2)/25)*CL163+(1-EXP(-LN(2)/25))/(LN(2)/25)*Calculateur!CG164*Calculateur!CI164*VLOOKUP('Données projet'!$B$12,Paramètres!$A$1:$I$89,3,0)*0.475*44/12</f>
        <v>5.139326511318596</v>
      </c>
      <c r="CM164" s="21">
        <f>EXP(-LN(2)/2)*CM163+(1-EXP(-LN(2)/2))/(LN(2)/2)*CG164*CJ164*VLOOKUP('Données projet'!$B$12,Paramètres!$A$1:$I$89,3,0)*0.475*44/12</f>
        <v>3.2382781151773229E-8</v>
      </c>
      <c r="CN164" s="22">
        <f t="shared" si="172"/>
        <v>38.851948244465476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5.6843418860808015E-13</v>
      </c>
      <c r="O165" s="13">
        <f>N165*VLOOKUP('Données projet'!$B$9,Paramètres!$A$1:$I$89,3,0)*VLOOKUP('Données projet'!$B$9,Paramètres!$A$1:$I$89,5,0)</f>
        <v>5.1431925385259092E-13</v>
      </c>
      <c r="P165" s="13">
        <f t="shared" si="141"/>
        <v>6.3855359115685756E-12</v>
      </c>
      <c r="Q165" s="20">
        <f t="shared" si="162"/>
        <v>1.2017247746441865E-11</v>
      </c>
      <c r="R165" s="59">
        <f t="shared" si="109"/>
        <v>293.33333333334531</v>
      </c>
      <c r="S165" s="59">
        <f ca="1">AVERAGE(OFFSET($R$3,0,0,'Données projet'!$E$9+1,1))-AVERAGE(OFFSET($H$3,0,0,'Données projet'!$E$9+1,1))</f>
        <v>384.05928630855732</v>
      </c>
      <c r="T165" s="59">
        <f t="shared" si="142"/>
        <v>279.93992813630513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92.540859391825819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92.540859391825819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-6.3550942286383367E-14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335.04906256888819</v>
      </c>
      <c r="AO165" s="59">
        <f t="shared" si="144"/>
        <v>440.84111898279554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27.23187796715127</v>
      </c>
      <c r="AV165" s="21">
        <f>EXP(-LN(2)/25)*AV164+(1-EXP(-LN(2)/25))/(LN(2)/25)*Calculateur!AQ165*Calculateur!AS165*VLOOKUP('Données projet'!$B$10,Paramètres!$A$1:$I$89,3,0)*0.475*44/12</f>
        <v>2.965323005835987</v>
      </c>
      <c r="AW165" s="21">
        <f>EXP(-LN(2)/2)*AW164+(1-EXP(-LN(2)/2))/(LN(2)/2)*AQ165*AT165*VLOOKUP('Données projet'!$B$10,Paramètres!$A$1:$I$89,3,0)*0.475*44/12</f>
        <v>2.6818202897830422E-15</v>
      </c>
      <c r="AX165" s="21">
        <f t="shared" si="166"/>
        <v>30.197200972987261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261.20475283925128</v>
      </c>
      <c r="BJ165" s="59">
        <f t="shared" si="146"/>
        <v>247.06045079522403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26.911348398134788</v>
      </c>
      <c r="BQ165" s="21">
        <f>EXP(-LN(2)/25)*BQ164+(1-EXP(-LN(2)/25))/(LN(2)/25)*Calculateur!BL165*Calculateur!BN165*VLOOKUP('Données projet'!$B$11,Paramètres!$A$1:$I$89,3,0)*0.475*44/12</f>
        <v>3.4195133470469097</v>
      </c>
      <c r="BR165" s="21">
        <f>EXP(-LN(2)/2)*BR164+(1-EXP(-LN(2)/2))/(LN(2)/2)*BL165*BO165*VLOOKUP('Données projet'!$B$11,Paramètres!$A$1:$I$89,3,0)*0.475*44/12</f>
        <v>4.4757590931150117E-13</v>
      </c>
      <c r="BS165" s="22">
        <f t="shared" si="169"/>
        <v>30.330861745182144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-5.1159076974727213E-13</v>
      </c>
      <c r="BZ165" s="13">
        <f>BY165*VLOOKUP('Données projet'!$B$12,Paramètres!$A$1:$I$89,3,0)*VLOOKUP('Données projet'!$B$12,Paramètres!$A$1:$I$89,5,0)</f>
        <v>-2.9262992029543964E-13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268.71706840132384</v>
      </c>
      <c r="CE165" s="59">
        <f t="shared" si="148"/>
        <v>199.92519498289477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33.051537751880964</v>
      </c>
      <c r="CL165" s="21">
        <f>EXP(-LN(2)/25)*CL164+(1-EXP(-LN(2)/25))/(LN(2)/25)*Calculateur!CG165*Calculateur!CI165*VLOOKUP('Données projet'!$B$12,Paramètres!$A$1:$I$89,3,0)*0.475*44/12</f>
        <v>4.9987913576011538</v>
      </c>
      <c r="CM165" s="21">
        <f>EXP(-LN(2)/2)*CM164+(1-EXP(-LN(2)/2))/(LN(2)/2)*CG165*CJ165*VLOOKUP('Données projet'!$B$12,Paramètres!$A$1:$I$89,3,0)*0.475*44/12</f>
        <v>2.2898084146098769E-8</v>
      </c>
      <c r="CN165" s="22">
        <f t="shared" si="172"/>
        <v>38.050329132380206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5.6843418860808015E-13</v>
      </c>
      <c r="O166" s="13">
        <f>N166*VLOOKUP('Données projet'!$B$9,Paramètres!$A$1:$I$89,3,0)*VLOOKUP('Données projet'!$B$9,Paramètres!$A$1:$I$89,5,0)</f>
        <v>5.1431925385259092E-13</v>
      </c>
      <c r="P166" s="13">
        <f t="shared" si="141"/>
        <v>6.3855359115685756E-12</v>
      </c>
      <c r="Q166" s="20">
        <f t="shared" si="162"/>
        <v>1.2017247746441865E-11</v>
      </c>
      <c r="R166" s="59">
        <f t="shared" si="109"/>
        <v>293.33333333334531</v>
      </c>
      <c r="S166" s="59">
        <f ca="1">AVERAGE(OFFSET($R$3,0,0,'Données projet'!$E$9+1,1))-AVERAGE(OFFSET($H$3,0,0,'Données projet'!$E$9+1,1))</f>
        <v>384.05928630855732</v>
      </c>
      <c r="T166" s="59">
        <f t="shared" si="142"/>
        <v>279.93992813630513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90.726189583502929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90.726189583502929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-6.3550942286383367E-14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335.04906256888819</v>
      </c>
      <c r="AO166" s="59">
        <f t="shared" si="144"/>
        <v>440.84111898279554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26.697877450020911</v>
      </c>
      <c r="AV166" s="21">
        <f>EXP(-LN(2)/25)*AV165+(1-EXP(-LN(2)/25))/(LN(2)/25)*Calculateur!AQ166*Calculateur!AS166*VLOOKUP('Données projet'!$B$10,Paramètres!$A$1:$I$89,3,0)*0.475*44/12</f>
        <v>2.8842360923018422</v>
      </c>
      <c r="AW166" s="21">
        <f>EXP(-LN(2)/2)*AW165+(1-EXP(-LN(2)/2))/(LN(2)/2)*AQ166*AT166*VLOOKUP('Données projet'!$B$10,Paramètres!$A$1:$I$89,3,0)*0.475*44/12</f>
        <v>1.8963333128292611E-15</v>
      </c>
      <c r="AX166" s="21">
        <f t="shared" si="166"/>
        <v>29.582113542322755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261.20475283925128</v>
      </c>
      <c r="BJ166" s="59">
        <f t="shared" si="146"/>
        <v>247.06045079522403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26.383633270349108</v>
      </c>
      <c r="BQ166" s="21">
        <f>EXP(-LN(2)/25)*BQ165+(1-EXP(-LN(2)/25))/(LN(2)/25)*Calculateur!BL166*Calculateur!BN166*VLOOKUP('Données projet'!$B$11,Paramètres!$A$1:$I$89,3,0)*0.475*44/12</f>
        <v>3.3260065747475203</v>
      </c>
      <c r="BR166" s="21">
        <f>EXP(-LN(2)/2)*BR165+(1-EXP(-LN(2)/2))/(LN(2)/2)*BL166*BO166*VLOOKUP('Données projet'!$B$11,Paramètres!$A$1:$I$89,3,0)*0.475*44/12</f>
        <v>3.1648396056989773E-13</v>
      </c>
      <c r="BS166" s="22">
        <f t="shared" si="169"/>
        <v>29.709639845096945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-5.1159076974727213E-13</v>
      </c>
      <c r="BZ166" s="13">
        <f>BY166*VLOOKUP('Données projet'!$B$12,Paramètres!$A$1:$I$89,3,0)*VLOOKUP('Données projet'!$B$12,Paramètres!$A$1:$I$89,5,0)</f>
        <v>-2.9262992029543964E-13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268.71706840132384</v>
      </c>
      <c r="CE166" s="59">
        <f t="shared" si="148"/>
        <v>199.92519498289477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32.403417256014031</v>
      </c>
      <c r="CL166" s="21">
        <f>EXP(-LN(2)/25)*CL165+(1-EXP(-LN(2)/25))/(LN(2)/25)*Calculateur!CG166*Calculateur!CI166*VLOOKUP('Données projet'!$B$12,Paramètres!$A$1:$I$89,3,0)*0.475*44/12</f>
        <v>4.8620991450525377</v>
      </c>
      <c r="CM166" s="21">
        <f>EXP(-LN(2)/2)*CM165+(1-EXP(-LN(2)/2))/(LN(2)/2)*CG166*CJ166*VLOOKUP('Données projet'!$B$12,Paramètres!$A$1:$I$89,3,0)*0.475*44/12</f>
        <v>1.6191390575886614E-8</v>
      </c>
      <c r="CN166" s="22">
        <f t="shared" si="172"/>
        <v>37.265516417257963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5.6843418860808015E-13</v>
      </c>
      <c r="O167" s="13">
        <f>N167*VLOOKUP('Données projet'!$B$9,Paramètres!$A$1:$I$89,3,0)*VLOOKUP('Données projet'!$B$9,Paramètres!$A$1:$I$89,5,0)</f>
        <v>5.1431925385259092E-13</v>
      </c>
      <c r="P167" s="13">
        <f t="shared" si="141"/>
        <v>6.3855359115685756E-12</v>
      </c>
      <c r="Q167" s="20">
        <f t="shared" si="162"/>
        <v>1.2017247746441865E-11</v>
      </c>
      <c r="R167" s="59">
        <f t="shared" si="109"/>
        <v>293.33333333334531</v>
      </c>
      <c r="S167" s="59">
        <f ca="1">AVERAGE(OFFSET($R$3,0,0,'Données projet'!$E$9+1,1))-AVERAGE(OFFSET($H$3,0,0,'Données projet'!$E$9+1,1))</f>
        <v>384.05928630855732</v>
      </c>
      <c r="T167" s="59">
        <f t="shared" si="142"/>
        <v>279.93992813630513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88.947104343281964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88.947104343281964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-6.3550942286383367E-14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335.04906256888819</v>
      </c>
      <c r="AO167" s="59">
        <f t="shared" si="144"/>
        <v>440.84111898279554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26.174348357323325</v>
      </c>
      <c r="AV167" s="21">
        <f>EXP(-LN(2)/25)*AV166+(1-EXP(-LN(2)/25))/(LN(2)/25)*Calculateur!AQ167*Calculateur!AS167*VLOOKUP('Données projet'!$B$10,Paramètres!$A$1:$I$89,3,0)*0.475*44/12</f>
        <v>2.8053665046824641</v>
      </c>
      <c r="AW167" s="21">
        <f>EXP(-LN(2)/2)*AW166+(1-EXP(-LN(2)/2))/(LN(2)/2)*AQ167*AT167*VLOOKUP('Données projet'!$B$10,Paramètres!$A$1:$I$89,3,0)*0.475*44/12</f>
        <v>1.3409101448915211E-15</v>
      </c>
      <c r="AX167" s="21">
        <f t="shared" si="166"/>
        <v>28.979714862005789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261.20475283925128</v>
      </c>
      <c r="BJ167" s="59">
        <f t="shared" si="146"/>
        <v>247.06045079522403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25.866266314344863</v>
      </c>
      <c r="BQ167" s="21">
        <f>EXP(-LN(2)/25)*BQ166+(1-EXP(-LN(2)/25))/(LN(2)/25)*Calculateur!BL167*Calculateur!BN167*VLOOKUP('Données projet'!$B$11,Paramètres!$A$1:$I$89,3,0)*0.475*44/12</f>
        <v>3.2350567500539653</v>
      </c>
      <c r="BR167" s="21">
        <f>EXP(-LN(2)/2)*BR166+(1-EXP(-LN(2)/2))/(LN(2)/2)*BL167*BO167*VLOOKUP('Données projet'!$B$11,Paramètres!$A$1:$I$89,3,0)*0.475*44/12</f>
        <v>2.2378795465575061E-13</v>
      </c>
      <c r="BS167" s="22">
        <f t="shared" si="169"/>
        <v>29.10132306439905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-5.1159076974727213E-13</v>
      </c>
      <c r="BZ167" s="13">
        <f>BY167*VLOOKUP('Données projet'!$B$12,Paramètres!$A$1:$I$89,3,0)*VLOOKUP('Données projet'!$B$12,Paramètres!$A$1:$I$89,5,0)</f>
        <v>-2.9262992029543964E-13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268.71706840132384</v>
      </c>
      <c r="CE167" s="59">
        <f t="shared" si="148"/>
        <v>199.92519498289477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31.768006007756576</v>
      </c>
      <c r="CL167" s="21">
        <f>EXP(-LN(2)/25)*CL166+(1-EXP(-LN(2)/25))/(LN(2)/25)*Calculateur!CG167*Calculateur!CI167*VLOOKUP('Données projet'!$B$12,Paramètres!$A$1:$I$89,3,0)*0.475*44/12</f>
        <v>4.7291447882443949</v>
      </c>
      <c r="CM167" s="21">
        <f>EXP(-LN(2)/2)*CM166+(1-EXP(-LN(2)/2))/(LN(2)/2)*CG167*CJ167*VLOOKUP('Données projet'!$B$12,Paramètres!$A$1:$I$89,3,0)*0.475*44/12</f>
        <v>1.1449042073049384E-8</v>
      </c>
      <c r="CN167" s="22">
        <f t="shared" si="172"/>
        <v>36.497150807450012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5.6843418860808015E-13</v>
      </c>
      <c r="O168" s="13">
        <f>N168*VLOOKUP('Données projet'!$B$9,Paramètres!$A$1:$I$89,3,0)*VLOOKUP('Données projet'!$B$9,Paramètres!$A$1:$I$89,5,0)</f>
        <v>5.1431925385259092E-13</v>
      </c>
      <c r="P168" s="13">
        <f t="shared" si="141"/>
        <v>6.3855359115685756E-12</v>
      </c>
      <c r="Q168" s="20">
        <f t="shared" si="162"/>
        <v>1.2017247746441865E-11</v>
      </c>
      <c r="R168" s="59">
        <f t="shared" si="109"/>
        <v>293.33333333334531</v>
      </c>
      <c r="S168" s="59">
        <f ca="1">AVERAGE(OFFSET($R$3,0,0,'Données projet'!$E$9+1,1))-AVERAGE(OFFSET($H$3,0,0,'Données projet'!$E$9+1,1))</f>
        <v>384.05928630855732</v>
      </c>
      <c r="T168" s="59">
        <f t="shared" si="142"/>
        <v>279.93992813630513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87.202905879486877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87.202905879486877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-6.3550942286383367E-14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335.04906256888819</v>
      </c>
      <c r="AO168" s="59">
        <f t="shared" si="144"/>
        <v>440.84111898279554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25.661085350812321</v>
      </c>
      <c r="AV168" s="21">
        <f>EXP(-LN(2)/25)*AV167+(1-EXP(-LN(2)/25))/(LN(2)/25)*Calculateur!AQ168*Calculateur!AS168*VLOOKUP('Données projet'!$B$10,Paramètres!$A$1:$I$89,3,0)*0.475*44/12</f>
        <v>2.7286536100841094</v>
      </c>
      <c r="AW168" s="21">
        <f>EXP(-LN(2)/2)*AW167+(1-EXP(-LN(2)/2))/(LN(2)/2)*AQ168*AT168*VLOOKUP('Données projet'!$B$10,Paramètres!$A$1:$I$89,3,0)*0.475*44/12</f>
        <v>9.4816665641463053E-16</v>
      </c>
      <c r="AX168" s="21">
        <f t="shared" si="166"/>
        <v>28.38973896089643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261.20475283925128</v>
      </c>
      <c r="BJ168" s="59">
        <f t="shared" si="146"/>
        <v>247.06045079522403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25.359044608785176</v>
      </c>
      <c r="BQ168" s="21">
        <f>EXP(-LN(2)/25)*BQ167+(1-EXP(-LN(2)/25))/(LN(2)/25)*Calculateur!BL168*Calculateur!BN168*VLOOKUP('Données projet'!$B$11,Paramètres!$A$1:$I$89,3,0)*0.475*44/12</f>
        <v>3.1465939530994991</v>
      </c>
      <c r="BR168" s="21">
        <f>EXP(-LN(2)/2)*BR167+(1-EXP(-LN(2)/2))/(LN(2)/2)*BL168*BO168*VLOOKUP('Données projet'!$B$11,Paramètres!$A$1:$I$89,3,0)*0.475*44/12</f>
        <v>1.5824198028494889E-13</v>
      </c>
      <c r="BS168" s="22">
        <f t="shared" si="169"/>
        <v>28.505638561884833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-5.1159076974727213E-13</v>
      </c>
      <c r="BZ168" s="13">
        <f>BY168*VLOOKUP('Données projet'!$B$12,Paramètres!$A$1:$I$89,3,0)*VLOOKUP('Données projet'!$B$12,Paramètres!$A$1:$I$89,5,0)</f>
        <v>-2.9262992029543964E-13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268.71706840132384</v>
      </c>
      <c r="CE168" s="59">
        <f t="shared" si="148"/>
        <v>199.92519498289477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31.145054786514855</v>
      </c>
      <c r="CL168" s="21">
        <f>EXP(-LN(2)/25)*CL167+(1-EXP(-LN(2)/25))/(LN(2)/25)*Calculateur!CG168*Calculateur!CI168*VLOOKUP('Données projet'!$B$12,Paramètres!$A$1:$I$89,3,0)*0.475*44/12</f>
        <v>4.5998260753149358</v>
      </c>
      <c r="CM168" s="21">
        <f>EXP(-LN(2)/2)*CM167+(1-EXP(-LN(2)/2))/(LN(2)/2)*CG168*CJ168*VLOOKUP('Données projet'!$B$12,Paramètres!$A$1:$I$89,3,0)*0.475*44/12</f>
        <v>8.0956952879433072E-9</v>
      </c>
      <c r="CN168" s="22">
        <f t="shared" si="172"/>
        <v>35.744880869925488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5.6843418860808015E-13</v>
      </c>
      <c r="O169" s="13">
        <f>N169*VLOOKUP('Données projet'!$B$9,Paramètres!$A$1:$I$89,3,0)*VLOOKUP('Données projet'!$B$9,Paramètres!$A$1:$I$89,5,0)</f>
        <v>5.1431925385259092E-13</v>
      </c>
      <c r="P169" s="13">
        <f t="shared" si="141"/>
        <v>6.3855359115685756E-12</v>
      </c>
      <c r="Q169" s="20">
        <f t="shared" si="162"/>
        <v>1.2017247746441865E-11</v>
      </c>
      <c r="R169" s="59">
        <f t="shared" si="109"/>
        <v>293.33333333334531</v>
      </c>
      <c r="S169" s="59">
        <f ca="1">AVERAGE(OFFSET($R$3,0,0,'Données projet'!$E$9+1,1))-AVERAGE(OFFSET($H$3,0,0,'Données projet'!$E$9+1,1))</f>
        <v>384.05928630855732</v>
      </c>
      <c r="T169" s="59">
        <f t="shared" si="142"/>
        <v>279.93992813630513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85.492910083710797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85.492910083710797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-6.3550942286383367E-14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335.04906256888819</v>
      </c>
      <c r="AO169" s="59">
        <f t="shared" si="144"/>
        <v>440.84111898279554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25.157887118799476</v>
      </c>
      <c r="AV169" s="21">
        <f>EXP(-LN(2)/25)*AV168+(1-EXP(-LN(2)/25))/(LN(2)/25)*Calculateur!AQ169*Calculateur!AS169*VLOOKUP('Données projet'!$B$10,Paramètres!$A$1:$I$89,3,0)*0.475*44/12</f>
        <v>2.6540384336227025</v>
      </c>
      <c r="AW169" s="21">
        <f>EXP(-LN(2)/2)*AW168+(1-EXP(-LN(2)/2))/(LN(2)/2)*AQ169*AT169*VLOOKUP('Données projet'!$B$10,Paramètres!$A$1:$I$89,3,0)*0.475*44/12</f>
        <v>6.7045507244576054E-16</v>
      </c>
      <c r="AX169" s="21">
        <f t="shared" si="166"/>
        <v>27.811925552422178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261.20475283925128</v>
      </c>
      <c r="BJ169" s="59">
        <f t="shared" si="146"/>
        <v>247.06045079522403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24.861769211496821</v>
      </c>
      <c r="BQ169" s="21">
        <f>EXP(-LN(2)/25)*BQ168+(1-EXP(-LN(2)/25))/(LN(2)/25)*Calculateur!BL169*Calculateur!BN169*VLOOKUP('Données projet'!$B$11,Paramètres!$A$1:$I$89,3,0)*0.475*44/12</f>
        <v>3.0605501759798091</v>
      </c>
      <c r="BR169" s="21">
        <f>EXP(-LN(2)/2)*BR168+(1-EXP(-LN(2)/2))/(LN(2)/2)*BL169*BO169*VLOOKUP('Données projet'!$B$11,Paramètres!$A$1:$I$89,3,0)*0.475*44/12</f>
        <v>1.1189397732787533E-13</v>
      </c>
      <c r="BS169" s="22">
        <f t="shared" si="169"/>
        <v>27.92231938747674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-5.1159076974727213E-13</v>
      </c>
      <c r="BZ169" s="13">
        <f>BY169*VLOOKUP('Données projet'!$B$12,Paramètres!$A$1:$I$89,3,0)*VLOOKUP('Données projet'!$B$12,Paramètres!$A$1:$I$89,5,0)</f>
        <v>-2.9262992029543964E-13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268.71706840132384</v>
      </c>
      <c r="CE169" s="59">
        <f t="shared" si="148"/>
        <v>199.92519498289477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30.534319258758959</v>
      </c>
      <c r="CL169" s="21">
        <f>EXP(-LN(2)/25)*CL168+(1-EXP(-LN(2)/25))/(LN(2)/25)*Calculateur!CG169*Calculateur!CI169*VLOOKUP('Données projet'!$B$12,Paramètres!$A$1:$I$89,3,0)*0.475*44/12</f>
        <v>4.4740435893911084</v>
      </c>
      <c r="CM169" s="21">
        <f>EXP(-LN(2)/2)*CM168+(1-EXP(-LN(2)/2))/(LN(2)/2)*CG169*CJ169*VLOOKUP('Données projet'!$B$12,Paramètres!$A$1:$I$89,3,0)*0.475*44/12</f>
        <v>5.7245210365246921E-9</v>
      </c>
      <c r="CN169" s="22">
        <f t="shared" si="172"/>
        <v>35.008362853874594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5.6843418860808015E-13</v>
      </c>
      <c r="O170" s="13">
        <f>N170*VLOOKUP('Données projet'!$B$9,Paramètres!$A$1:$I$89,3,0)*VLOOKUP('Données projet'!$B$9,Paramètres!$A$1:$I$89,5,0)</f>
        <v>5.1431925385259092E-13</v>
      </c>
      <c r="P170" s="13">
        <f t="shared" si="141"/>
        <v>6.3855359115685756E-12</v>
      </c>
      <c r="Q170" s="20">
        <f t="shared" si="162"/>
        <v>1.2017247746441865E-11</v>
      </c>
      <c r="R170" s="59">
        <f t="shared" si="109"/>
        <v>293.33333333334531</v>
      </c>
      <c r="S170" s="59">
        <f ca="1">AVERAGE(OFFSET($R$3,0,0,'Données projet'!$E$9+1,1))-AVERAGE(OFFSET($H$3,0,0,'Données projet'!$E$9+1,1))</f>
        <v>384.05928630855732</v>
      </c>
      <c r="T170" s="59">
        <f t="shared" si="142"/>
        <v>279.93992813630513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83.816446262495433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83.816446262495433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-6.3550942286383367E-14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335.04906256888819</v>
      </c>
      <c r="AO170" s="59">
        <f t="shared" si="144"/>
        <v>440.84111898279554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24.664556297195787</v>
      </c>
      <c r="AV170" s="21">
        <f>EXP(-LN(2)/25)*AV169+(1-EXP(-LN(2)/25))/(LN(2)/25)*Calculateur!AQ170*Calculateur!AS170*VLOOKUP('Données projet'!$B$10,Paramètres!$A$1:$I$89,3,0)*0.475*44/12</f>
        <v>2.5814636130854742</v>
      </c>
      <c r="AW170" s="21">
        <f>EXP(-LN(2)/2)*AW169+(1-EXP(-LN(2)/2))/(LN(2)/2)*AQ170*AT170*VLOOKUP('Données projet'!$B$10,Paramètres!$A$1:$I$89,3,0)*0.475*44/12</f>
        <v>4.7408332820731527E-16</v>
      </c>
      <c r="AX170" s="21">
        <f t="shared" si="166"/>
        <v>27.246019910281262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261.20475283925128</v>
      </c>
      <c r="BJ170" s="59">
        <f t="shared" si="146"/>
        <v>247.06045079522403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24.374245081441249</v>
      </c>
      <c r="BQ170" s="21">
        <f>EXP(-LN(2)/25)*BQ169+(1-EXP(-LN(2)/25))/(LN(2)/25)*Calculateur!BL170*Calculateur!BN170*VLOOKUP('Données projet'!$B$11,Paramètres!$A$1:$I$89,3,0)*0.475*44/12</f>
        <v>2.9768592704703023</v>
      </c>
      <c r="BR170" s="21">
        <f>EXP(-LN(2)/2)*BR169+(1-EXP(-LN(2)/2))/(LN(2)/2)*BL170*BO170*VLOOKUP('Données projet'!$B$11,Paramètres!$A$1:$I$89,3,0)*0.475*44/12</f>
        <v>7.9120990142474458E-14</v>
      </c>
      <c r="BS170" s="22">
        <f t="shared" si="169"/>
        <v>27.35110435191163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-5.1159076974727213E-13</v>
      </c>
      <c r="BZ170" s="13">
        <f>BY170*VLOOKUP('Données projet'!$B$12,Paramètres!$A$1:$I$89,3,0)*VLOOKUP('Données projet'!$B$12,Paramètres!$A$1:$I$89,5,0)</f>
        <v>-2.9262992029543964E-13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268.71706840132384</v>
      </c>
      <c r="CE170" s="59">
        <f t="shared" si="148"/>
        <v>199.92519498289477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29.935559882190468</v>
      </c>
      <c r="CL170" s="21">
        <f>EXP(-LN(2)/25)*CL169+(1-EXP(-LN(2)/25))/(LN(2)/25)*Calculateur!CG170*Calculateur!CI170*VLOOKUP('Données projet'!$B$12,Paramètres!$A$1:$I$89,3,0)*0.475*44/12</f>
        <v>4.3517006321594813</v>
      </c>
      <c r="CM170" s="21">
        <f>EXP(-LN(2)/2)*CM169+(1-EXP(-LN(2)/2))/(LN(2)/2)*CG170*CJ170*VLOOKUP('Données projet'!$B$12,Paramètres!$A$1:$I$89,3,0)*0.475*44/12</f>
        <v>4.0478476439716536E-9</v>
      </c>
      <c r="CN170" s="22">
        <f t="shared" si="172"/>
        <v>34.287260518397801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5.6843418860808015E-13</v>
      </c>
      <c r="O171" s="13">
        <f>N171*VLOOKUP('Données projet'!$B$9,Paramètres!$A$1:$I$89,3,0)*VLOOKUP('Données projet'!$B$9,Paramètres!$A$1:$I$89,5,0)</f>
        <v>5.1431925385259092E-13</v>
      </c>
      <c r="P171" s="13">
        <f t="shared" si="141"/>
        <v>6.3855359115685756E-12</v>
      </c>
      <c r="Q171" s="20">
        <f t="shared" si="162"/>
        <v>1.2017247746441865E-11</v>
      </c>
      <c r="R171" s="59">
        <f t="shared" si="109"/>
        <v>293.33333333334531</v>
      </c>
      <c r="S171" s="59">
        <f ca="1">AVERAGE(OFFSET($R$3,0,0,'Données projet'!$E$9+1,1))-AVERAGE(OFFSET($H$3,0,0,'Données projet'!$E$9+1,1))</f>
        <v>384.05928630855732</v>
      </c>
      <c r="T171" s="59">
        <f t="shared" si="142"/>
        <v>279.93992813630513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82.172856874272142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82.172856874272142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-6.3550942286383367E-14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335.04906256888819</v>
      </c>
      <c r="AO171" s="59">
        <f t="shared" si="144"/>
        <v>440.84111898279554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24.180899392101658</v>
      </c>
      <c r="AV171" s="21">
        <f>EXP(-LN(2)/25)*AV170+(1-EXP(-LN(2)/25))/(LN(2)/25)*Calculateur!AQ171*Calculateur!AS171*VLOOKUP('Données projet'!$B$10,Paramètres!$A$1:$I$89,3,0)*0.475*44/12</f>
        <v>2.5108733548323805</v>
      </c>
      <c r="AW171" s="21">
        <f>EXP(-LN(2)/2)*AW170+(1-EXP(-LN(2)/2))/(LN(2)/2)*AQ171*AT171*VLOOKUP('Données projet'!$B$10,Paramètres!$A$1:$I$89,3,0)*0.475*44/12</f>
        <v>3.3522753622288027E-16</v>
      </c>
      <c r="AX171" s="21">
        <f t="shared" si="166"/>
        <v>26.691772746934038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261.20475283925128</v>
      </c>
      <c r="BJ171" s="59">
        <f t="shared" si="146"/>
        <v>247.06045079522403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23.896281002215709</v>
      </c>
      <c r="BQ171" s="21">
        <f>EXP(-LN(2)/25)*BQ170+(1-EXP(-LN(2)/25))/(LN(2)/25)*Calculateur!BL171*Calculateur!BN171*VLOOKUP('Données projet'!$B$11,Paramètres!$A$1:$I$89,3,0)*0.475*44/12</f>
        <v>2.8954568971730668</v>
      </c>
      <c r="BR171" s="21">
        <f>EXP(-LN(2)/2)*BR170+(1-EXP(-LN(2)/2))/(LN(2)/2)*BL171*BO171*VLOOKUP('Données projet'!$B$11,Paramètres!$A$1:$I$89,3,0)*0.475*44/12</f>
        <v>5.5946988663937672E-14</v>
      </c>
      <c r="BS171" s="22">
        <f t="shared" si="169"/>
        <v>26.791737899388831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-5.1159076974727213E-13</v>
      </c>
      <c r="BZ171" s="13">
        <f>BY171*VLOOKUP('Données projet'!$B$12,Paramètres!$A$1:$I$89,3,0)*VLOOKUP('Données projet'!$B$12,Paramètres!$A$1:$I$89,5,0)</f>
        <v>-2.9262992029543964E-13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268.71706840132384</v>
      </c>
      <c r="CE171" s="59">
        <f t="shared" si="148"/>
        <v>199.92519498289477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29.348541811789325</v>
      </c>
      <c r="CL171" s="21">
        <f>EXP(-LN(2)/25)*CL170+(1-EXP(-LN(2)/25))/(LN(2)/25)*Calculateur!CG171*Calculateur!CI171*VLOOKUP('Données projet'!$B$12,Paramètres!$A$1:$I$89,3,0)*0.475*44/12</f>
        <v>4.2327031495270901</v>
      </c>
      <c r="CM171" s="21">
        <f>EXP(-LN(2)/2)*CM170+(1-EXP(-LN(2)/2))/(LN(2)/2)*CG171*CJ171*VLOOKUP('Données projet'!$B$12,Paramètres!$A$1:$I$89,3,0)*0.475*44/12</f>
        <v>2.8622605182623461E-9</v>
      </c>
      <c r="CN171" s="22">
        <f t="shared" si="172"/>
        <v>33.581244964178673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5.6843418860808015E-13</v>
      </c>
      <c r="O172" s="13">
        <f>N172*VLOOKUP('Données projet'!$B$9,Paramètres!$A$1:$I$89,3,0)*VLOOKUP('Données projet'!$B$9,Paramètres!$A$1:$I$89,5,0)</f>
        <v>5.1431925385259092E-13</v>
      </c>
      <c r="P172" s="13">
        <f t="shared" si="141"/>
        <v>6.3855359115685756E-12</v>
      </c>
      <c r="Q172" s="20">
        <f t="shared" si="162"/>
        <v>1.2017247746441865E-11</v>
      </c>
      <c r="R172" s="59">
        <f t="shared" si="109"/>
        <v>293.33333333334531</v>
      </c>
      <c r="S172" s="59">
        <f ca="1">AVERAGE(OFFSET($R$3,0,0,'Données projet'!$E$9+1,1))-AVERAGE(OFFSET($H$3,0,0,'Données projet'!$E$9+1,1))</f>
        <v>384.05928630855732</v>
      </c>
      <c r="T172" s="59">
        <f t="shared" si="142"/>
        <v>279.93992813630513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80.561497271461377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80.561497271461377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-6.3550942286383367E-14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335.04906256888819</v>
      </c>
      <c r="AO172" s="59">
        <f t="shared" si="144"/>
        <v>440.84111898279554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23.706726703914843</v>
      </c>
      <c r="AV172" s="21">
        <f>EXP(-LN(2)/25)*AV171+(1-EXP(-LN(2)/25))/(LN(2)/25)*Calculateur!AQ172*Calculateur!AS172*VLOOKUP('Données projet'!$B$10,Paramètres!$A$1:$I$89,3,0)*0.475*44/12</f>
        <v>2.4422133909033978</v>
      </c>
      <c r="AW172" s="21">
        <f>EXP(-LN(2)/2)*AW171+(1-EXP(-LN(2)/2))/(LN(2)/2)*AQ172*AT172*VLOOKUP('Données projet'!$B$10,Paramètres!$A$1:$I$89,3,0)*0.475*44/12</f>
        <v>2.3704166410365763E-16</v>
      </c>
      <c r="AX172" s="21">
        <f t="shared" si="166"/>
        <v>26.14894009481824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261.20475283925128</v>
      </c>
      <c r="BJ172" s="59">
        <f t="shared" si="146"/>
        <v>247.06045079522403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23.427689507054481</v>
      </c>
      <c r="BQ172" s="21">
        <f>EXP(-LN(2)/25)*BQ171+(1-EXP(-LN(2)/25))/(LN(2)/25)*Calculateur!BL172*Calculateur!BN172*VLOOKUP('Données projet'!$B$11,Paramètres!$A$1:$I$89,3,0)*0.475*44/12</f>
        <v>2.8162804760544087</v>
      </c>
      <c r="BR172" s="21">
        <f>EXP(-LN(2)/2)*BR171+(1-EXP(-LN(2)/2))/(LN(2)/2)*BL172*BO172*VLOOKUP('Données projet'!$B$11,Paramètres!$A$1:$I$89,3,0)*0.475*44/12</f>
        <v>3.9560495071237235E-14</v>
      </c>
      <c r="BS172" s="22">
        <f t="shared" si="169"/>
        <v>26.243969983108929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-5.1159076974727213E-13</v>
      </c>
      <c r="BZ172" s="13">
        <f>BY172*VLOOKUP('Données projet'!$B$12,Paramètres!$A$1:$I$89,3,0)*VLOOKUP('Données projet'!$B$12,Paramètres!$A$1:$I$89,5,0)</f>
        <v>-2.9262992029543964E-13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268.71706840132384</v>
      </c>
      <c r="CE172" s="59">
        <f t="shared" si="148"/>
        <v>199.92519498289477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28.77303480770308</v>
      </c>
      <c r="CL172" s="21">
        <f>EXP(-LN(2)/25)*CL171+(1-EXP(-LN(2)/25))/(LN(2)/25)*Calculateur!CG172*Calculateur!CI172*VLOOKUP('Données projet'!$B$12,Paramètres!$A$1:$I$89,3,0)*0.475*44/12</f>
        <v>4.1169596593150874</v>
      </c>
      <c r="CM172" s="21">
        <f>EXP(-LN(2)/2)*CM171+(1-EXP(-LN(2)/2))/(LN(2)/2)*CG172*CJ172*VLOOKUP('Données projet'!$B$12,Paramètres!$A$1:$I$89,3,0)*0.475*44/12</f>
        <v>2.0239238219858268E-9</v>
      </c>
      <c r="CN172" s="22">
        <f t="shared" si="172"/>
        <v>32.889994469042094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5.6843418860808015E-13</v>
      </c>
      <c r="O173" s="13">
        <f>N173*VLOOKUP('Données projet'!$B$9,Paramètres!$A$1:$I$89,3,0)*VLOOKUP('Données projet'!$B$9,Paramètres!$A$1:$I$89,5,0)</f>
        <v>5.1431925385259092E-13</v>
      </c>
      <c r="P173" s="13">
        <f t="shared" si="141"/>
        <v>6.3855359115685756E-12</v>
      </c>
      <c r="Q173" s="20">
        <f t="shared" si="162"/>
        <v>1.2017247746441865E-11</v>
      </c>
      <c r="R173" s="59">
        <f t="shared" si="109"/>
        <v>293.33333333334531</v>
      </c>
      <c r="S173" s="59">
        <f ca="1">AVERAGE(OFFSET($R$3,0,0,'Données projet'!$E$9+1,1))-AVERAGE(OFFSET($H$3,0,0,'Données projet'!$E$9+1,1))</f>
        <v>384.05928630855732</v>
      </c>
      <c r="T173" s="59">
        <f t="shared" si="142"/>
        <v>279.93992813630513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78.981735447629418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78.981735447629418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-6.3550942286383367E-14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335.04906256888819</v>
      </c>
      <c r="AO173" s="59">
        <f t="shared" si="144"/>
        <v>440.84111898279554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23.241852252926588</v>
      </c>
      <c r="AV173" s="21">
        <f>EXP(-LN(2)/25)*AV172+(1-EXP(-LN(2)/25))/(LN(2)/25)*Calculateur!AQ173*Calculateur!AS173*VLOOKUP('Données projet'!$B$10,Paramètres!$A$1:$I$89,3,0)*0.475*44/12</f>
        <v>2.3754309372987241</v>
      </c>
      <c r="AW173" s="21">
        <f>EXP(-LN(2)/2)*AW172+(1-EXP(-LN(2)/2))/(LN(2)/2)*AQ173*AT173*VLOOKUP('Données projet'!$B$10,Paramètres!$A$1:$I$89,3,0)*0.475*44/12</f>
        <v>1.6761376811144013E-16</v>
      </c>
      <c r="AX173" s="21">
        <f t="shared" si="166"/>
        <v>25.617283190225312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261.20475283925128</v>
      </c>
      <c r="BJ173" s="59">
        <f t="shared" si="146"/>
        <v>247.06045079522403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22.968286805300774</v>
      </c>
      <c r="BQ173" s="21">
        <f>EXP(-LN(2)/25)*BQ172+(1-EXP(-LN(2)/25))/(LN(2)/25)*Calculateur!BL173*Calculateur!BN173*VLOOKUP('Données projet'!$B$11,Paramètres!$A$1:$I$89,3,0)*0.475*44/12</f>
        <v>2.7392691383349472</v>
      </c>
      <c r="BR173" s="21">
        <f>EXP(-LN(2)/2)*BR172+(1-EXP(-LN(2)/2))/(LN(2)/2)*BL173*BO173*VLOOKUP('Données projet'!$B$11,Paramètres!$A$1:$I$89,3,0)*0.475*44/12</f>
        <v>2.7973494331968842E-14</v>
      </c>
      <c r="BS173" s="22">
        <f t="shared" si="169"/>
        <v>25.70755594363575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-5.1159076974727213E-13</v>
      </c>
      <c r="BZ173" s="13">
        <f>BY173*VLOOKUP('Données projet'!$B$12,Paramètres!$A$1:$I$89,3,0)*VLOOKUP('Données projet'!$B$12,Paramètres!$A$1:$I$89,5,0)</f>
        <v>-2.9262992029543964E-13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268.71706840132384</v>
      </c>
      <c r="CE173" s="59">
        <f t="shared" si="148"/>
        <v>199.92519498289477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28.208813144942354</v>
      </c>
      <c r="CL173" s="21">
        <f>EXP(-LN(2)/25)*CL172+(1-EXP(-LN(2)/25))/(LN(2)/25)*Calculateur!CG173*Calculateur!CI173*VLOOKUP('Données projet'!$B$12,Paramètres!$A$1:$I$89,3,0)*0.475*44/12</f>
        <v>4.0043811809296175</v>
      </c>
      <c r="CM173" s="21">
        <f>EXP(-LN(2)/2)*CM172+(1-EXP(-LN(2)/2))/(LN(2)/2)*CG173*CJ173*VLOOKUP('Données projet'!$B$12,Paramètres!$A$1:$I$89,3,0)*0.475*44/12</f>
        <v>1.431130259131173E-9</v>
      </c>
      <c r="CN173" s="22">
        <f t="shared" si="172"/>
        <v>32.213194327303107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5.6843418860808015E-13</v>
      </c>
      <c r="O174" s="13">
        <f>N174*VLOOKUP('Données projet'!$B$9,Paramètres!$A$1:$I$89,3,0)*VLOOKUP('Données projet'!$B$9,Paramètres!$A$1:$I$89,5,0)</f>
        <v>5.1431925385259092E-13</v>
      </c>
      <c r="P174" s="13">
        <f t="shared" si="141"/>
        <v>6.3855359115685756E-12</v>
      </c>
      <c r="Q174" s="20">
        <f t="shared" si="162"/>
        <v>1.2017247746441865E-11</v>
      </c>
      <c r="R174" s="59">
        <f t="shared" si="109"/>
        <v>293.33333333334531</v>
      </c>
      <c r="S174" s="59">
        <f ca="1">AVERAGE(OFFSET($R$3,0,0,'Données projet'!$E$9+1,1))-AVERAGE(OFFSET($H$3,0,0,'Données projet'!$E$9+1,1))</f>
        <v>384.05928630855732</v>
      </c>
      <c r="T174" s="59">
        <f t="shared" si="142"/>
        <v>279.93992813630513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77.432951789603237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77.432951789603237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-6.3550942286383367E-14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335.04906256888819</v>
      </c>
      <c r="AO174" s="59">
        <f t="shared" si="144"/>
        <v>440.84111898279554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22.786093706376796</v>
      </c>
      <c r="AV174" s="21">
        <f>EXP(-LN(2)/25)*AV173+(1-EXP(-LN(2)/25))/(LN(2)/25)*Calculateur!AQ174*Calculateur!AS174*VLOOKUP('Données projet'!$B$10,Paramètres!$A$1:$I$89,3,0)*0.475*44/12</f>
        <v>2.3104746533998068</v>
      </c>
      <c r="AW174" s="21">
        <f>EXP(-LN(2)/2)*AW173+(1-EXP(-LN(2)/2))/(LN(2)/2)*AQ174*AT174*VLOOKUP('Données projet'!$B$10,Paramètres!$A$1:$I$89,3,0)*0.475*44/12</f>
        <v>1.1852083205182882E-16</v>
      </c>
      <c r="AX174" s="21">
        <f t="shared" si="166"/>
        <v>25.096568359776604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261.20475283925128</v>
      </c>
      <c r="BJ174" s="59">
        <f t="shared" si="146"/>
        <v>247.06045079522403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22.517892710320478</v>
      </c>
      <c r="BQ174" s="21">
        <f>EXP(-LN(2)/25)*BQ173+(1-EXP(-LN(2)/25))/(LN(2)/25)*Calculateur!BL174*Calculateur!BN174*VLOOKUP('Données projet'!$B$11,Paramètres!$A$1:$I$89,3,0)*0.475*44/12</f>
        <v>2.664363679695275</v>
      </c>
      <c r="BR174" s="21">
        <f>EXP(-LN(2)/2)*BR173+(1-EXP(-LN(2)/2))/(LN(2)/2)*BL174*BO174*VLOOKUP('Données projet'!$B$11,Paramètres!$A$1:$I$89,3,0)*0.475*44/12</f>
        <v>1.9780247535618621E-14</v>
      </c>
      <c r="BS174" s="22">
        <f t="shared" si="169"/>
        <v>25.182256390015773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-5.1159076974727213E-13</v>
      </c>
      <c r="BZ174" s="13">
        <f>BY174*VLOOKUP('Données projet'!$B$12,Paramètres!$A$1:$I$89,3,0)*VLOOKUP('Données projet'!$B$12,Paramètres!$A$1:$I$89,5,0)</f>
        <v>-2.9262992029543964E-13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268.71706840132384</v>
      </c>
      <c r="CE174" s="59">
        <f t="shared" si="148"/>
        <v>199.92519498289477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27.655655524847134</v>
      </c>
      <c r="CL174" s="21">
        <f>EXP(-LN(2)/25)*CL173+(1-EXP(-LN(2)/25))/(LN(2)/25)*Calculateur!CG174*Calculateur!CI174*VLOOKUP('Données projet'!$B$12,Paramètres!$A$1:$I$89,3,0)*0.475*44/12</f>
        <v>3.8948811669558427</v>
      </c>
      <c r="CM174" s="21">
        <f>EXP(-LN(2)/2)*CM173+(1-EXP(-LN(2)/2))/(LN(2)/2)*CG174*CJ174*VLOOKUP('Données projet'!$B$12,Paramètres!$A$1:$I$89,3,0)*0.475*44/12</f>
        <v>1.0119619109929134E-9</v>
      </c>
      <c r="CN174" s="22">
        <f t="shared" si="172"/>
        <v>31.550536692814937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5.6843418860808015E-13</v>
      </c>
      <c r="O175" s="13">
        <f>N175*VLOOKUP('Données projet'!$B$9,Paramètres!$A$1:$I$89,3,0)*VLOOKUP('Données projet'!$B$9,Paramètres!$A$1:$I$89,5,0)</f>
        <v>5.1431925385259092E-13</v>
      </c>
      <c r="P175" s="13">
        <f t="shared" si="141"/>
        <v>6.3855359115685756E-12</v>
      </c>
      <c r="Q175" s="20">
        <f t="shared" si="162"/>
        <v>1.2017247746441865E-11</v>
      </c>
      <c r="R175" s="59">
        <f t="shared" si="109"/>
        <v>293.33333333334531</v>
      </c>
      <c r="S175" s="59">
        <f ca="1">AVERAGE(OFFSET($R$3,0,0,'Données projet'!$E$9+1,1))-AVERAGE(OFFSET($H$3,0,0,'Données projet'!$E$9+1,1))</f>
        <v>384.05928630855732</v>
      </c>
      <c r="T175" s="59">
        <f t="shared" si="142"/>
        <v>279.93992813630513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75.914538834446191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75.914538834446191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-6.3550942286383367E-14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335.04906256888819</v>
      </c>
      <c r="AO175" s="59">
        <f t="shared" si="144"/>
        <v>440.84111898279554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22.339272306939581</v>
      </c>
      <c r="AV175" s="21">
        <f>EXP(-LN(2)/25)*AV174+(1-EXP(-LN(2)/25))/(LN(2)/25)*Calculateur!AQ175*Calculateur!AS175*VLOOKUP('Données projet'!$B$10,Paramètres!$A$1:$I$89,3,0)*0.475*44/12</f>
        <v>2.2472946025000078</v>
      </c>
      <c r="AW175" s="21">
        <f>EXP(-LN(2)/2)*AW174+(1-EXP(-LN(2)/2))/(LN(2)/2)*AQ175*AT175*VLOOKUP('Données projet'!$B$10,Paramètres!$A$1:$I$89,3,0)*0.475*44/12</f>
        <v>8.3806884055720067E-17</v>
      </c>
      <c r="AX175" s="21">
        <f t="shared" si="166"/>
        <v>24.58656690943959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261.20475283925128</v>
      </c>
      <c r="BJ175" s="59">
        <f t="shared" si="146"/>
        <v>247.06045079522403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22.076330568829473</v>
      </c>
      <c r="BQ175" s="21">
        <f>EXP(-LN(2)/25)*BQ174+(1-EXP(-LN(2)/25))/(LN(2)/25)*Calculateur!BL175*Calculateur!BN175*VLOOKUP('Données projet'!$B$11,Paramètres!$A$1:$I$89,3,0)*0.475*44/12</f>
        <v>2.5915065147612113</v>
      </c>
      <c r="BR175" s="21">
        <f>EXP(-LN(2)/2)*BR174+(1-EXP(-LN(2)/2))/(LN(2)/2)*BL175*BO175*VLOOKUP('Données projet'!$B$11,Paramètres!$A$1:$I$89,3,0)*0.475*44/12</f>
        <v>1.3986747165984423E-14</v>
      </c>
      <c r="BS175" s="22">
        <f t="shared" si="169"/>
        <v>24.667837083590697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-5.1159076974727213E-13</v>
      </c>
      <c r="BZ175" s="13">
        <f>BY175*VLOOKUP('Données projet'!$B$12,Paramètres!$A$1:$I$89,3,0)*VLOOKUP('Données projet'!$B$12,Paramètres!$A$1:$I$89,5,0)</f>
        <v>-2.9262992029543964E-13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268.71706840132384</v>
      </c>
      <c r="CE175" s="59">
        <f t="shared" si="148"/>
        <v>199.92519498289477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27.113344988289146</v>
      </c>
      <c r="CL175" s="21">
        <f>EXP(-LN(2)/25)*CL174+(1-EXP(-LN(2)/25))/(LN(2)/25)*Calculateur!CG175*Calculateur!CI175*VLOOKUP('Données projet'!$B$12,Paramètres!$A$1:$I$89,3,0)*0.475*44/12</f>
        <v>3.7883754366225366</v>
      </c>
      <c r="CM175" s="21">
        <f>EXP(-LN(2)/2)*CM174+(1-EXP(-LN(2)/2))/(LN(2)/2)*CG175*CJ175*VLOOKUP('Données projet'!$B$12,Paramètres!$A$1:$I$89,3,0)*0.475*44/12</f>
        <v>7.1556512956558652E-10</v>
      </c>
      <c r="CN175" s="22">
        <f t="shared" si="172"/>
        <v>30.90172042562725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5.6843418860808015E-13</v>
      </c>
      <c r="O176" s="13">
        <f>N176*VLOOKUP('Données projet'!$B$9,Paramètres!$A$1:$I$89,3,0)*VLOOKUP('Données projet'!$B$9,Paramètres!$A$1:$I$89,5,0)</f>
        <v>5.1431925385259092E-13</v>
      </c>
      <c r="P176" s="13">
        <f t="shared" si="141"/>
        <v>6.3855359115685756E-12</v>
      </c>
      <c r="Q176" s="20">
        <f t="shared" si="162"/>
        <v>1.2017247746441865E-11</v>
      </c>
      <c r="R176" s="59">
        <f t="shared" si="109"/>
        <v>293.33333333334531</v>
      </c>
      <c r="S176" s="59">
        <f ca="1">AVERAGE(OFFSET($R$3,0,0,'Données projet'!$E$9+1,1))-AVERAGE(OFFSET($H$3,0,0,'Données projet'!$E$9+1,1))</f>
        <v>384.05928630855732</v>
      </c>
      <c r="T176" s="59">
        <f t="shared" si="142"/>
        <v>279.93992813630513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74.425901031199317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74.425901031199317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-6.3550942286383367E-14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335.04906256888819</v>
      </c>
      <c r="AO176" s="59">
        <f t="shared" si="144"/>
        <v>440.84111898279554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21.901212802611184</v>
      </c>
      <c r="AV176" s="21">
        <f>EXP(-LN(2)/25)*AV175+(1-EXP(-LN(2)/25))/(LN(2)/25)*Calculateur!AQ176*Calculateur!AS176*VLOOKUP('Données projet'!$B$10,Paramètres!$A$1:$I$89,3,0)*0.475*44/12</f>
        <v>2.1858422134145581</v>
      </c>
      <c r="AW176" s="21">
        <f>EXP(-LN(2)/2)*AW175+(1-EXP(-LN(2)/2))/(LN(2)/2)*AQ176*AT176*VLOOKUP('Données projet'!$B$10,Paramètres!$A$1:$I$89,3,0)*0.475*44/12</f>
        <v>5.9260416025914408E-17</v>
      </c>
      <c r="AX176" s="21">
        <f t="shared" si="166"/>
        <v>24.087055016025744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261.20475283925128</v>
      </c>
      <c r="BJ176" s="59">
        <f t="shared" si="146"/>
        <v>247.06045079522403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21.643427191606794</v>
      </c>
      <c r="BQ176" s="21">
        <f>EXP(-LN(2)/25)*BQ175+(1-EXP(-LN(2)/25))/(LN(2)/25)*Calculateur!BL176*Calculateur!BN176*VLOOKUP('Données projet'!$B$11,Paramètres!$A$1:$I$89,3,0)*0.475*44/12</f>
        <v>2.5206416328336614</v>
      </c>
      <c r="BR176" s="21">
        <f>EXP(-LN(2)/2)*BR175+(1-EXP(-LN(2)/2))/(LN(2)/2)*BL176*BO176*VLOOKUP('Données projet'!$B$11,Paramètres!$A$1:$I$89,3,0)*0.475*44/12</f>
        <v>9.8901237678093119E-15</v>
      </c>
      <c r="BS176" s="22">
        <f t="shared" si="169"/>
        <v>24.164068824440466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-5.1159076974727213E-13</v>
      </c>
      <c r="BZ176" s="13">
        <f>BY176*VLOOKUP('Données projet'!$B$12,Paramètres!$A$1:$I$89,3,0)*VLOOKUP('Données projet'!$B$12,Paramètres!$A$1:$I$89,5,0)</f>
        <v>-2.9262992029543964E-13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268.71706840132384</v>
      </c>
      <c r="CE176" s="59">
        <f t="shared" si="148"/>
        <v>199.92519498289477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26.581668830576294</v>
      </c>
      <c r="CL176" s="21">
        <f>EXP(-LN(2)/25)*CL175+(1-EXP(-LN(2)/25))/(LN(2)/25)*Calculateur!CG176*Calculateur!CI176*VLOOKUP('Données projet'!$B$12,Paramètres!$A$1:$I$89,3,0)*0.475*44/12</f>
        <v>3.6847821110860877</v>
      </c>
      <c r="CM176" s="21">
        <f>EXP(-LN(2)/2)*CM175+(1-EXP(-LN(2)/2))/(LN(2)/2)*CG176*CJ176*VLOOKUP('Données projet'!$B$12,Paramètres!$A$1:$I$89,3,0)*0.475*44/12</f>
        <v>5.059809554964567E-10</v>
      </c>
      <c r="CN176" s="22">
        <f t="shared" si="172"/>
        <v>30.266450942168362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5.6843418860808015E-13</v>
      </c>
      <c r="O177" s="13">
        <f>N177*VLOOKUP('Données projet'!$B$9,Paramètres!$A$1:$I$89,3,0)*VLOOKUP('Données projet'!$B$9,Paramètres!$A$1:$I$89,5,0)</f>
        <v>5.1431925385259092E-13</v>
      </c>
      <c r="P177" s="13">
        <f t="shared" si="141"/>
        <v>6.3855359115685756E-12</v>
      </c>
      <c r="Q177" s="20">
        <f t="shared" si="162"/>
        <v>1.2017247746441865E-11</v>
      </c>
      <c r="R177" s="59">
        <f t="shared" si="109"/>
        <v>293.33333333334531</v>
      </c>
      <c r="S177" s="59">
        <f ca="1">AVERAGE(OFFSET($R$3,0,0,'Données projet'!$E$9+1,1))-AVERAGE(OFFSET($H$3,0,0,'Données projet'!$E$9+1,1))</f>
        <v>384.05928630855732</v>
      </c>
      <c r="T177" s="59">
        <f t="shared" si="142"/>
        <v>279.93992813630513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72.966454507294713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72.966454507294713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-6.3550942286383367E-14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335.04906256888819</v>
      </c>
      <c r="AO177" s="59">
        <f t="shared" si="144"/>
        <v>440.84111898279554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21.471743377972754</v>
      </c>
      <c r="AV177" s="21">
        <f>EXP(-LN(2)/25)*AV176+(1-EXP(-LN(2)/25))/(LN(2)/25)*Calculateur!AQ177*Calculateur!AS177*VLOOKUP('Données projet'!$B$10,Paramètres!$A$1:$I$89,3,0)*0.475*44/12</f>
        <v>2.1260702431402909</v>
      </c>
      <c r="AW177" s="21">
        <f>EXP(-LN(2)/2)*AW176+(1-EXP(-LN(2)/2))/(LN(2)/2)*AQ177*AT177*VLOOKUP('Données projet'!$B$10,Paramètres!$A$1:$I$89,3,0)*0.475*44/12</f>
        <v>4.1903442027860034E-17</v>
      </c>
      <c r="AX177" s="21">
        <f t="shared" si="166"/>
        <v>23.597813621113044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261.20475283925128</v>
      </c>
      <c r="BJ177" s="59">
        <f t="shared" si="146"/>
        <v>247.06045079522403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21.219012785566463</v>
      </c>
      <c r="BQ177" s="21">
        <f>EXP(-LN(2)/25)*BQ176+(1-EXP(-LN(2)/25))/(LN(2)/25)*Calculateur!BL177*Calculateur!BN177*VLOOKUP('Données projet'!$B$11,Paramètres!$A$1:$I$89,3,0)*0.475*44/12</f>
        <v>2.4517145548290427</v>
      </c>
      <c r="BR177" s="21">
        <f>EXP(-LN(2)/2)*BR176+(1-EXP(-LN(2)/2))/(LN(2)/2)*BL177*BO177*VLOOKUP('Données projet'!$B$11,Paramètres!$A$1:$I$89,3,0)*0.475*44/12</f>
        <v>6.9933735829922129E-15</v>
      </c>
      <c r="BS177" s="22">
        <f t="shared" si="169"/>
        <v>23.670727340395512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-5.1159076974727213E-13</v>
      </c>
      <c r="BZ177" s="13">
        <f>BY177*VLOOKUP('Données projet'!$B$12,Paramètres!$A$1:$I$89,3,0)*VLOOKUP('Données projet'!$B$12,Paramètres!$A$1:$I$89,5,0)</f>
        <v>-2.9262992029543964E-13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268.71706840132384</v>
      </c>
      <c r="CE177" s="59">
        <f t="shared" si="148"/>
        <v>199.92519498289477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26.060418518025759</v>
      </c>
      <c r="CL177" s="21">
        <f>EXP(-LN(2)/25)*CL176+(1-EXP(-LN(2)/25))/(LN(2)/25)*Calculateur!CG177*Calculateur!CI177*VLOOKUP('Données projet'!$B$12,Paramètres!$A$1:$I$89,3,0)*0.475*44/12</f>
        <v>3.5840215504841693</v>
      </c>
      <c r="CM177" s="21">
        <f>EXP(-LN(2)/2)*CM176+(1-EXP(-LN(2)/2))/(LN(2)/2)*CG177*CJ177*VLOOKUP('Données projet'!$B$12,Paramètres!$A$1:$I$89,3,0)*0.475*44/12</f>
        <v>3.5778256478279326E-10</v>
      </c>
      <c r="CN177" s="22">
        <f t="shared" si="172"/>
        <v>29.644440068867713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5.6843418860808015E-13</v>
      </c>
      <c r="O178" s="13">
        <f>N178*VLOOKUP('Données projet'!$B$9,Paramètres!$A$1:$I$89,3,0)*VLOOKUP('Données projet'!$B$9,Paramètres!$A$1:$I$89,5,0)</f>
        <v>5.1431925385259092E-13</v>
      </c>
      <c r="P178" s="13">
        <f t="shared" si="141"/>
        <v>6.3855359115685756E-12</v>
      </c>
      <c r="Q178" s="20">
        <f t="shared" si="162"/>
        <v>1.2017247746441865E-11</v>
      </c>
      <c r="R178" s="59">
        <f t="shared" si="109"/>
        <v>293.33333333334531</v>
      </c>
      <c r="S178" s="59">
        <f ca="1">AVERAGE(OFFSET($R$3,0,0,'Données projet'!$E$9+1,1))-AVERAGE(OFFSET($H$3,0,0,'Données projet'!$E$9+1,1))</f>
        <v>384.05928630855732</v>
      </c>
      <c r="T178" s="59">
        <f t="shared" si="142"/>
        <v>279.93992813630513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71.535626839549394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71.535626839549394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-6.3550942286383367E-14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335.04906256888819</v>
      </c>
      <c r="AO178" s="59">
        <f t="shared" si="144"/>
        <v>440.84111898279554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21.050695586800998</v>
      </c>
      <c r="AV178" s="21">
        <f>EXP(-LN(2)/25)*AV177+(1-EXP(-LN(2)/25))/(LN(2)/25)*Calculateur!AQ178*Calculateur!AS178*VLOOKUP('Données projet'!$B$10,Paramètres!$A$1:$I$89,3,0)*0.475*44/12</f>
        <v>2.0679327405364449</v>
      </c>
      <c r="AW178" s="21">
        <f>EXP(-LN(2)/2)*AW177+(1-EXP(-LN(2)/2))/(LN(2)/2)*AQ178*AT178*VLOOKUP('Données projet'!$B$10,Paramètres!$A$1:$I$89,3,0)*0.475*44/12</f>
        <v>2.9630208012957204E-17</v>
      </c>
      <c r="AX178" s="21">
        <f t="shared" si="166"/>
        <v>23.118628327337444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261.20475283925128</v>
      </c>
      <c r="BJ178" s="59">
        <f t="shared" si="146"/>
        <v>247.06045079522403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20.802920887161356</v>
      </c>
      <c r="BQ178" s="21">
        <f>EXP(-LN(2)/25)*BQ177+(1-EXP(-LN(2)/25))/(LN(2)/25)*Calculateur!BL178*Calculateur!BN178*VLOOKUP('Données projet'!$B$11,Paramètres!$A$1:$I$89,3,0)*0.475*44/12</f>
        <v>2.3846722913971776</v>
      </c>
      <c r="BR178" s="21">
        <f>EXP(-LN(2)/2)*BR177+(1-EXP(-LN(2)/2))/(LN(2)/2)*BL178*BO178*VLOOKUP('Données projet'!$B$11,Paramètres!$A$1:$I$89,3,0)*0.475*44/12</f>
        <v>4.9450618839046568E-15</v>
      </c>
      <c r="BS178" s="22">
        <f t="shared" si="169"/>
        <v>23.187593178558537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-5.1159076974727213E-13</v>
      </c>
      <c r="BZ178" s="13">
        <f>BY178*VLOOKUP('Données projet'!$B$12,Paramètres!$A$1:$I$89,3,0)*VLOOKUP('Données projet'!$B$12,Paramètres!$A$1:$I$89,5,0)</f>
        <v>-2.9262992029543964E-13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268.71706840132384</v>
      </c>
      <c r="CE178" s="59">
        <f t="shared" si="148"/>
        <v>199.92519498289477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25.54938960617304</v>
      </c>
      <c r="CL178" s="21">
        <f>EXP(-LN(2)/25)*CL177+(1-EXP(-LN(2)/25))/(LN(2)/25)*Calculateur!CG178*Calculateur!CI178*VLOOKUP('Données projet'!$B$12,Paramètres!$A$1:$I$89,3,0)*0.475*44/12</f>
        <v>3.4860162927106777</v>
      </c>
      <c r="CM178" s="21">
        <f>EXP(-LN(2)/2)*CM177+(1-EXP(-LN(2)/2))/(LN(2)/2)*CG178*CJ178*VLOOKUP('Données projet'!$B$12,Paramètres!$A$1:$I$89,3,0)*0.475*44/12</f>
        <v>2.5299047774822835E-10</v>
      </c>
      <c r="CN178" s="22">
        <f t="shared" si="172"/>
        <v>29.035405899136705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5.6843418860808015E-13</v>
      </c>
      <c r="O179" s="13">
        <f>N179*VLOOKUP('Données projet'!$B$9,Paramètres!$A$1:$I$89,3,0)*VLOOKUP('Données projet'!$B$9,Paramètres!$A$1:$I$89,5,0)</f>
        <v>5.1431925385259092E-13</v>
      </c>
      <c r="P179" s="13">
        <f t="shared" si="141"/>
        <v>6.3855359115685756E-12</v>
      </c>
      <c r="Q179" s="20">
        <f t="shared" si="162"/>
        <v>1.2017247746441865E-11</v>
      </c>
      <c r="R179" s="59">
        <f t="shared" si="109"/>
        <v>293.33333333334531</v>
      </c>
      <c r="S179" s="59">
        <f ca="1">AVERAGE(OFFSET($R$3,0,0,'Données projet'!$E$9+1,1))-AVERAGE(OFFSET($H$3,0,0,'Données projet'!$E$9+1,1))</f>
        <v>384.05928630855732</v>
      </c>
      <c r="T179" s="59">
        <f t="shared" si="142"/>
        <v>279.93992813630513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70.132856829649853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70.132856829649853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-6.3550942286383367E-14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335.04906256888819</v>
      </c>
      <c r="AO179" s="59">
        <f t="shared" si="144"/>
        <v>440.84111898279554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20.637904286000328</v>
      </c>
      <c r="AV179" s="21">
        <f>EXP(-LN(2)/25)*AV178+(1-EXP(-LN(2)/25))/(LN(2)/25)*Calculateur!AQ179*Calculateur!AS179*VLOOKUP('Données projet'!$B$10,Paramètres!$A$1:$I$89,3,0)*0.475*44/12</f>
        <v>2.0113850109986195</v>
      </c>
      <c r="AW179" s="21">
        <f>EXP(-LN(2)/2)*AW178+(1-EXP(-LN(2)/2))/(LN(2)/2)*AQ179*AT179*VLOOKUP('Données projet'!$B$10,Paramètres!$A$1:$I$89,3,0)*0.475*44/12</f>
        <v>2.0951721013930017E-17</v>
      </c>
      <c r="AX179" s="21">
        <f t="shared" si="166"/>
        <v>22.649289296998948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261.20475283925128</v>
      </c>
      <c r="BJ179" s="59">
        <f t="shared" si="146"/>
        <v>247.06045079522403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20.394988297092976</v>
      </c>
      <c r="BQ179" s="21">
        <f>EXP(-LN(2)/25)*BQ178+(1-EXP(-LN(2)/25))/(LN(2)/25)*Calculateur!BL179*Calculateur!BN179*VLOOKUP('Données projet'!$B$11,Paramètres!$A$1:$I$89,3,0)*0.475*44/12</f>
        <v>2.3194633021844564</v>
      </c>
      <c r="BR179" s="21">
        <f>EXP(-LN(2)/2)*BR178+(1-EXP(-LN(2)/2))/(LN(2)/2)*BL179*BO179*VLOOKUP('Données projet'!$B$11,Paramètres!$A$1:$I$89,3,0)*0.475*44/12</f>
        <v>3.4966867914961069E-15</v>
      </c>
      <c r="BS179" s="22">
        <f t="shared" si="169"/>
        <v>22.714451599277435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-5.1159076974727213E-13</v>
      </c>
      <c r="BZ179" s="13">
        <f>BY179*VLOOKUP('Données projet'!$B$12,Paramètres!$A$1:$I$89,3,0)*VLOOKUP('Données projet'!$B$12,Paramètres!$A$1:$I$89,5,0)</f>
        <v>-2.9262992029543964E-13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268.71706840132384</v>
      </c>
      <c r="CE179" s="59">
        <f t="shared" si="148"/>
        <v>199.92519498289477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25.048381659584894</v>
      </c>
      <c r="CL179" s="21">
        <f>EXP(-LN(2)/25)*CL178+(1-EXP(-LN(2)/25))/(LN(2)/25)*Calculateur!CG179*Calculateur!CI179*VLOOKUP('Données projet'!$B$12,Paramètres!$A$1:$I$89,3,0)*0.475*44/12</f>
        <v>3.3906909938648746</v>
      </c>
      <c r="CM179" s="21">
        <f>EXP(-LN(2)/2)*CM178+(1-EXP(-LN(2)/2))/(LN(2)/2)*CG179*CJ179*VLOOKUP('Données projet'!$B$12,Paramètres!$A$1:$I$89,3,0)*0.475*44/12</f>
        <v>1.7889128239139663E-10</v>
      </c>
      <c r="CN179" s="22">
        <f t="shared" si="172"/>
        <v>28.43907265362866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5.6843418860808015E-13</v>
      </c>
      <c r="O180" s="13">
        <f>N180*VLOOKUP('Données projet'!$B$9,Paramètres!$A$1:$I$89,3,0)*VLOOKUP('Données projet'!$B$9,Paramètres!$A$1:$I$89,5,0)</f>
        <v>5.1431925385259092E-13</v>
      </c>
      <c r="P180" s="13">
        <f t="shared" si="141"/>
        <v>6.3855359115685756E-12</v>
      </c>
      <c r="Q180" s="20">
        <f t="shared" si="162"/>
        <v>1.2017247746441865E-11</v>
      </c>
      <c r="R180" s="59">
        <f t="shared" si="109"/>
        <v>293.33333333334531</v>
      </c>
      <c r="S180" s="59">
        <f ca="1">AVERAGE(OFFSET($R$3,0,0,'Données projet'!$E$9+1,1))-AVERAGE(OFFSET($H$3,0,0,'Données projet'!$E$9+1,1))</f>
        <v>384.05928630855732</v>
      </c>
      <c r="T180" s="59">
        <f t="shared" si="142"/>
        <v>279.93992813630513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68.757594284039229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68.757594284039229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-6.3550942286383367E-14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335.04906256888819</v>
      </c>
      <c r="AO180" s="59">
        <f t="shared" si="144"/>
        <v>440.84111898279554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20.233207570830526</v>
      </c>
      <c r="AV180" s="21">
        <f>EXP(-LN(2)/25)*AV179+(1-EXP(-LN(2)/25))/(LN(2)/25)*Calculateur!AQ180*Calculateur!AS180*VLOOKUP('Données projet'!$B$10,Paramètres!$A$1:$I$89,3,0)*0.475*44/12</f>
        <v>1.9563835820987217</v>
      </c>
      <c r="AW180" s="21">
        <f>EXP(-LN(2)/2)*AW179+(1-EXP(-LN(2)/2))/(LN(2)/2)*AQ180*AT180*VLOOKUP('Données projet'!$B$10,Paramètres!$A$1:$I$89,3,0)*0.475*44/12</f>
        <v>1.4815104006478602E-17</v>
      </c>
      <c r="AX180" s="21">
        <f t="shared" si="166"/>
        <v>22.189591152929246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261.20475283925128</v>
      </c>
      <c r="BJ180" s="59">
        <f t="shared" si="146"/>
        <v>247.06045079522403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19.995055016301524</v>
      </c>
      <c r="BQ180" s="21">
        <f>EXP(-LN(2)/25)*BQ179+(1-EXP(-LN(2)/25))/(LN(2)/25)*Calculateur!BL180*Calculateur!BN180*VLOOKUP('Données projet'!$B$11,Paramètres!$A$1:$I$89,3,0)*0.475*44/12</f>
        <v>2.2560374562109486</v>
      </c>
      <c r="BR180" s="21">
        <f>EXP(-LN(2)/2)*BR179+(1-EXP(-LN(2)/2))/(LN(2)/2)*BL180*BO180*VLOOKUP('Données projet'!$B$11,Paramètres!$A$1:$I$89,3,0)*0.475*44/12</f>
        <v>2.4725309419523288E-15</v>
      </c>
      <c r="BS180" s="22">
        <f t="shared" si="169"/>
        <v>22.251092472512475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-5.1159076974727213E-13</v>
      </c>
      <c r="BZ180" s="13">
        <f>BY180*VLOOKUP('Données projet'!$B$12,Paramètres!$A$1:$I$89,3,0)*VLOOKUP('Données projet'!$B$12,Paramètres!$A$1:$I$89,5,0)</f>
        <v>-2.9262992029543964E-13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268.71706840132384</v>
      </c>
      <c r="CE180" s="59">
        <f t="shared" si="148"/>
        <v>199.92519498289477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24.557198173244668</v>
      </c>
      <c r="CL180" s="21">
        <f>EXP(-LN(2)/25)*CL179+(1-EXP(-LN(2)/25))/(LN(2)/25)*Calculateur!CG180*Calculateur!CI180*VLOOKUP('Données projet'!$B$12,Paramètres!$A$1:$I$89,3,0)*0.475*44/12</f>
        <v>3.2979723703289499</v>
      </c>
      <c r="CM180" s="21">
        <f>EXP(-LN(2)/2)*CM179+(1-EXP(-LN(2)/2))/(LN(2)/2)*CG180*CJ180*VLOOKUP('Données projet'!$B$12,Paramètres!$A$1:$I$89,3,0)*0.475*44/12</f>
        <v>1.2649523887411418E-10</v>
      </c>
      <c r="CN180" s="22">
        <f t="shared" si="172"/>
        <v>27.855170543700112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5.6843418860808015E-13</v>
      </c>
      <c r="O181" s="13">
        <f>N181*VLOOKUP('Données projet'!$B$9,Paramètres!$A$1:$I$89,3,0)*VLOOKUP('Données projet'!$B$9,Paramètres!$A$1:$I$89,5,0)</f>
        <v>5.1431925385259092E-13</v>
      </c>
      <c r="P181" s="13">
        <f t="shared" si="141"/>
        <v>6.3855359115685756E-12</v>
      </c>
      <c r="Q181" s="20">
        <f t="shared" si="162"/>
        <v>1.2017247746441865E-11</v>
      </c>
      <c r="R181" s="59">
        <f t="shared" si="109"/>
        <v>293.33333333334531</v>
      </c>
      <c r="S181" s="59">
        <f ca="1">AVERAGE(OFFSET($R$3,0,0,'Données projet'!$E$9+1,1))-AVERAGE(OFFSET($H$3,0,0,'Données projet'!$E$9+1,1))</f>
        <v>384.05928630855732</v>
      </c>
      <c r="T181" s="59">
        <f t="shared" si="142"/>
        <v>279.93992813630513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67.409299798120699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67.409299798120699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-6.3550942286383367E-14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335.04906256888819</v>
      </c>
      <c r="AO181" s="59">
        <f t="shared" si="144"/>
        <v>440.84111898279554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19.83644671140458</v>
      </c>
      <c r="AV181" s="21">
        <f>EXP(-LN(2)/25)*AV180+(1-EXP(-LN(2)/25))/(LN(2)/25)*Calculateur!AQ181*Calculateur!AS181*VLOOKUP('Données projet'!$B$10,Paramètres!$A$1:$I$89,3,0)*0.475*44/12</f>
        <v>1.9028861701644908</v>
      </c>
      <c r="AW181" s="21">
        <f>EXP(-LN(2)/2)*AW180+(1-EXP(-LN(2)/2))/(LN(2)/2)*AQ181*AT181*VLOOKUP('Données projet'!$B$10,Paramètres!$A$1:$I$89,3,0)*0.475*44/12</f>
        <v>1.0475860506965008E-17</v>
      </c>
      <c r="AX181" s="21">
        <f t="shared" si="166"/>
        <v>21.739332881569069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261.20475283925128</v>
      </c>
      <c r="BJ181" s="59">
        <f t="shared" si="146"/>
        <v>247.06045079522403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19.602964183211178</v>
      </c>
      <c r="BQ181" s="21">
        <f>EXP(-LN(2)/25)*BQ180+(1-EXP(-LN(2)/25))/(LN(2)/25)*Calculateur!BL181*Calculateur!BN181*VLOOKUP('Données projet'!$B$11,Paramètres!$A$1:$I$89,3,0)*0.475*44/12</f>
        <v>2.1943459933310066</v>
      </c>
      <c r="BR181" s="21">
        <f>EXP(-LN(2)/2)*BR180+(1-EXP(-LN(2)/2))/(LN(2)/2)*BL181*BO181*VLOOKUP('Données projet'!$B$11,Paramètres!$A$1:$I$89,3,0)*0.475*44/12</f>
        <v>1.7483433957480536E-15</v>
      </c>
      <c r="BS181" s="22">
        <f t="shared" si="169"/>
        <v>21.797310176542183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-5.1159076974727213E-13</v>
      </c>
      <c r="BZ181" s="13">
        <f>BY181*VLOOKUP('Données projet'!$B$12,Paramètres!$A$1:$I$89,3,0)*VLOOKUP('Données projet'!$B$12,Paramètres!$A$1:$I$89,5,0)</f>
        <v>-2.9262992029543964E-13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268.71706840132384</v>
      </c>
      <c r="CE181" s="59">
        <f t="shared" si="148"/>
        <v>199.92519498289477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24.07564649547923</v>
      </c>
      <c r="CL181" s="21">
        <f>EXP(-LN(2)/25)*CL180+(1-EXP(-LN(2)/25))/(LN(2)/25)*Calculateur!CG181*Calculateur!CI181*VLOOKUP('Données projet'!$B$12,Paramètres!$A$1:$I$89,3,0)*0.475*44/12</f>
        <v>3.2077891424294753</v>
      </c>
      <c r="CM181" s="21">
        <f>EXP(-LN(2)/2)*CM180+(1-EXP(-LN(2)/2))/(LN(2)/2)*CG181*CJ181*VLOOKUP('Données projet'!$B$12,Paramètres!$A$1:$I$89,3,0)*0.475*44/12</f>
        <v>8.9445641195698315E-11</v>
      </c>
      <c r="CN181" s="22">
        <f t="shared" si="172"/>
        <v>27.283435637998153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5.6843418860808015E-13</v>
      </c>
      <c r="O182" s="13">
        <f>N182*VLOOKUP('Données projet'!$B$9,Paramètres!$A$1:$I$89,3,0)*VLOOKUP('Données projet'!$B$9,Paramètres!$A$1:$I$89,5,0)</f>
        <v>5.1431925385259092E-13</v>
      </c>
      <c r="P182" s="13">
        <f t="shared" si="141"/>
        <v>6.3855359115685756E-12</v>
      </c>
      <c r="Q182" s="20">
        <f t="shared" si="162"/>
        <v>1.2017247746441865E-11</v>
      </c>
      <c r="R182" s="59">
        <f t="shared" si="109"/>
        <v>293.33333333334531</v>
      </c>
      <c r="S182" s="59">
        <f ca="1">AVERAGE(OFFSET($R$3,0,0,'Données projet'!$E$9+1,1))-AVERAGE(OFFSET($H$3,0,0,'Données projet'!$E$9+1,1))</f>
        <v>384.05928630855732</v>
      </c>
      <c r="T182" s="59">
        <f t="shared" si="142"/>
        <v>279.93992813630513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66.087444544692602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66.087444544692602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-6.3550942286383367E-14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335.04906256888819</v>
      </c>
      <c r="AO182" s="59">
        <f t="shared" si="144"/>
        <v>440.84111898279554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19.44746609043175</v>
      </c>
      <c r="AV182" s="21">
        <f>EXP(-LN(2)/25)*AV181+(1-EXP(-LN(2)/25))/(LN(2)/25)*Calculateur!AQ182*Calculateur!AS182*VLOOKUP('Données projet'!$B$10,Paramètres!$A$1:$I$89,3,0)*0.475*44/12</f>
        <v>1.8508516477729082</v>
      </c>
      <c r="AW182" s="21">
        <f>EXP(-LN(2)/2)*AW181+(1-EXP(-LN(2)/2))/(LN(2)/2)*AQ182*AT182*VLOOKUP('Données projet'!$B$10,Paramètres!$A$1:$I$89,3,0)*0.475*44/12</f>
        <v>7.407552003239301E-18</v>
      </c>
      <c r="AX182" s="21">
        <f t="shared" si="166"/>
        <v>21.298317738204659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261.20475283925128</v>
      </c>
      <c r="BJ182" s="59">
        <f t="shared" si="146"/>
        <v>247.06045079522403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19.21856201220594</v>
      </c>
      <c r="BQ182" s="21">
        <f>EXP(-LN(2)/25)*BQ181+(1-EXP(-LN(2)/25))/(LN(2)/25)*Calculateur!BL182*Calculateur!BN182*VLOOKUP('Données projet'!$B$11,Paramètres!$A$1:$I$89,3,0)*0.475*44/12</f>
        <v>2.1343414867477297</v>
      </c>
      <c r="BR182" s="21">
        <f>EXP(-LN(2)/2)*BR181+(1-EXP(-LN(2)/2))/(LN(2)/2)*BL182*BO182*VLOOKUP('Données projet'!$B$11,Paramètres!$A$1:$I$89,3,0)*0.475*44/12</f>
        <v>1.2362654709761646E-15</v>
      </c>
      <c r="BS182" s="22">
        <f t="shared" si="169"/>
        <v>21.352903498953669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-5.1159076974727213E-13</v>
      </c>
      <c r="BZ182" s="13">
        <f>BY182*VLOOKUP('Données projet'!$B$12,Paramètres!$A$1:$I$89,3,0)*VLOOKUP('Données projet'!$B$12,Paramètres!$A$1:$I$89,5,0)</f>
        <v>-2.9262992029543964E-13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268.71706840132384</v>
      </c>
      <c r="CE182" s="59">
        <f t="shared" si="148"/>
        <v>199.92519498289477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23.603537752397251</v>
      </c>
      <c r="CL182" s="21">
        <f>EXP(-LN(2)/25)*CL181+(1-EXP(-LN(2)/25))/(LN(2)/25)*Calculateur!CG182*Calculateur!CI182*VLOOKUP('Données projet'!$B$12,Paramètres!$A$1:$I$89,3,0)*0.475*44/12</f>
        <v>3.1200719796394418</v>
      </c>
      <c r="CM182" s="21">
        <f>EXP(-LN(2)/2)*CM181+(1-EXP(-LN(2)/2))/(LN(2)/2)*CG182*CJ182*VLOOKUP('Données projet'!$B$12,Paramètres!$A$1:$I$89,3,0)*0.475*44/12</f>
        <v>6.3247619437057088E-11</v>
      </c>
      <c r="CN182" s="22">
        <f t="shared" si="172"/>
        <v>26.723609732099941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5.6843418860808015E-13</v>
      </c>
      <c r="O183" s="13">
        <f>N183*VLOOKUP('Données projet'!$B$9,Paramètres!$A$1:$I$89,3,0)*VLOOKUP('Données projet'!$B$9,Paramètres!$A$1:$I$89,5,0)</f>
        <v>5.1431925385259092E-13</v>
      </c>
      <c r="P183" s="13">
        <f t="shared" si="141"/>
        <v>6.3855359115685756E-12</v>
      </c>
      <c r="Q183" s="20">
        <f t="shared" si="162"/>
        <v>1.2017247746441865E-11</v>
      </c>
      <c r="R183" s="59">
        <f t="shared" si="109"/>
        <v>293.33333333334531</v>
      </c>
      <c r="S183" s="59">
        <f ca="1">AVERAGE(OFFSET($R$3,0,0,'Données projet'!$E$9+1,1))-AVERAGE(OFFSET($H$3,0,0,'Données projet'!$E$9+1,1))</f>
        <v>384.05928630855732</v>
      </c>
      <c r="T183" s="59">
        <f t="shared" si="142"/>
        <v>279.93992813630513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64.79151006653214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64.79151006653214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-6.3550942286383367E-14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335.04906256888819</v>
      </c>
      <c r="AO183" s="59">
        <f t="shared" si="144"/>
        <v>440.84111898279554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19.066113142181443</v>
      </c>
      <c r="AV183" s="21">
        <f>EXP(-LN(2)/25)*AV182+(1-EXP(-LN(2)/25))/(LN(2)/25)*Calculateur!AQ183*Calculateur!AS183*VLOOKUP('Données projet'!$B$10,Paramètres!$A$1:$I$89,3,0)*0.475*44/12</f>
        <v>1.8002400121325002</v>
      </c>
      <c r="AW183" s="21">
        <f>EXP(-LN(2)/2)*AW182+(1-EXP(-LN(2)/2))/(LN(2)/2)*AQ183*AT183*VLOOKUP('Données projet'!$B$10,Paramètres!$A$1:$I$89,3,0)*0.475*44/12</f>
        <v>5.2379302534825042E-18</v>
      </c>
      <c r="AX183" s="21">
        <f t="shared" si="166"/>
        <v>20.866353154313945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261.20475283925128</v>
      </c>
      <c r="BJ183" s="59">
        <f t="shared" si="146"/>
        <v>247.06045079522403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18.841697733311943</v>
      </c>
      <c r="BQ183" s="21">
        <f>EXP(-LN(2)/25)*BQ182+(1-EXP(-LN(2)/25))/(LN(2)/25)*Calculateur!BL183*Calculateur!BN183*VLOOKUP('Données projet'!$B$11,Paramètres!$A$1:$I$89,3,0)*0.475*44/12</f>
        <v>2.0759778065524723</v>
      </c>
      <c r="BR183" s="21">
        <f>EXP(-LN(2)/2)*BR182+(1-EXP(-LN(2)/2))/(LN(2)/2)*BL183*BO183*VLOOKUP('Données projet'!$B$11,Paramètres!$A$1:$I$89,3,0)*0.475*44/12</f>
        <v>8.7417169787402701E-16</v>
      </c>
      <c r="BS183" s="22">
        <f t="shared" si="169"/>
        <v>20.917675539864415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-5.1159076974727213E-13</v>
      </c>
      <c r="BZ183" s="13">
        <f>BY183*VLOOKUP('Données projet'!$B$12,Paramètres!$A$1:$I$89,3,0)*VLOOKUP('Données projet'!$B$12,Paramètres!$A$1:$I$89,5,0)</f>
        <v>-2.9262992029543964E-13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268.71706840132384</v>
      </c>
      <c r="CE183" s="59">
        <f t="shared" si="148"/>
        <v>199.92519498289477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23.140686773809211</v>
      </c>
      <c r="CL183" s="21">
        <f>EXP(-LN(2)/25)*CL182+(1-EXP(-LN(2)/25))/(LN(2)/25)*Calculateur!CG183*Calculateur!CI183*VLOOKUP('Données projet'!$B$12,Paramètres!$A$1:$I$89,3,0)*0.475*44/12</f>
        <v>3.0347534472787467</v>
      </c>
      <c r="CM183" s="21">
        <f>EXP(-LN(2)/2)*CM182+(1-EXP(-LN(2)/2))/(LN(2)/2)*CG183*CJ183*VLOOKUP('Données projet'!$B$12,Paramètres!$A$1:$I$89,3,0)*0.475*44/12</f>
        <v>4.4722820597849157E-11</v>
      </c>
      <c r="CN183" s="22">
        <f t="shared" si="172"/>
        <v>26.175440221132678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5.6843418860808015E-13</v>
      </c>
      <c r="O184" s="13">
        <f>N184*VLOOKUP('Données projet'!$B$9,Paramètres!$A$1:$I$89,3,0)*VLOOKUP('Données projet'!$B$9,Paramètres!$A$1:$I$89,5,0)</f>
        <v>5.1431925385259092E-13</v>
      </c>
      <c r="P184" s="13">
        <f t="shared" si="141"/>
        <v>6.3855359115685756E-12</v>
      </c>
      <c r="Q184" s="20">
        <f t="shared" si="162"/>
        <v>1.2017247746441865E-11</v>
      </c>
      <c r="R184" s="59">
        <f t="shared" si="109"/>
        <v>293.33333333334531</v>
      </c>
      <c r="S184" s="59">
        <f ca="1">AVERAGE(OFFSET($R$3,0,0,'Données projet'!$E$9+1,1))-AVERAGE(OFFSET($H$3,0,0,'Données projet'!$E$9+1,1))</f>
        <v>384.05928630855732</v>
      </c>
      <c r="T184" s="59">
        <f t="shared" si="142"/>
        <v>279.93992813630513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63.520988073046418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63.520988073046418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-6.3550942286383367E-14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335.04906256888819</v>
      </c>
      <c r="AO184" s="59">
        <f t="shared" si="144"/>
        <v>440.84111898279554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18.692238292643996</v>
      </c>
      <c r="AV184" s="21">
        <f>EXP(-LN(2)/25)*AV183+(1-EXP(-LN(2)/25))/(LN(2)/25)*Calculateur!AQ184*Calculateur!AS184*VLOOKUP('Données projet'!$B$10,Paramètres!$A$1:$I$89,3,0)*0.475*44/12</f>
        <v>1.7510123543302292</v>
      </c>
      <c r="AW184" s="21">
        <f>EXP(-LN(2)/2)*AW183+(1-EXP(-LN(2)/2))/(LN(2)/2)*AQ184*AT184*VLOOKUP('Données projet'!$B$10,Paramètres!$A$1:$I$89,3,0)*0.475*44/12</f>
        <v>3.7037760016196505E-18</v>
      </c>
      <c r="AX184" s="21">
        <f t="shared" si="166"/>
        <v>20.443250646974224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261.20475283925128</v>
      </c>
      <c r="BJ184" s="59">
        <f t="shared" si="146"/>
        <v>247.06045079522403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18.472223533062543</v>
      </c>
      <c r="BQ184" s="21">
        <f>EXP(-LN(2)/25)*BQ183+(1-EXP(-LN(2)/25))/(LN(2)/25)*Calculateur!BL184*Calculateur!BN184*VLOOKUP('Données projet'!$B$11,Paramètres!$A$1:$I$89,3,0)*0.475*44/12</f>
        <v>2.0192100842613669</v>
      </c>
      <c r="BR184" s="21">
        <f>EXP(-LN(2)/2)*BR183+(1-EXP(-LN(2)/2))/(LN(2)/2)*BL184*BO184*VLOOKUP('Données projet'!$B$11,Paramètres!$A$1:$I$89,3,0)*0.475*44/12</f>
        <v>6.1813273548808239E-16</v>
      </c>
      <c r="BS184" s="22">
        <f t="shared" si="169"/>
        <v>20.49143361732391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-5.1159076974727213E-13</v>
      </c>
      <c r="BZ184" s="13">
        <f>BY184*VLOOKUP('Données projet'!$B$12,Paramètres!$A$1:$I$89,3,0)*VLOOKUP('Données projet'!$B$12,Paramètres!$A$1:$I$89,5,0)</f>
        <v>-2.9262992029543964E-13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268.71706840132384</v>
      </c>
      <c r="CE184" s="59">
        <f t="shared" si="148"/>
        <v>199.92519498289477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22.686912020600062</v>
      </c>
      <c r="CL184" s="21">
        <f>EXP(-LN(2)/25)*CL183+(1-EXP(-LN(2)/25))/(LN(2)/25)*Calculateur!CG184*Calculateur!CI184*VLOOKUP('Données projet'!$B$12,Paramètres!$A$1:$I$89,3,0)*0.475*44/12</f>
        <v>2.9517679546721616</v>
      </c>
      <c r="CM184" s="21">
        <f>EXP(-LN(2)/2)*CM183+(1-EXP(-LN(2)/2))/(LN(2)/2)*CG184*CJ184*VLOOKUP('Données projet'!$B$12,Paramètres!$A$1:$I$89,3,0)*0.475*44/12</f>
        <v>3.1623809718528544E-11</v>
      </c>
      <c r="CN184" s="22">
        <f t="shared" si="172"/>
        <v>25.638679975303845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5.6843418860808015E-13</v>
      </c>
      <c r="O185" s="13">
        <f>N185*VLOOKUP('Données projet'!$B$9,Paramètres!$A$1:$I$89,3,0)*VLOOKUP('Données projet'!$B$9,Paramètres!$A$1:$I$89,5,0)</f>
        <v>5.1431925385259092E-13</v>
      </c>
      <c r="P185" s="13">
        <f t="shared" si="141"/>
        <v>6.3855359115685756E-12</v>
      </c>
      <c r="Q185" s="20">
        <f t="shared" si="162"/>
        <v>1.2017247746441865E-11</v>
      </c>
      <c r="R185" s="59">
        <f t="shared" si="109"/>
        <v>293.33333333334531</v>
      </c>
      <c r="S185" s="59">
        <f ca="1">AVERAGE(OFFSET($R$3,0,0,'Données projet'!$E$9+1,1))-AVERAGE(OFFSET($H$3,0,0,'Données projet'!$E$9+1,1))</f>
        <v>384.05928630855732</v>
      </c>
      <c r="T185" s="59">
        <f t="shared" si="142"/>
        <v>279.93992813630513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62.275380240911055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62.275380240911055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-6.3550942286383367E-14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335.04906256888819</v>
      </c>
      <c r="AO185" s="59">
        <f t="shared" si="144"/>
        <v>440.84111898279554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18.325694900864836</v>
      </c>
      <c r="AV185" s="21">
        <f>EXP(-LN(2)/25)*AV184+(1-EXP(-LN(2)/25))/(LN(2)/25)*Calculateur!AQ185*Calculateur!AS185*VLOOKUP('Données projet'!$B$10,Paramètres!$A$1:$I$89,3,0)*0.475*44/12</f>
        <v>1.7031308294193312</v>
      </c>
      <c r="AW185" s="21">
        <f>EXP(-LN(2)/2)*AW184+(1-EXP(-LN(2)/2))/(LN(2)/2)*AQ185*AT185*VLOOKUP('Données projet'!$B$10,Paramètres!$A$1:$I$89,3,0)*0.475*44/12</f>
        <v>2.6189651267412521E-18</v>
      </c>
      <c r="AX185" s="21">
        <f t="shared" si="166"/>
        <v>20.028825730284169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261.20475283925128</v>
      </c>
      <c r="BJ185" s="59">
        <f t="shared" si="146"/>
        <v>247.06045079522403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18.109994496523022</v>
      </c>
      <c r="BQ185" s="21">
        <f>EXP(-LN(2)/25)*BQ184+(1-EXP(-LN(2)/25))/(LN(2)/25)*Calculateur!BL185*Calculateur!BN185*VLOOKUP('Données projet'!$B$11,Paramètres!$A$1:$I$89,3,0)*0.475*44/12</f>
        <v>1.9639946783215965</v>
      </c>
      <c r="BR185" s="21">
        <f>EXP(-LN(2)/2)*BR184+(1-EXP(-LN(2)/2))/(LN(2)/2)*BL185*BO185*VLOOKUP('Données projet'!$B$11,Paramètres!$A$1:$I$89,3,0)*0.475*44/12</f>
        <v>4.3708584893701356E-16</v>
      </c>
      <c r="BS185" s="22">
        <f t="shared" si="169"/>
        <v>20.07398917484462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-5.1159076974727213E-13</v>
      </c>
      <c r="BZ185" s="13">
        <f>BY185*VLOOKUP('Données projet'!$B$12,Paramètres!$A$1:$I$89,3,0)*VLOOKUP('Données projet'!$B$12,Paramètres!$A$1:$I$89,5,0)</f>
        <v>-2.9262992029543964E-13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268.71706840132384</v>
      </c>
      <c r="CE185" s="59">
        <f t="shared" si="148"/>
        <v>199.92519498289477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22.242035513526073</v>
      </c>
      <c r="CL185" s="21">
        <f>EXP(-LN(2)/25)*CL184+(1-EXP(-LN(2)/25))/(LN(2)/25)*Calculateur!CG185*Calculateur!CI185*VLOOKUP('Données projet'!$B$12,Paramètres!$A$1:$I$89,3,0)*0.475*44/12</f>
        <v>2.8710517047249211</v>
      </c>
      <c r="CM185" s="21">
        <f>EXP(-LN(2)/2)*CM184+(1-EXP(-LN(2)/2))/(LN(2)/2)*CG185*CJ185*VLOOKUP('Données projet'!$B$12,Paramètres!$A$1:$I$89,3,0)*0.475*44/12</f>
        <v>2.2361410298924579E-11</v>
      </c>
      <c r="CN185" s="22">
        <f t="shared" si="172"/>
        <v>25.113087218273353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5.6843418860808015E-13</v>
      </c>
      <c r="O186" s="13">
        <f>N186*VLOOKUP('Données projet'!$B$9,Paramètres!$A$1:$I$89,3,0)*VLOOKUP('Données projet'!$B$9,Paramètres!$A$1:$I$89,5,0)</f>
        <v>5.1431925385259092E-13</v>
      </c>
      <c r="P186" s="13">
        <f t="shared" si="141"/>
        <v>6.3855359115685756E-12</v>
      </c>
      <c r="Q186" s="20">
        <f t="shared" si="162"/>
        <v>1.2017247746441865E-11</v>
      </c>
      <c r="R186" s="59">
        <f t="shared" si="109"/>
        <v>293.33333333334531</v>
      </c>
      <c r="S186" s="59">
        <f ca="1">AVERAGE(OFFSET($R$3,0,0,'Données projet'!$E$9+1,1))-AVERAGE(OFFSET($H$3,0,0,'Données projet'!$E$9+1,1))</f>
        <v>384.05928630855732</v>
      </c>
      <c r="T186" s="59">
        <f t="shared" si="142"/>
        <v>279.93992813630513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61.054198018618102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61.054198018618102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-6.3550942286383367E-14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335.04906256888819</v>
      </c>
      <c r="AO186" s="59">
        <f t="shared" si="144"/>
        <v>440.84111898279554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17.966339201429072</v>
      </c>
      <c r="AV186" s="21">
        <f>EXP(-LN(2)/25)*AV185+(1-EXP(-LN(2)/25))/(LN(2)/25)*Calculateur!AQ186*Calculateur!AS186*VLOOKUP('Données projet'!$B$10,Paramètres!$A$1:$I$89,3,0)*0.475*44/12</f>
        <v>1.6565586273251018</v>
      </c>
      <c r="AW186" s="21">
        <f>EXP(-LN(2)/2)*AW185+(1-EXP(-LN(2)/2))/(LN(2)/2)*AQ186*AT186*VLOOKUP('Données projet'!$B$10,Paramètres!$A$1:$I$89,3,0)*0.475*44/12</f>
        <v>1.8518880008098253E-18</v>
      </c>
      <c r="AX186" s="21">
        <f t="shared" si="166"/>
        <v>19.622897828754173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261.20475283925128</v>
      </c>
      <c r="BJ186" s="59">
        <f t="shared" si="146"/>
        <v>247.06045079522403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17.754868550452144</v>
      </c>
      <c r="BQ186" s="21">
        <f>EXP(-LN(2)/25)*BQ185+(1-EXP(-LN(2)/25))/(LN(2)/25)*Calculateur!BL186*Calculateur!BN186*VLOOKUP('Données projet'!$B$11,Paramètres!$A$1:$I$89,3,0)*0.475*44/12</f>
        <v>1.910289140560901</v>
      </c>
      <c r="BR186" s="21">
        <f>EXP(-LN(2)/2)*BR185+(1-EXP(-LN(2)/2))/(LN(2)/2)*BL186*BO186*VLOOKUP('Données projet'!$B$11,Paramètres!$A$1:$I$89,3,0)*0.475*44/12</f>
        <v>3.0906636774404124E-16</v>
      </c>
      <c r="BS186" s="22">
        <f t="shared" si="169"/>
        <v>19.665157691013047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-5.1159076974727213E-13</v>
      </c>
      <c r="BZ186" s="13">
        <f>BY186*VLOOKUP('Données projet'!$B$12,Paramètres!$A$1:$I$89,3,0)*VLOOKUP('Données projet'!$B$12,Paramètres!$A$1:$I$89,5,0)</f>
        <v>-2.9262992029543964E-13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268.71706840132384</v>
      </c>
      <c r="CE186" s="59">
        <f t="shared" si="148"/>
        <v>199.92519498289477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21.805882763407929</v>
      </c>
      <c r="CL186" s="21">
        <f>EXP(-LN(2)/25)*CL185+(1-EXP(-LN(2)/25))/(LN(2)/25)*Calculateur!CG186*Calculateur!CI186*VLOOKUP('Données projet'!$B$12,Paramètres!$A$1:$I$89,3,0)*0.475*44/12</f>
        <v>2.7925426448771709</v>
      </c>
      <c r="CM186" s="21">
        <f>EXP(-LN(2)/2)*CM185+(1-EXP(-LN(2)/2))/(LN(2)/2)*CG186*CJ186*VLOOKUP('Données projet'!$B$12,Paramètres!$A$1:$I$89,3,0)*0.475*44/12</f>
        <v>1.5811904859264272E-11</v>
      </c>
      <c r="CN186" s="22">
        <f t="shared" si="172"/>
        <v>24.598425408300912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5.6843418860808015E-13</v>
      </c>
      <c r="O187" s="13">
        <f>N187*VLOOKUP('Données projet'!$B$9,Paramètres!$A$1:$I$89,3,0)*VLOOKUP('Données projet'!$B$9,Paramètres!$A$1:$I$89,5,0)</f>
        <v>5.1431925385259092E-13</v>
      </c>
      <c r="P187" s="13">
        <f t="shared" si="141"/>
        <v>6.3855359115685756E-12</v>
      </c>
      <c r="Q187" s="20">
        <f t="shared" si="162"/>
        <v>1.2017247746441865E-11</v>
      </c>
      <c r="R187" s="59">
        <f t="shared" si="109"/>
        <v>293.33333333334531</v>
      </c>
      <c r="S187" s="59">
        <f ca="1">AVERAGE(OFFSET($R$3,0,0,'Données projet'!$E$9+1,1))-AVERAGE(OFFSET($H$3,0,0,'Données projet'!$E$9+1,1))</f>
        <v>384.05928630855732</v>
      </c>
      <c r="T187" s="59">
        <f t="shared" si="142"/>
        <v>279.93992813630513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59.856962434856712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59.856962434856712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-6.3550942286383367E-14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335.04906256888819</v>
      </c>
      <c r="AO187" s="59">
        <f t="shared" si="144"/>
        <v>440.84111898279554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17.614030248073909</v>
      </c>
      <c r="AV187" s="21">
        <f>EXP(-LN(2)/25)*AV186+(1-EXP(-LN(2)/25))/(LN(2)/25)*Calculateur!AQ187*Calculateur!AS187*VLOOKUP('Données projet'!$B$10,Paramètres!$A$1:$I$89,3,0)*0.475*44/12</f>
        <v>1.6112599445462648</v>
      </c>
      <c r="AW187" s="21">
        <f>EXP(-LN(2)/2)*AW186+(1-EXP(-LN(2)/2))/(LN(2)/2)*AQ187*AT187*VLOOKUP('Données projet'!$B$10,Paramètres!$A$1:$I$89,3,0)*0.475*44/12</f>
        <v>1.3094825633706261E-18</v>
      </c>
      <c r="AX187" s="21">
        <f t="shared" si="166"/>
        <v>19.225290192620175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261.20475283925128</v>
      </c>
      <c r="BJ187" s="59">
        <f t="shared" si="146"/>
        <v>247.06045079522403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17.40670640757828</v>
      </c>
      <c r="BQ187" s="21">
        <f>EXP(-LN(2)/25)*BQ186+(1-EXP(-LN(2)/25))/(LN(2)/25)*Calculateur!BL187*Calculateur!BN187*VLOOKUP('Données projet'!$B$11,Paramètres!$A$1:$I$89,3,0)*0.475*44/12</f>
        <v>1.8580521835545234</v>
      </c>
      <c r="BR187" s="21">
        <f>EXP(-LN(2)/2)*BR186+(1-EXP(-LN(2)/2))/(LN(2)/2)*BL187*BO187*VLOOKUP('Données projet'!$B$11,Paramètres!$A$1:$I$89,3,0)*0.475*44/12</f>
        <v>2.1854292446850683E-16</v>
      </c>
      <c r="BS187" s="22">
        <f t="shared" si="169"/>
        <v>19.264758591132804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-5.1159076974727213E-13</v>
      </c>
      <c r="BZ187" s="13">
        <f>BY187*VLOOKUP('Données projet'!$B$12,Paramètres!$A$1:$I$89,3,0)*VLOOKUP('Données projet'!$B$12,Paramètres!$A$1:$I$89,5,0)</f>
        <v>-2.9262992029543964E-13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268.71706840132384</v>
      </c>
      <c r="CE187" s="59">
        <f t="shared" si="148"/>
        <v>199.92519498289477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21.378282702692694</v>
      </c>
      <c r="CL187" s="21">
        <f>EXP(-LN(2)/25)*CL186+(1-EXP(-LN(2)/25))/(LN(2)/25)*Calculateur!CG187*Calculateur!CI187*VLOOKUP('Données projet'!$B$12,Paramètres!$A$1:$I$89,3,0)*0.475*44/12</f>
        <v>2.7161804193995693</v>
      </c>
      <c r="CM187" s="21">
        <f>EXP(-LN(2)/2)*CM186+(1-EXP(-LN(2)/2))/(LN(2)/2)*CG187*CJ187*VLOOKUP('Données projet'!$B$12,Paramètres!$A$1:$I$89,3,0)*0.475*44/12</f>
        <v>1.1180705149462289E-11</v>
      </c>
      <c r="CN187" s="22">
        <f t="shared" si="172"/>
        <v>24.094463122103445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5.6843418860808015E-13</v>
      </c>
      <c r="O188" s="13">
        <f>N188*VLOOKUP('Données projet'!$B$9,Paramètres!$A$1:$I$89,3,0)*VLOOKUP('Données projet'!$B$9,Paramètres!$A$1:$I$89,5,0)</f>
        <v>5.1431925385259092E-13</v>
      </c>
      <c r="P188" s="13">
        <f t="shared" si="141"/>
        <v>6.3855359115685756E-12</v>
      </c>
      <c r="Q188" s="20">
        <f t="shared" si="162"/>
        <v>1.2017247746441865E-11</v>
      </c>
      <c r="R188" s="59">
        <f t="shared" si="109"/>
        <v>293.33333333334531</v>
      </c>
      <c r="S188" s="59">
        <f ca="1">AVERAGE(OFFSET($R$3,0,0,'Données projet'!$E$9+1,1))-AVERAGE(OFFSET($H$3,0,0,'Données projet'!$E$9+1,1))</f>
        <v>384.05928630855732</v>
      </c>
      <c r="T188" s="59">
        <f t="shared" si="142"/>
        <v>279.93992813630513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58.68320391065128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58.68320391065128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-6.3550942286383367E-14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335.04906256888819</v>
      </c>
      <c r="AO188" s="59">
        <f t="shared" si="144"/>
        <v>440.84111898279554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17.268629858406801</v>
      </c>
      <c r="AV188" s="21">
        <f>EXP(-LN(2)/25)*AV187+(1-EXP(-LN(2)/25))/(LN(2)/25)*Calculateur!AQ188*Calculateur!AS188*VLOOKUP('Données projet'!$B$10,Paramètres!$A$1:$I$89,3,0)*0.475*44/12</f>
        <v>1.5671999566301693</v>
      </c>
      <c r="AW188" s="21">
        <f>EXP(-LN(2)/2)*AW187+(1-EXP(-LN(2)/2))/(LN(2)/2)*AQ188*AT188*VLOOKUP('Données projet'!$B$10,Paramètres!$A$1:$I$89,3,0)*0.475*44/12</f>
        <v>9.2594400040491263E-19</v>
      </c>
      <c r="AX188" s="21">
        <f t="shared" si="166"/>
        <v>18.83582981503697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261.20475283925128</v>
      </c>
      <c r="BJ188" s="59">
        <f t="shared" si="146"/>
        <v>247.06045079522403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17.065371511968234</v>
      </c>
      <c r="BQ188" s="21">
        <f>EXP(-LN(2)/25)*BQ187+(1-EXP(-LN(2)/25))/(LN(2)/25)*Calculateur!BL188*Calculateur!BN188*VLOOKUP('Données projet'!$B$11,Paramètres!$A$1:$I$89,3,0)*0.475*44/12</f>
        <v>1.8072436488845072</v>
      </c>
      <c r="BR188" s="21">
        <f>EXP(-LN(2)/2)*BR187+(1-EXP(-LN(2)/2))/(LN(2)/2)*BL188*BO188*VLOOKUP('Données projet'!$B$11,Paramètres!$A$1:$I$89,3,0)*0.475*44/12</f>
        <v>1.5453318387202065E-16</v>
      </c>
      <c r="BS188" s="22">
        <f t="shared" si="169"/>
        <v>18.872615160852742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-5.1159076974727213E-13</v>
      </c>
      <c r="BZ188" s="13">
        <f>BY188*VLOOKUP('Données projet'!$B$12,Paramètres!$A$1:$I$89,3,0)*VLOOKUP('Données projet'!$B$12,Paramètres!$A$1:$I$89,5,0)</f>
        <v>-2.9262992029543964E-13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268.71706840132384</v>
      </c>
      <c r="CE188" s="59">
        <f t="shared" si="148"/>
        <v>199.92519498289477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20.9590676183578</v>
      </c>
      <c r="CL188" s="21">
        <f>EXP(-LN(2)/25)*CL187+(1-EXP(-LN(2)/25))/(LN(2)/25)*Calculateur!CG188*Calculateur!CI188*VLOOKUP('Données projet'!$B$12,Paramètres!$A$1:$I$89,3,0)*0.475*44/12</f>
        <v>2.6419063229933677</v>
      </c>
      <c r="CM188" s="21">
        <f>EXP(-LN(2)/2)*CM187+(1-EXP(-LN(2)/2))/(LN(2)/2)*CG188*CJ188*VLOOKUP('Données projet'!$B$12,Paramètres!$A$1:$I$89,3,0)*0.475*44/12</f>
        <v>7.9059524296321359E-12</v>
      </c>
      <c r="CN188" s="22">
        <f t="shared" si="172"/>
        <v>23.600973941359072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5.6843418860808015E-13</v>
      </c>
      <c r="O189" s="13">
        <f>N189*VLOOKUP('Données projet'!$B$9,Paramètres!$A$1:$I$89,3,0)*VLOOKUP('Données projet'!$B$9,Paramètres!$A$1:$I$89,5,0)</f>
        <v>5.1431925385259092E-13</v>
      </c>
      <c r="P189" s="13">
        <f t="shared" si="141"/>
        <v>6.3855359115685756E-12</v>
      </c>
      <c r="Q189" s="20">
        <f t="shared" si="162"/>
        <v>1.2017247746441865E-11</v>
      </c>
      <c r="R189" s="59">
        <f t="shared" si="109"/>
        <v>293.33333333334531</v>
      </c>
      <c r="S189" s="59">
        <f ca="1">AVERAGE(OFFSET($R$3,0,0,'Données projet'!$E$9+1,1))-AVERAGE(OFFSET($H$3,0,0,'Données projet'!$E$9+1,1))</f>
        <v>384.05928630855732</v>
      </c>
      <c r="T189" s="59">
        <f t="shared" si="142"/>
        <v>279.93992813630513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57.53246207518351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57.53246207518351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-6.3550942286383367E-14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335.04906256888819</v>
      </c>
      <c r="AO189" s="59">
        <f t="shared" si="144"/>
        <v>440.84111898279554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16.930002559707628</v>
      </c>
      <c r="AV189" s="21">
        <f>EXP(-LN(2)/25)*AV188+(1-EXP(-LN(2)/25))/(LN(2)/25)*Calculateur!AQ189*Calculateur!AS189*VLOOKUP('Données projet'!$B$10,Paramètres!$A$1:$I$89,3,0)*0.475*44/12</f>
        <v>1.5243447914006536</v>
      </c>
      <c r="AW189" s="21">
        <f>EXP(-LN(2)/2)*AW188+(1-EXP(-LN(2)/2))/(LN(2)/2)*AQ189*AT189*VLOOKUP('Données projet'!$B$10,Paramètres!$A$1:$I$89,3,0)*0.475*44/12</f>
        <v>6.5474128168531303E-19</v>
      </c>
      <c r="AX189" s="21">
        <f t="shared" si="166"/>
        <v>18.454347351108282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261.20475283925128</v>
      </c>
      <c r="BJ189" s="59">
        <f t="shared" si="146"/>
        <v>247.06045079522403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16.73072998546737</v>
      </c>
      <c r="BQ189" s="21">
        <f>EXP(-LN(2)/25)*BQ188+(1-EXP(-LN(2)/25))/(LN(2)/25)*Calculateur!BL189*Calculateur!BN189*VLOOKUP('Données projet'!$B$11,Paramètres!$A$1:$I$89,3,0)*0.475*44/12</f>
        <v>1.7578244762669473</v>
      </c>
      <c r="BR189" s="21">
        <f>EXP(-LN(2)/2)*BR188+(1-EXP(-LN(2)/2))/(LN(2)/2)*BL189*BO189*VLOOKUP('Données projet'!$B$11,Paramètres!$A$1:$I$89,3,0)*0.475*44/12</f>
        <v>1.0927146223425343E-16</v>
      </c>
      <c r="BS189" s="22">
        <f t="shared" si="169"/>
        <v>18.488554461734317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-5.1159076974727213E-13</v>
      </c>
      <c r="BZ189" s="13">
        <f>BY189*VLOOKUP('Données projet'!$B$12,Paramètres!$A$1:$I$89,3,0)*VLOOKUP('Données projet'!$B$12,Paramètres!$A$1:$I$89,5,0)</f>
        <v>-2.9262992029543964E-13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268.71706840132384</v>
      </c>
      <c r="CE189" s="59">
        <f t="shared" si="148"/>
        <v>199.92519498289477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20.54807308613076</v>
      </c>
      <c r="CL189" s="21">
        <f>EXP(-LN(2)/25)*CL188+(1-EXP(-LN(2)/25))/(LN(2)/25)*Calculateur!CG189*Calculateur!CI189*VLOOKUP('Données projet'!$B$12,Paramètres!$A$1:$I$89,3,0)*0.475*44/12</f>
        <v>2.5696632556592989</v>
      </c>
      <c r="CM189" s="21">
        <f>EXP(-LN(2)/2)*CM188+(1-EXP(-LN(2)/2))/(LN(2)/2)*CG189*CJ189*VLOOKUP('Données projet'!$B$12,Paramètres!$A$1:$I$89,3,0)*0.475*44/12</f>
        <v>5.5903525747311447E-12</v>
      </c>
      <c r="CN189" s="22">
        <f t="shared" si="172"/>
        <v>23.117736341795652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5.6843418860808015E-13</v>
      </c>
      <c r="O190" s="13">
        <f>N190*VLOOKUP('Données projet'!$B$9,Paramètres!$A$1:$I$89,3,0)*VLOOKUP('Données projet'!$B$9,Paramètres!$A$1:$I$89,5,0)</f>
        <v>5.1431925385259092E-13</v>
      </c>
      <c r="P190" s="13">
        <f t="shared" si="141"/>
        <v>6.3855359115685756E-12</v>
      </c>
      <c r="Q190" s="20">
        <f t="shared" si="162"/>
        <v>1.2017247746441865E-11</v>
      </c>
      <c r="R190" s="59">
        <f t="shared" si="109"/>
        <v>293.33333333334531</v>
      </c>
      <c r="S190" s="59">
        <f ca="1">AVERAGE(OFFSET($R$3,0,0,'Données projet'!$E$9+1,1))-AVERAGE(OFFSET($H$3,0,0,'Données projet'!$E$9+1,1))</f>
        <v>384.05928630855732</v>
      </c>
      <c r="T190" s="59">
        <f t="shared" si="142"/>
        <v>279.93992813630513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56.404285585226049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56.404285585226049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-6.3550942286383367E-14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335.04906256888819</v>
      </c>
      <c r="AO190" s="59">
        <f t="shared" si="144"/>
        <v>440.84111898279554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16.598015535793689</v>
      </c>
      <c r="AV190" s="21">
        <f>EXP(-LN(2)/25)*AV189+(1-EXP(-LN(2)/25))/(LN(2)/25)*Calculateur!AQ190*Calculateur!AS190*VLOOKUP('Données projet'!$B$10,Paramètres!$A$1:$I$89,3,0)*0.475*44/12</f>
        <v>1.4826615029179941</v>
      </c>
      <c r="AW190" s="21">
        <f>EXP(-LN(2)/2)*AW189+(1-EXP(-LN(2)/2))/(LN(2)/2)*AQ190*AT190*VLOOKUP('Données projet'!$B$10,Paramètres!$A$1:$I$89,3,0)*0.475*44/12</f>
        <v>4.6297200020245631E-19</v>
      </c>
      <c r="AX190" s="21">
        <f t="shared" si="166"/>
        <v>18.080677038711684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261.20475283925128</v>
      </c>
      <c r="BJ190" s="59">
        <f t="shared" si="146"/>
        <v>247.06045079522403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16.402650575190012</v>
      </c>
      <c r="BQ190" s="21">
        <f>EXP(-LN(2)/25)*BQ189+(1-EXP(-LN(2)/25))/(LN(2)/25)*Calculateur!BL190*Calculateur!BN190*VLOOKUP('Données projet'!$B$11,Paramètres!$A$1:$I$89,3,0)*0.475*44/12</f>
        <v>1.7097566735234559</v>
      </c>
      <c r="BR190" s="21">
        <f>EXP(-LN(2)/2)*BR189+(1-EXP(-LN(2)/2))/(LN(2)/2)*BL190*BO190*VLOOKUP('Données projet'!$B$11,Paramètres!$A$1:$I$89,3,0)*0.475*44/12</f>
        <v>7.7266591936010336E-17</v>
      </c>
      <c r="BS190" s="22">
        <f t="shared" si="169"/>
        <v>18.112407248713467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-5.1159076974727213E-13</v>
      </c>
      <c r="BZ190" s="13">
        <f>BY190*VLOOKUP('Données projet'!$B$12,Paramètres!$A$1:$I$89,3,0)*VLOOKUP('Données projet'!$B$12,Paramètres!$A$1:$I$89,5,0)</f>
        <v>-2.9262992029543964E-13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268.71706840132384</v>
      </c>
      <c r="CE190" s="59">
        <f t="shared" si="148"/>
        <v>199.92519498289477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20.14513790599878</v>
      </c>
      <c r="CL190" s="21">
        <f>EXP(-LN(2)/25)*CL189+(1-EXP(-LN(2)/25))/(LN(2)/25)*Calculateur!CG190*Calculateur!CI190*VLOOKUP('Données projet'!$B$12,Paramètres!$A$1:$I$89,3,0)*0.475*44/12</f>
        <v>2.4993956788005778</v>
      </c>
      <c r="CM190" s="21">
        <f>EXP(-LN(2)/2)*CM189+(1-EXP(-LN(2)/2))/(LN(2)/2)*CG190*CJ190*VLOOKUP('Données projet'!$B$12,Paramètres!$A$1:$I$89,3,0)*0.475*44/12</f>
        <v>3.952976214816068E-12</v>
      </c>
      <c r="CN190" s="22">
        <f t="shared" si="172"/>
        <v>22.644533584803312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5.6843418860808015E-13</v>
      </c>
      <c r="O191" s="13">
        <f>N191*VLOOKUP('Données projet'!$B$9,Paramètres!$A$1:$I$89,3,0)*VLOOKUP('Données projet'!$B$9,Paramètres!$A$1:$I$89,5,0)</f>
        <v>5.1431925385259092E-13</v>
      </c>
      <c r="P191" s="13">
        <f t="shared" si="141"/>
        <v>6.3855359115685756E-12</v>
      </c>
      <c r="Q191" s="20">
        <f t="shared" si="162"/>
        <v>1.2017247746441865E-11</v>
      </c>
      <c r="R191" s="59">
        <f t="shared" si="109"/>
        <v>293.33333333334531</v>
      </c>
      <c r="S191" s="59">
        <f ca="1">AVERAGE(OFFSET($R$3,0,0,'Données projet'!$E$9+1,1))-AVERAGE(OFFSET($H$3,0,0,'Données projet'!$E$9+1,1))</f>
        <v>384.05928630855732</v>
      </c>
      <c r="T191" s="59">
        <f t="shared" si="142"/>
        <v>279.93992813630513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55.298231948116936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55.298231948116936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-6.3550942286383367E-14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335.04906256888819</v>
      </c>
      <c r="AO191" s="59">
        <f t="shared" si="144"/>
        <v>440.84111898279554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16.27253857492661</v>
      </c>
      <c r="AV191" s="21">
        <f>EXP(-LN(2)/25)*AV190+(1-EXP(-LN(2)/25))/(LN(2)/25)*Calculateur!AQ191*Calculateur!AS191*VLOOKUP('Données projet'!$B$10,Paramètres!$A$1:$I$89,3,0)*0.475*44/12</f>
        <v>1.4421180461509218</v>
      </c>
      <c r="AW191" s="21">
        <f>EXP(-LN(2)/2)*AW190+(1-EXP(-LN(2)/2))/(LN(2)/2)*AQ191*AT191*VLOOKUP('Données projet'!$B$10,Paramètres!$A$1:$I$89,3,0)*0.475*44/12</f>
        <v>3.2737064084265651E-19</v>
      </c>
      <c r="AX191" s="21">
        <f t="shared" si="166"/>
        <v>17.71465662107753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261.20475283925128</v>
      </c>
      <c r="BJ191" s="59">
        <f t="shared" si="146"/>
        <v>247.06045079522403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16.081004602039513</v>
      </c>
      <c r="BQ191" s="21">
        <f>EXP(-LN(2)/25)*BQ190+(1-EXP(-LN(2)/25))/(LN(2)/25)*Calculateur!BL191*Calculateur!BN191*VLOOKUP('Données projet'!$B$11,Paramètres!$A$1:$I$89,3,0)*0.475*44/12</f>
        <v>1.6630032873737612</v>
      </c>
      <c r="BR191" s="21">
        <f>EXP(-LN(2)/2)*BR190+(1-EXP(-LN(2)/2))/(LN(2)/2)*BL191*BO191*VLOOKUP('Données projet'!$B$11,Paramètres!$A$1:$I$89,3,0)*0.475*44/12</f>
        <v>5.4635731117126719E-17</v>
      </c>
      <c r="BS191" s="22">
        <f t="shared" si="169"/>
        <v>17.744007889413275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-5.1159076974727213E-13</v>
      </c>
      <c r="BZ191" s="13">
        <f>BY191*VLOOKUP('Données projet'!$B$12,Paramètres!$A$1:$I$89,3,0)*VLOOKUP('Données projet'!$B$12,Paramètres!$A$1:$I$89,5,0)</f>
        <v>-2.9262992029543964E-13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268.71706840132384</v>
      </c>
      <c r="CE191" s="59">
        <f t="shared" si="148"/>
        <v>199.92519498289477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19.750104038982993</v>
      </c>
      <c r="CL191" s="21">
        <f>EXP(-LN(2)/25)*CL190+(1-EXP(-LN(2)/25))/(LN(2)/25)*Calculateur!CG191*Calculateur!CI191*VLOOKUP('Données projet'!$B$12,Paramètres!$A$1:$I$89,3,0)*0.475*44/12</f>
        <v>2.4310495725262697</v>
      </c>
      <c r="CM191" s="21">
        <f>EXP(-LN(2)/2)*CM190+(1-EXP(-LN(2)/2))/(LN(2)/2)*CG191*CJ191*VLOOKUP('Données projet'!$B$12,Paramètres!$A$1:$I$89,3,0)*0.475*44/12</f>
        <v>2.7951762873655723E-12</v>
      </c>
      <c r="CN191" s="22">
        <f t="shared" si="172"/>
        <v>22.181153611512059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5.6843418860808015E-13</v>
      </c>
      <c r="O192" s="13">
        <f>N192*VLOOKUP('Données projet'!$B$9,Paramètres!$A$1:$I$89,3,0)*VLOOKUP('Données projet'!$B$9,Paramètres!$A$1:$I$89,5,0)</f>
        <v>5.1431925385259092E-13</v>
      </c>
      <c r="P192" s="13">
        <f t="shared" si="141"/>
        <v>6.3855359115685756E-12</v>
      </c>
      <c r="Q192" s="20">
        <f t="shared" si="162"/>
        <v>1.2017247746441865E-11</v>
      </c>
      <c r="R192" s="59">
        <f t="shared" si="109"/>
        <v>293.33333333334531</v>
      </c>
      <c r="S192" s="59">
        <f ca="1">AVERAGE(OFFSET($R$3,0,0,'Données projet'!$E$9+1,1))-AVERAGE(OFFSET($H$3,0,0,'Données projet'!$E$9+1,1))</f>
        <v>384.05928630855732</v>
      </c>
      <c r="T192" s="59">
        <f t="shared" si="142"/>
        <v>279.93992813630513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54.213867348205426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54.213867348205426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-6.3550942286383367E-14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335.04906256888819</v>
      </c>
      <c r="AO192" s="59">
        <f t="shared" si="144"/>
        <v>440.84111898279554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15.953444018740791</v>
      </c>
      <c r="AV192" s="21">
        <f>EXP(-LN(2)/25)*AV191+(1-EXP(-LN(2)/25))/(LN(2)/25)*Calculateur!AQ192*Calculateur!AS192*VLOOKUP('Données projet'!$B$10,Paramètres!$A$1:$I$89,3,0)*0.475*44/12</f>
        <v>1.4026832523412327</v>
      </c>
      <c r="AW192" s="21">
        <f>EXP(-LN(2)/2)*AW191+(1-EXP(-LN(2)/2))/(LN(2)/2)*AQ192*AT192*VLOOKUP('Données projet'!$B$10,Paramètres!$A$1:$I$89,3,0)*0.475*44/12</f>
        <v>2.3148600010122816E-19</v>
      </c>
      <c r="AX192" s="21">
        <f t="shared" si="166"/>
        <v>17.356127271082023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261.20475283925128</v>
      </c>
      <c r="BJ192" s="59">
        <f t="shared" si="146"/>
        <v>247.06045079522403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15.765665910237823</v>
      </c>
      <c r="BQ192" s="21">
        <f>EXP(-LN(2)/25)*BQ191+(1-EXP(-LN(2)/25))/(LN(2)/25)*Calculateur!BL192*Calculateur!BN192*VLOOKUP('Données projet'!$B$11,Paramètres!$A$1:$I$89,3,0)*0.475*44/12</f>
        <v>1.6175283750269838</v>
      </c>
      <c r="BR192" s="21">
        <f>EXP(-LN(2)/2)*BR191+(1-EXP(-LN(2)/2))/(LN(2)/2)*BL192*BO192*VLOOKUP('Données projet'!$B$11,Paramètres!$A$1:$I$89,3,0)*0.475*44/12</f>
        <v>3.8633295968005174E-17</v>
      </c>
      <c r="BS192" s="22">
        <f t="shared" si="169"/>
        <v>17.383194285264807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-5.1159076974727213E-13</v>
      </c>
      <c r="BZ192" s="13">
        <f>BY192*VLOOKUP('Données projet'!$B$12,Paramètres!$A$1:$I$89,3,0)*VLOOKUP('Données projet'!$B$12,Paramètres!$A$1:$I$89,5,0)</f>
        <v>-2.9262992029543964E-13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268.71706840132384</v>
      </c>
      <c r="CE192" s="59">
        <f t="shared" si="148"/>
        <v>199.92519498289477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19.362816545152519</v>
      </c>
      <c r="CL192" s="21">
        <f>EXP(-LN(2)/25)*CL191+(1-EXP(-LN(2)/25))/(LN(2)/25)*Calculateur!CG192*Calculateur!CI192*VLOOKUP('Données projet'!$B$12,Paramètres!$A$1:$I$89,3,0)*0.475*44/12</f>
        <v>2.3645723941221983</v>
      </c>
      <c r="CM192" s="21">
        <f>EXP(-LN(2)/2)*CM191+(1-EXP(-LN(2)/2))/(LN(2)/2)*CG192*CJ192*VLOOKUP('Données projet'!$B$12,Paramètres!$A$1:$I$89,3,0)*0.475*44/12</f>
        <v>1.976488107408034E-12</v>
      </c>
      <c r="CN192" s="22">
        <f t="shared" si="172"/>
        <v>21.727388939276693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5.6843418860808015E-13</v>
      </c>
      <c r="O193" s="13">
        <f>N193*VLOOKUP('Données projet'!$B$9,Paramètres!$A$1:$I$89,3,0)*VLOOKUP('Données projet'!$B$9,Paramètres!$A$1:$I$89,5,0)</f>
        <v>5.1431925385259092E-13</v>
      </c>
      <c r="P193" s="13">
        <f t="shared" si="141"/>
        <v>6.3855359115685756E-12</v>
      </c>
      <c r="Q193" s="20">
        <f t="shared" si="162"/>
        <v>1.2017247746441865E-11</v>
      </c>
      <c r="R193" s="59">
        <f t="shared" si="109"/>
        <v>293.33333333334531</v>
      </c>
      <c r="S193" s="59">
        <f ca="1">AVERAGE(OFFSET($R$3,0,0,'Données projet'!$E$9+1,1))-AVERAGE(OFFSET($H$3,0,0,'Données projet'!$E$9+1,1))</f>
        <v>384.05928630855732</v>
      </c>
      <c r="T193" s="59">
        <f t="shared" si="142"/>
        <v>279.93992813630513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53.150766476701087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53.150766476701087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-6.3550942286383367E-14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335.04906256888819</v>
      </c>
      <c r="AO193" s="59">
        <f t="shared" si="144"/>
        <v>440.84111898279554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15.640606712173314</v>
      </c>
      <c r="AV193" s="21">
        <f>EXP(-LN(2)/25)*AV192+(1-EXP(-LN(2)/25))/(LN(2)/25)*Calculateur!AQ193*Calculateur!AS193*VLOOKUP('Données projet'!$B$10,Paramètres!$A$1:$I$89,3,0)*0.475*44/12</f>
        <v>1.3643268050420554</v>
      </c>
      <c r="AW193" s="21">
        <f>EXP(-LN(2)/2)*AW192+(1-EXP(-LN(2)/2))/(LN(2)/2)*AQ193*AT193*VLOOKUP('Données projet'!$B$10,Paramètres!$A$1:$I$89,3,0)*0.475*44/12</f>
        <v>1.6368532042132826E-19</v>
      </c>
      <c r="AX193" s="21">
        <f t="shared" si="166"/>
        <v>17.00493351721537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261.20475283925128</v>
      </c>
      <c r="BJ193" s="59">
        <f t="shared" si="146"/>
        <v>247.06045079522403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15.456510817844753</v>
      </c>
      <c r="BQ193" s="21">
        <f>EXP(-LN(2)/25)*BQ192+(1-EXP(-LN(2)/25))/(LN(2)/25)*Calculateur!BL193*Calculateur!BN193*VLOOKUP('Données projet'!$B$11,Paramètres!$A$1:$I$89,3,0)*0.475*44/12</f>
        <v>1.5732969765497506</v>
      </c>
      <c r="BR193" s="21">
        <f>EXP(-LN(2)/2)*BR192+(1-EXP(-LN(2)/2))/(LN(2)/2)*BL193*BO193*VLOOKUP('Données projet'!$B$11,Paramètres!$A$1:$I$89,3,0)*0.475*44/12</f>
        <v>2.7317865558563366E-17</v>
      </c>
      <c r="BS193" s="22">
        <f t="shared" si="169"/>
        <v>17.029807794394504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-5.1159076974727213E-13</v>
      </c>
      <c r="BZ193" s="13">
        <f>BY193*VLOOKUP('Données projet'!$B$12,Paramètres!$A$1:$I$89,3,0)*VLOOKUP('Données projet'!$B$12,Paramètres!$A$1:$I$89,5,0)</f>
        <v>-2.9262992029543964E-13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268.71706840132384</v>
      </c>
      <c r="CE193" s="59">
        <f t="shared" si="148"/>
        <v>199.92519498289477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18.983123522854015</v>
      </c>
      <c r="CL193" s="21">
        <f>EXP(-LN(2)/25)*CL192+(1-EXP(-LN(2)/25))/(LN(2)/25)*Calculateur!CG193*Calculateur!CI193*VLOOKUP('Données projet'!$B$12,Paramètres!$A$1:$I$89,3,0)*0.475*44/12</f>
        <v>2.2999130376574688</v>
      </c>
      <c r="CM193" s="21">
        <f>EXP(-LN(2)/2)*CM192+(1-EXP(-LN(2)/2))/(LN(2)/2)*CG193*CJ193*VLOOKUP('Données projet'!$B$12,Paramètres!$A$1:$I$89,3,0)*0.475*44/12</f>
        <v>1.3975881436827862E-12</v>
      </c>
      <c r="CN193" s="22">
        <f t="shared" si="172"/>
        <v>21.28303656051288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5.6843418860808015E-13</v>
      </c>
      <c r="O194" s="13">
        <f>N194*VLOOKUP('Données projet'!$B$9,Paramètres!$A$1:$I$89,3,0)*VLOOKUP('Données projet'!$B$9,Paramètres!$A$1:$I$89,5,0)</f>
        <v>5.1431925385259092E-13</v>
      </c>
      <c r="P194" s="13">
        <f t="shared" si="141"/>
        <v>6.3855359115685756E-12</v>
      </c>
      <c r="Q194" s="20">
        <f t="shared" si="162"/>
        <v>1.2017247746441865E-11</v>
      </c>
      <c r="R194" s="59">
        <f t="shared" si="109"/>
        <v>293.33333333334531</v>
      </c>
      <c r="S194" s="59">
        <f ca="1">AVERAGE(OFFSET($R$3,0,0,'Données projet'!$E$9+1,1))-AVERAGE(OFFSET($H$3,0,0,'Données projet'!$E$9+1,1))</f>
        <v>384.05928630855732</v>
      </c>
      <c r="T194" s="59">
        <f t="shared" si="142"/>
        <v>279.93992813630513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52.108512364859443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52.108512364859443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-6.3550942286383367E-14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335.04906256888819</v>
      </c>
      <c r="AO194" s="59">
        <f t="shared" si="144"/>
        <v>440.84111898279554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15.33390395437571</v>
      </c>
      <c r="AV194" s="21">
        <f>EXP(-LN(2)/25)*AV193+(1-EXP(-LN(2)/25))/(LN(2)/25)*Calculateur!AQ194*Calculateur!AS194*VLOOKUP('Données projet'!$B$10,Paramètres!$A$1:$I$89,3,0)*0.475*44/12</f>
        <v>1.3270192168113519</v>
      </c>
      <c r="AW194" s="21">
        <f>EXP(-LN(2)/2)*AW193+(1-EXP(-LN(2)/2))/(LN(2)/2)*AQ194*AT194*VLOOKUP('Données projet'!$B$10,Paramètres!$A$1:$I$89,3,0)*0.475*44/12</f>
        <v>1.1574300005061408E-19</v>
      </c>
      <c r="AX194" s="21">
        <f t="shared" si="166"/>
        <v>16.660923171187061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261.20475283925128</v>
      </c>
      <c r="BJ194" s="59">
        <f t="shared" si="146"/>
        <v>247.06045079522403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15.153418068247525</v>
      </c>
      <c r="BQ194" s="21">
        <f>EXP(-LN(2)/25)*BQ193+(1-EXP(-LN(2)/25))/(LN(2)/25)*Calculateur!BL194*Calculateur!BN194*VLOOKUP('Données projet'!$B$11,Paramètres!$A$1:$I$89,3,0)*0.475*44/12</f>
        <v>1.5302750879899056</v>
      </c>
      <c r="BR194" s="21">
        <f>EXP(-LN(2)/2)*BR193+(1-EXP(-LN(2)/2))/(LN(2)/2)*BL194*BO194*VLOOKUP('Données projet'!$B$11,Paramètres!$A$1:$I$89,3,0)*0.475*44/12</f>
        <v>1.931664798400259E-17</v>
      </c>
      <c r="BS194" s="22">
        <f t="shared" si="169"/>
        <v>16.683693156237432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-5.1159076974727213E-13</v>
      </c>
      <c r="BZ194" s="13">
        <f>BY194*VLOOKUP('Données projet'!$B$12,Paramètres!$A$1:$I$89,3,0)*VLOOKUP('Données projet'!$B$12,Paramètres!$A$1:$I$89,5,0)</f>
        <v>-2.9262992029543964E-13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268.71706840132384</v>
      </c>
      <c r="CE194" s="59">
        <f t="shared" si="148"/>
        <v>199.92519498289477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18.610876049132909</v>
      </c>
      <c r="CL194" s="21">
        <f>EXP(-LN(2)/25)*CL193+(1-EXP(-LN(2)/25))/(LN(2)/25)*Calculateur!CG194*Calculateur!CI194*VLOOKUP('Données projet'!$B$12,Paramètres!$A$1:$I$89,3,0)*0.475*44/12</f>
        <v>2.2370217946955551</v>
      </c>
      <c r="CM194" s="21">
        <f>EXP(-LN(2)/2)*CM193+(1-EXP(-LN(2)/2))/(LN(2)/2)*CG194*CJ194*VLOOKUP('Données projet'!$B$12,Paramètres!$A$1:$I$89,3,0)*0.475*44/12</f>
        <v>9.8824405370401699E-13</v>
      </c>
      <c r="CN194" s="22">
        <f t="shared" si="172"/>
        <v>20.84789784382945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5.6843418860808015E-13</v>
      </c>
      <c r="O195" s="13">
        <f>N195*VLOOKUP('Données projet'!$B$9,Paramètres!$A$1:$I$89,3,0)*VLOOKUP('Données projet'!$B$9,Paramètres!$A$1:$I$89,5,0)</f>
        <v>5.1431925385259092E-13</v>
      </c>
      <c r="P195" s="13">
        <f t="shared" si="141"/>
        <v>6.3855359115685756E-12</v>
      </c>
      <c r="Q195" s="20">
        <f t="shared" si="162"/>
        <v>1.2017247746441865E-11</v>
      </c>
      <c r="R195" s="59">
        <f t="shared" ref="R195:R203" si="191">Q195+(I195+J195)*44/12</f>
        <v>293.33333333334531</v>
      </c>
      <c r="S195" s="59">
        <f ca="1">AVERAGE(OFFSET($R$3,0,0,'Données projet'!$E$9+1,1))-AVERAGE(OFFSET($H$3,0,0,'Données projet'!$E$9+1,1))</f>
        <v>384.05928630855732</v>
      </c>
      <c r="T195" s="59">
        <f t="shared" si="142"/>
        <v>279.93992813630513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51.086696220438775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51.086696220438775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-6.3550942286383367E-14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335.04906256888819</v>
      </c>
      <c r="AO195" s="59">
        <f t="shared" si="144"/>
        <v>440.84111898279554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15.033215450588306</v>
      </c>
      <c r="AV195" s="21">
        <f>EXP(-LN(2)/25)*AV194+(1-EXP(-LN(2)/25))/(LN(2)/25)*Calculateur!AQ195*Calculateur!AS195*VLOOKUP('Données projet'!$B$10,Paramètres!$A$1:$I$89,3,0)*0.475*44/12</f>
        <v>1.2907318065427378</v>
      </c>
      <c r="AW195" s="21">
        <f>EXP(-LN(2)/2)*AW194+(1-EXP(-LN(2)/2))/(LN(2)/2)*AQ195*AT195*VLOOKUP('Données projet'!$B$10,Paramètres!$A$1:$I$89,3,0)*0.475*44/12</f>
        <v>8.1842660210664128E-20</v>
      </c>
      <c r="AX195" s="21">
        <f t="shared" si="166"/>
        <v>16.323947257131046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261.20475283925128</v>
      </c>
      <c r="BJ195" s="59">
        <f t="shared" si="146"/>
        <v>247.06045079522403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14.856268782601575</v>
      </c>
      <c r="BQ195" s="21">
        <f>EXP(-LN(2)/25)*BQ194+(1-EXP(-LN(2)/25))/(LN(2)/25)*Calculateur!BL195*Calculateur!BN195*VLOOKUP('Données projet'!$B$11,Paramètres!$A$1:$I$89,3,0)*0.475*44/12</f>
        <v>1.4884296352351523</v>
      </c>
      <c r="BR195" s="21">
        <f>EXP(-LN(2)/2)*BR194+(1-EXP(-LN(2)/2))/(LN(2)/2)*BL195*BO195*VLOOKUP('Données projet'!$B$11,Paramètres!$A$1:$I$89,3,0)*0.475*44/12</f>
        <v>1.3658932779281684E-17</v>
      </c>
      <c r="BS195" s="22">
        <f t="shared" si="169"/>
        <v>16.344698417836728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-5.1159076974727213E-13</v>
      </c>
      <c r="BZ195" s="13">
        <f>BY195*VLOOKUP('Données projet'!$B$12,Paramètres!$A$1:$I$89,3,0)*VLOOKUP('Données projet'!$B$12,Paramètres!$A$1:$I$89,5,0)</f>
        <v>-2.9262992029543964E-13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268.71706840132384</v>
      </c>
      <c r="CE195" s="59">
        <f t="shared" si="148"/>
        <v>199.92519498289477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18.245928121322933</v>
      </c>
      <c r="CL195" s="21">
        <f>EXP(-LN(2)/25)*CL194+(1-EXP(-LN(2)/25))/(LN(2)/25)*Calculateur!CG195*Calculateur!CI195*VLOOKUP('Données projet'!$B$12,Paramètres!$A$1:$I$89,3,0)*0.475*44/12</f>
        <v>2.1758503160797416</v>
      </c>
      <c r="CM195" s="21">
        <f>EXP(-LN(2)/2)*CM194+(1-EXP(-LN(2)/2))/(LN(2)/2)*CG195*CJ195*VLOOKUP('Données projet'!$B$12,Paramètres!$A$1:$I$89,3,0)*0.475*44/12</f>
        <v>6.9879407184139308E-13</v>
      </c>
      <c r="CN195" s="22">
        <f t="shared" si="172"/>
        <v>20.421778437403376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5.6843418860808015E-13</v>
      </c>
      <c r="O196" s="13">
        <f>N196*VLOOKUP('Données projet'!$B$9,Paramètres!$A$1:$I$89,3,0)*VLOOKUP('Données projet'!$B$9,Paramètres!$A$1:$I$89,5,0)</f>
        <v>5.1431925385259092E-13</v>
      </c>
      <c r="P196" s="13">
        <f t="shared" si="141"/>
        <v>6.3855359115685756E-12</v>
      </c>
      <c r="Q196" s="20">
        <f t="shared" si="162"/>
        <v>1.2017247746441865E-11</v>
      </c>
      <c r="R196" s="59">
        <f t="shared" si="191"/>
        <v>293.33333333334531</v>
      </c>
      <c r="S196" s="59">
        <f ca="1">AVERAGE(OFFSET($R$3,0,0,'Données projet'!$E$9+1,1))-AVERAGE(OFFSET($H$3,0,0,'Données projet'!$E$9+1,1))</f>
        <v>384.05928630855732</v>
      </c>
      <c r="T196" s="59">
        <f t="shared" si="142"/>
        <v>279.93992813630513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50.084917267363892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50.084917267363892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-6.3550942286383367E-14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335.04906256888819</v>
      </c>
      <c r="AO196" s="59">
        <f t="shared" si="144"/>
        <v>440.84111898279554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14.738423264958296</v>
      </c>
      <c r="AV196" s="21">
        <f>EXP(-LN(2)/25)*AV195+(1-EXP(-LN(2)/25))/(LN(2)/25)*Calculateur!AQ196*Calculateur!AS196*VLOOKUP('Données projet'!$B$10,Paramètres!$A$1:$I$89,3,0)*0.475*44/12</f>
        <v>1.2554366774161909</v>
      </c>
      <c r="AW196" s="21">
        <f>EXP(-LN(2)/2)*AW195+(1-EXP(-LN(2)/2))/(LN(2)/2)*AQ196*AT196*VLOOKUP('Données projet'!$B$10,Paramètres!$A$1:$I$89,3,0)*0.475*44/12</f>
        <v>5.7871500025307039E-20</v>
      </c>
      <c r="AX196" s="21">
        <f t="shared" si="166"/>
        <v>15.993859942374486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261.20475283925128</v>
      </c>
      <c r="BJ196" s="59">
        <f t="shared" si="146"/>
        <v>247.06045079522403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14.564946413203973</v>
      </c>
      <c r="BQ196" s="21">
        <f>EXP(-LN(2)/25)*BQ195+(1-EXP(-LN(2)/25))/(LN(2)/25)*Calculateur!BL196*Calculateur!BN196*VLOOKUP('Données projet'!$B$11,Paramètres!$A$1:$I$89,3,0)*0.475*44/12</f>
        <v>1.4477284485865343</v>
      </c>
      <c r="BR196" s="21">
        <f>EXP(-LN(2)/2)*BR195+(1-EXP(-LN(2)/2))/(LN(2)/2)*BL196*BO196*VLOOKUP('Données projet'!$B$11,Paramètres!$A$1:$I$89,3,0)*0.475*44/12</f>
        <v>9.6583239920012966E-18</v>
      </c>
      <c r="BS196" s="22">
        <f t="shared" si="169"/>
        <v>16.012674861790508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-5.1159076974727213E-13</v>
      </c>
      <c r="BZ196" s="13">
        <f>BY196*VLOOKUP('Données projet'!$B$12,Paramètres!$A$1:$I$89,3,0)*VLOOKUP('Données projet'!$B$12,Paramètres!$A$1:$I$89,5,0)</f>
        <v>-2.9262992029543964E-13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268.71706840132384</v>
      </c>
      <c r="CE196" s="59">
        <f t="shared" si="148"/>
        <v>199.92519498289477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17.888136599781056</v>
      </c>
      <c r="CL196" s="21">
        <f>EXP(-LN(2)/25)*CL195+(1-EXP(-LN(2)/25))/(LN(2)/25)*Calculateur!CG196*Calculateur!CI196*VLOOKUP('Données projet'!$B$12,Paramètres!$A$1:$I$89,3,0)*0.475*44/12</f>
        <v>2.116351574763546</v>
      </c>
      <c r="CM196" s="21">
        <f>EXP(-LN(2)/2)*CM195+(1-EXP(-LN(2)/2))/(LN(2)/2)*CG196*CJ196*VLOOKUP('Données projet'!$B$12,Paramètres!$A$1:$I$89,3,0)*0.475*44/12</f>
        <v>4.941220268520085E-13</v>
      </c>
      <c r="CN196" s="22">
        <f t="shared" si="172"/>
        <v>20.004488174545095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5.6843418860808015E-13</v>
      </c>
      <c r="O197" s="13">
        <f>N197*VLOOKUP('Données projet'!$B$9,Paramètres!$A$1:$I$89,3,0)*VLOOKUP('Données projet'!$B$9,Paramètres!$A$1:$I$89,5,0)</f>
        <v>5.1431925385259092E-13</v>
      </c>
      <c r="P197" s="13">
        <f t="shared" ref="P197:P203" si="203">EXP(-1.0587+0.8836*LN(O197)+0.284)</f>
        <v>6.3855359115685756E-12</v>
      </c>
      <c r="Q197" s="20">
        <f t="shared" si="162"/>
        <v>1.2017247746441865E-11</v>
      </c>
      <c r="R197" s="59">
        <f t="shared" si="191"/>
        <v>293.33333333334531</v>
      </c>
      <c r="S197" s="59">
        <f ca="1">AVERAGE(OFFSET($R$3,0,0,'Données projet'!$E$9+1,1))-AVERAGE(OFFSET($H$3,0,0,'Données projet'!$E$9+1,1))</f>
        <v>384.05928630855732</v>
      </c>
      <c r="T197" s="59">
        <f t="shared" ref="T197:T203" si="204">$T$3</f>
        <v>279.93992813630513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49.102782588533977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49.102782588533977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-6.3550942286383367E-14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335.04906256888819</v>
      </c>
      <c r="AO197" s="59">
        <f t="shared" ref="AO197:AO203" si="205">$AO$3</f>
        <v>440.84111898279554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14.449411774283011</v>
      </c>
      <c r="AV197" s="21">
        <f>EXP(-LN(2)/25)*AV196+(1-EXP(-LN(2)/25))/(LN(2)/25)*Calculateur!AQ197*Calculateur!AS197*VLOOKUP('Données projet'!$B$10,Paramètres!$A$1:$I$89,3,0)*0.475*44/12</f>
        <v>1.2211066954516996</v>
      </c>
      <c r="AW197" s="21">
        <f>EXP(-LN(2)/2)*AW196+(1-EXP(-LN(2)/2))/(LN(2)/2)*AQ197*AT197*VLOOKUP('Données projet'!$B$10,Paramètres!$A$1:$I$89,3,0)*0.475*44/12</f>
        <v>4.0921330105332064E-20</v>
      </c>
      <c r="AX197" s="21">
        <f t="shared" si="166"/>
        <v>15.670518469734709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261.20475283925128</v>
      </c>
      <c r="BJ197" s="59">
        <f t="shared" ref="BJ197:BJ203" si="206">$BJ$3</f>
        <v>247.06045079522403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14.279336697781158</v>
      </c>
      <c r="BQ197" s="21">
        <f>EXP(-LN(2)/25)*BQ196+(1-EXP(-LN(2)/25))/(LN(2)/25)*Calculateur!BL197*Calculateur!BN197*VLOOKUP('Données projet'!$B$11,Paramètres!$A$1:$I$89,3,0)*0.475*44/12</f>
        <v>1.4081402380272052</v>
      </c>
      <c r="BR197" s="21">
        <f>EXP(-LN(2)/2)*BR196+(1-EXP(-LN(2)/2))/(LN(2)/2)*BL197*BO197*VLOOKUP('Données projet'!$B$11,Paramètres!$A$1:$I$89,3,0)*0.475*44/12</f>
        <v>6.8294663896408437E-18</v>
      </c>
      <c r="BS197" s="22">
        <f t="shared" si="169"/>
        <v>15.687476935808363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-5.1159076974727213E-13</v>
      </c>
      <c r="BZ197" s="13">
        <f>BY197*VLOOKUP('Données projet'!$B$12,Paramètres!$A$1:$I$89,3,0)*VLOOKUP('Données projet'!$B$12,Paramètres!$A$1:$I$89,5,0)</f>
        <v>-2.9262992029543964E-13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268.71706840132384</v>
      </c>
      <c r="CE197" s="59">
        <f t="shared" ref="CE197:CE203" si="207">$CE$3</f>
        <v>199.92519498289477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17.537361151745333</v>
      </c>
      <c r="CL197" s="21">
        <f>EXP(-LN(2)/25)*CL196+(1-EXP(-LN(2)/25))/(LN(2)/25)*Calculateur!CG197*Calculateur!CI197*VLOOKUP('Données projet'!$B$12,Paramètres!$A$1:$I$89,3,0)*0.475*44/12</f>
        <v>2.0584798296575446</v>
      </c>
      <c r="CM197" s="21">
        <f>EXP(-LN(2)/2)*CM196+(1-EXP(-LN(2)/2))/(LN(2)/2)*CG197*CJ197*VLOOKUP('Données projet'!$B$12,Paramètres!$A$1:$I$89,3,0)*0.475*44/12</f>
        <v>3.4939703592069654E-13</v>
      </c>
      <c r="CN197" s="22">
        <f t="shared" si="172"/>
        <v>19.595840981403228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5.6843418860808015E-13</v>
      </c>
      <c r="O198" s="13">
        <f>N198*VLOOKUP('Données projet'!$B$9,Paramètres!$A$1:$I$89,3,0)*VLOOKUP('Données projet'!$B$9,Paramètres!$A$1:$I$89,5,0)</f>
        <v>5.1431925385259092E-13</v>
      </c>
      <c r="P198" s="13">
        <f t="shared" si="203"/>
        <v>6.3855359115685756E-12</v>
      </c>
      <c r="Q198" s="20">
        <f t="shared" si="162"/>
        <v>1.2017247746441865E-11</v>
      </c>
      <c r="R198" s="59">
        <f t="shared" si="191"/>
        <v>293.33333333334531</v>
      </c>
      <c r="S198" s="59">
        <f ca="1">AVERAGE(OFFSET($R$3,0,0,'Données projet'!$E$9+1,1))-AVERAGE(OFFSET($H$3,0,0,'Données projet'!$E$9+1,1))</f>
        <v>384.05928630855732</v>
      </c>
      <c r="T198" s="59">
        <f t="shared" si="204"/>
        <v>279.93992813630513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48.139906971712911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48.139906971712911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-6.3550942286383367E-14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335.04906256888819</v>
      </c>
      <c r="AO198" s="59">
        <f t="shared" si="205"/>
        <v>440.84111898279554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14.166067622660265</v>
      </c>
      <c r="AV198" s="21">
        <f>EXP(-LN(2)/25)*AV197+(1-EXP(-LN(2)/25))/(LN(2)/25)*Calculateur!AQ198*Calculateur!AS198*VLOOKUP('Données projet'!$B$10,Paramètres!$A$1:$I$89,3,0)*0.475*44/12</f>
        <v>1.1877154686493627</v>
      </c>
      <c r="AW198" s="21">
        <f>EXP(-LN(2)/2)*AW197+(1-EXP(-LN(2)/2))/(LN(2)/2)*AQ198*AT198*VLOOKUP('Données projet'!$B$10,Paramètres!$A$1:$I$89,3,0)*0.475*44/12</f>
        <v>2.893575001265352E-20</v>
      </c>
      <c r="AX198" s="21">
        <f t="shared" si="166"/>
        <v>15.353783091309626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261.20475283925128</v>
      </c>
      <c r="BJ198" s="59">
        <f t="shared" si="206"/>
        <v>247.06045079522403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13.99932761467306</v>
      </c>
      <c r="BQ198" s="21">
        <f>EXP(-LN(2)/25)*BQ197+(1-EXP(-LN(2)/25))/(LN(2)/25)*Calculateur!BL198*Calculateur!BN198*VLOOKUP('Données projet'!$B$11,Paramètres!$A$1:$I$89,3,0)*0.475*44/12</f>
        <v>1.3696345691674745</v>
      </c>
      <c r="BR198" s="21">
        <f>EXP(-LN(2)/2)*BR197+(1-EXP(-LN(2)/2))/(LN(2)/2)*BL198*BO198*VLOOKUP('Données projet'!$B$11,Paramètres!$A$1:$I$89,3,0)*0.475*44/12</f>
        <v>4.8291619960006491E-18</v>
      </c>
      <c r="BS198" s="22">
        <f t="shared" si="169"/>
        <v>15.368962183840534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-5.1159076974727213E-13</v>
      </c>
      <c r="BZ198" s="13">
        <f>BY198*VLOOKUP('Données projet'!$B$12,Paramètres!$A$1:$I$89,3,0)*VLOOKUP('Données projet'!$B$12,Paramètres!$A$1:$I$89,5,0)</f>
        <v>-2.9262992029543964E-13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268.71706840132384</v>
      </c>
      <c r="CE198" s="59">
        <f t="shared" si="207"/>
        <v>199.92519498289477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17.193464196293696</v>
      </c>
      <c r="CL198" s="21">
        <f>EXP(-LN(2)/25)*CL197+(1-EXP(-LN(2)/25))/(LN(2)/25)*Calculateur!CG198*Calculateur!CI198*VLOOKUP('Données projet'!$B$12,Paramètres!$A$1:$I$89,3,0)*0.475*44/12</f>
        <v>2.0021905904648096</v>
      </c>
      <c r="CM198" s="21">
        <f>EXP(-LN(2)/2)*CM197+(1-EXP(-LN(2)/2))/(LN(2)/2)*CG198*CJ198*VLOOKUP('Données projet'!$B$12,Paramètres!$A$1:$I$89,3,0)*0.475*44/12</f>
        <v>2.4706101342600425E-13</v>
      </c>
      <c r="CN198" s="22">
        <f t="shared" si="172"/>
        <v>19.195654786758755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5.6843418860808015E-13</v>
      </c>
      <c r="O199" s="13">
        <f>N199*VLOOKUP('Données projet'!$B$9,Paramètres!$A$1:$I$89,3,0)*VLOOKUP('Données projet'!$B$9,Paramètres!$A$1:$I$89,5,0)</f>
        <v>5.1431925385259092E-13</v>
      </c>
      <c r="P199" s="13">
        <f t="shared" si="203"/>
        <v>6.3855359115685756E-12</v>
      </c>
      <c r="Q199" s="20">
        <f t="shared" si="162"/>
        <v>1.2017247746441865E-11</v>
      </c>
      <c r="R199" s="59">
        <f t="shared" si="191"/>
        <v>293.33333333334531</v>
      </c>
      <c r="S199" s="59">
        <f ca="1">AVERAGE(OFFSET($R$3,0,0,'Données projet'!$E$9+1,1))-AVERAGE(OFFSET($H$3,0,0,'Données projet'!$E$9+1,1))</f>
        <v>384.05928630855732</v>
      </c>
      <c r="T199" s="59">
        <f t="shared" si="204"/>
        <v>279.93992813630513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47.195912758441573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47.195912758441573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-6.3550942286383367E-14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335.04906256888819</v>
      </c>
      <c r="AO199" s="59">
        <f t="shared" si="205"/>
        <v>440.84111898279554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13.888279677027974</v>
      </c>
      <c r="AV199" s="21">
        <f>EXP(-LN(2)/25)*AV198+(1-EXP(-LN(2)/25))/(LN(2)/25)*Calculateur!AQ199*Calculateur!AS199*VLOOKUP('Données projet'!$B$10,Paramètres!$A$1:$I$89,3,0)*0.475*44/12</f>
        <v>1.1552373266999039</v>
      </c>
      <c r="AW199" s="21">
        <f>EXP(-LN(2)/2)*AW198+(1-EXP(-LN(2)/2))/(LN(2)/2)*AQ199*AT199*VLOOKUP('Données projet'!$B$10,Paramètres!$A$1:$I$89,3,0)*0.475*44/12</f>
        <v>2.0460665052666032E-20</v>
      </c>
      <c r="AX199" s="21">
        <f t="shared" si="166"/>
        <v>15.043517003727878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261.20475283925128</v>
      </c>
      <c r="BJ199" s="59">
        <f t="shared" si="206"/>
        <v>247.06045079522403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13.724809338896035</v>
      </c>
      <c r="BQ199" s="21">
        <f>EXP(-LN(2)/25)*BQ198+(1-EXP(-LN(2)/25))/(LN(2)/25)*Calculateur!BL199*Calculateur!BN199*VLOOKUP('Données projet'!$B$11,Paramètres!$A$1:$I$89,3,0)*0.475*44/12</f>
        <v>1.3321818398476382</v>
      </c>
      <c r="BR199" s="21">
        <f>EXP(-LN(2)/2)*BR198+(1-EXP(-LN(2)/2))/(LN(2)/2)*BL199*BO199*VLOOKUP('Données projet'!$B$11,Paramètres!$A$1:$I$89,3,0)*0.475*44/12</f>
        <v>3.4147331948204223E-18</v>
      </c>
      <c r="BS199" s="22">
        <f t="shared" si="169"/>
        <v>15.056991178743674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-5.1159076974727213E-13</v>
      </c>
      <c r="BZ199" s="13">
        <f>BY199*VLOOKUP('Données projet'!$B$12,Paramètres!$A$1:$I$89,3,0)*VLOOKUP('Données projet'!$B$12,Paramètres!$A$1:$I$89,5,0)</f>
        <v>-2.9262992029543964E-13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268.71706840132384</v>
      </c>
      <c r="CE199" s="59">
        <f t="shared" si="207"/>
        <v>199.92519498289477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16.856310850382034</v>
      </c>
      <c r="CL199" s="21">
        <f>EXP(-LN(2)/25)*CL198+(1-EXP(-LN(2)/25))/(LN(2)/25)*Calculateur!CG199*Calculateur!CI199*VLOOKUP('Données projet'!$B$12,Paramètres!$A$1:$I$89,3,0)*0.475*44/12</f>
        <v>1.9474405834779223</v>
      </c>
      <c r="CM199" s="21">
        <f>EXP(-LN(2)/2)*CM198+(1-EXP(-LN(2)/2))/(LN(2)/2)*CG199*CJ199*VLOOKUP('Données projet'!$B$12,Paramètres!$A$1:$I$89,3,0)*0.475*44/12</f>
        <v>1.7469851796034827E-13</v>
      </c>
      <c r="CN199" s="22">
        <f t="shared" si="172"/>
        <v>18.803751433860132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5.6843418860808015E-13</v>
      </c>
      <c r="O200" s="13">
        <f>N200*VLOOKUP('Données projet'!$B$9,Paramètres!$A$1:$I$89,3,0)*VLOOKUP('Données projet'!$B$9,Paramètres!$A$1:$I$89,5,0)</f>
        <v>5.1431925385259092E-13</v>
      </c>
      <c r="P200" s="13">
        <f t="shared" si="203"/>
        <v>6.3855359115685756E-12</v>
      </c>
      <c r="Q200" s="20">
        <f t="shared" si="162"/>
        <v>1.2017247746441865E-11</v>
      </c>
      <c r="R200" s="59">
        <f t="shared" si="191"/>
        <v>293.33333333334531</v>
      </c>
      <c r="S200" s="59">
        <f ca="1">AVERAGE(OFFSET($R$3,0,0,'Données projet'!$E$9+1,1))-AVERAGE(OFFSET($H$3,0,0,'Données projet'!$E$9+1,1))</f>
        <v>384.05928630855732</v>
      </c>
      <c r="T200" s="59">
        <f t="shared" si="204"/>
        <v>279.93992813630513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46.270429695912867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46.270429695912867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-6.3550942286383367E-14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335.04906256888819</v>
      </c>
      <c r="AO200" s="59">
        <f t="shared" si="205"/>
        <v>440.84111898279554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13.615938983575615</v>
      </c>
      <c r="AV200" s="21">
        <f>EXP(-LN(2)/25)*AV199+(1-EXP(-LN(2)/25))/(LN(2)/25)*Calculateur!AQ200*Calculateur!AS200*VLOOKUP('Données projet'!$B$10,Paramètres!$A$1:$I$89,3,0)*0.475*44/12</f>
        <v>1.1236473012500043</v>
      </c>
      <c r="AW200" s="21">
        <f>EXP(-LN(2)/2)*AW199+(1-EXP(-LN(2)/2))/(LN(2)/2)*AQ200*AT200*VLOOKUP('Données projet'!$B$10,Paramètres!$A$1:$I$89,3,0)*0.475*44/12</f>
        <v>1.446787500632676E-20</v>
      </c>
      <c r="AX200" s="21">
        <f t="shared" si="166"/>
        <v>14.73958628482562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261.20475283925128</v>
      </c>
      <c r="BJ200" s="59">
        <f t="shared" si="206"/>
        <v>247.06045079522403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13.455674199067383</v>
      </c>
      <c r="BQ200" s="21">
        <f>EXP(-LN(2)/25)*BQ199+(1-EXP(-LN(2)/25))/(LN(2)/25)*Calculateur!BL200*Calculateur!BN200*VLOOKUP('Données projet'!$B$11,Paramètres!$A$1:$I$89,3,0)*0.475*44/12</f>
        <v>1.2957532573806063</v>
      </c>
      <c r="BR200" s="21">
        <f>EXP(-LN(2)/2)*BR199+(1-EXP(-LN(2)/2))/(LN(2)/2)*BL200*BO200*VLOOKUP('Données projet'!$B$11,Paramètres!$A$1:$I$89,3,0)*0.475*44/12</f>
        <v>2.4145809980003249E-18</v>
      </c>
      <c r="BS200" s="22">
        <f t="shared" si="169"/>
        <v>14.75142745644799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-5.1159076974727213E-13</v>
      </c>
      <c r="BZ200" s="13">
        <f>BY200*VLOOKUP('Données projet'!$B$12,Paramètres!$A$1:$I$89,3,0)*VLOOKUP('Données projet'!$B$12,Paramètres!$A$1:$I$89,5,0)</f>
        <v>-2.9262992029543964E-13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268.71706840132384</v>
      </c>
      <c r="CE200" s="59">
        <f t="shared" si="207"/>
        <v>199.92519498289477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16.525768875940464</v>
      </c>
      <c r="CL200" s="21">
        <f>EXP(-LN(2)/25)*CL199+(1-EXP(-LN(2)/25))/(LN(2)/25)*Calculateur!CG200*Calculateur!CI200*VLOOKUP('Données projet'!$B$12,Paramètres!$A$1:$I$89,3,0)*0.475*44/12</f>
        <v>1.8941877183112692</v>
      </c>
      <c r="CM200" s="21">
        <f>EXP(-LN(2)/2)*CM199+(1-EXP(-LN(2)/2))/(LN(2)/2)*CG200*CJ200*VLOOKUP('Données projet'!$B$12,Paramètres!$A$1:$I$89,3,0)*0.475*44/12</f>
        <v>1.2353050671300212E-13</v>
      </c>
      <c r="CN200" s="22">
        <f t="shared" si="172"/>
        <v>18.419956594251857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5.6843418860808015E-13</v>
      </c>
      <c r="O201" s="13">
        <f>N201*VLOOKUP('Données projet'!$B$9,Paramètres!$A$1:$I$89,3,0)*VLOOKUP('Données projet'!$B$9,Paramètres!$A$1:$I$89,5,0)</f>
        <v>5.1431925385259092E-13</v>
      </c>
      <c r="P201" s="13">
        <f t="shared" si="203"/>
        <v>6.3855359115685756E-12</v>
      </c>
      <c r="Q201" s="20">
        <f t="shared" si="162"/>
        <v>1.2017247746441865E-11</v>
      </c>
      <c r="R201" s="59">
        <f t="shared" si="191"/>
        <v>293.33333333334531</v>
      </c>
      <c r="S201" s="59">
        <f ca="1">AVERAGE(OFFSET($R$3,0,0,'Données projet'!$E$9+1,1))-AVERAGE(OFFSET($H$3,0,0,'Données projet'!$E$9+1,1))</f>
        <v>384.05928630855732</v>
      </c>
      <c r="T201" s="59">
        <f t="shared" si="204"/>
        <v>279.93992813630513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45.363094791751422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45.363094791751422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-6.3550942286383367E-14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335.04906256888819</v>
      </c>
      <c r="AO201" s="59">
        <f t="shared" si="205"/>
        <v>440.84111898279554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13.348938725010436</v>
      </c>
      <c r="AV201" s="21">
        <f>EXP(-LN(2)/25)*AV200+(1-EXP(-LN(2)/25))/(LN(2)/25)*Calculateur!AQ201*Calculateur!AS201*VLOOKUP('Données projet'!$B$10,Paramètres!$A$1:$I$89,3,0)*0.475*44/12</f>
        <v>1.0929211067072795</v>
      </c>
      <c r="AW201" s="21">
        <f>EXP(-LN(2)/2)*AW200+(1-EXP(-LN(2)/2))/(LN(2)/2)*AQ201*AT201*VLOOKUP('Données projet'!$B$10,Paramètres!$A$1:$I$89,3,0)*0.475*44/12</f>
        <v>1.0230332526333016E-20</v>
      </c>
      <c r="AX201" s="21">
        <f t="shared" si="166"/>
        <v>14.441859831717716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261.20475283925128</v>
      </c>
      <c r="BJ201" s="59">
        <f t="shared" si="206"/>
        <v>247.06045079522403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13.191816635174545</v>
      </c>
      <c r="BQ201" s="21">
        <f>EXP(-LN(2)/25)*BQ200+(1-EXP(-LN(2)/25))/(LN(2)/25)*Calculateur!BL201*Calculateur!BN201*VLOOKUP('Données projet'!$B$11,Paramètres!$A$1:$I$89,3,0)*0.475*44/12</f>
        <v>1.2603208164168314</v>
      </c>
      <c r="BR201" s="21">
        <f>EXP(-LN(2)/2)*BR200+(1-EXP(-LN(2)/2))/(LN(2)/2)*BL201*BO201*VLOOKUP('Données projet'!$B$11,Paramètres!$A$1:$I$89,3,0)*0.475*44/12</f>
        <v>1.7073665974102115E-18</v>
      </c>
      <c r="BS201" s="22">
        <f t="shared" si="169"/>
        <v>14.452137451591376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-5.1159076974727213E-13</v>
      </c>
      <c r="BZ201" s="13">
        <f>BY201*VLOOKUP('Données projet'!$B$12,Paramètres!$A$1:$I$89,3,0)*VLOOKUP('Données projet'!$B$12,Paramètres!$A$1:$I$89,5,0)</f>
        <v>-2.9262992029543964E-13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268.71706840132384</v>
      </c>
      <c r="CE201" s="59">
        <f t="shared" si="207"/>
        <v>199.92519498289477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16.201708628006998</v>
      </c>
      <c r="CL201" s="21">
        <f>EXP(-LN(2)/25)*CL200+(1-EXP(-LN(2)/25))/(LN(2)/25)*Calculateur!CG201*Calculateur!CI201*VLOOKUP('Données projet'!$B$12,Paramètres!$A$1:$I$89,3,0)*0.475*44/12</f>
        <v>1.8423910555430447</v>
      </c>
      <c r="CM201" s="21">
        <f>EXP(-LN(2)/2)*CM200+(1-EXP(-LN(2)/2))/(LN(2)/2)*CG201*CJ201*VLOOKUP('Données projet'!$B$12,Paramètres!$A$1:$I$89,3,0)*0.475*44/12</f>
        <v>8.7349258980174135E-14</v>
      </c>
      <c r="CN201" s="22">
        <f t="shared" si="172"/>
        <v>18.044099683550129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5.6843418860808015E-13</v>
      </c>
      <c r="O202" s="13">
        <f>N202*VLOOKUP('Données projet'!$B$9,Paramètres!$A$1:$I$89,3,0)*VLOOKUP('Données projet'!$B$9,Paramètres!$A$1:$I$89,5,0)</f>
        <v>5.1431925385259092E-13</v>
      </c>
      <c r="P202" s="13">
        <f t="shared" si="203"/>
        <v>6.3855359115685756E-12</v>
      </c>
      <c r="Q202" s="20">
        <f t="shared" si="162"/>
        <v>1.2017247746441865E-11</v>
      </c>
      <c r="R202" s="59">
        <f t="shared" si="191"/>
        <v>293.33333333334531</v>
      </c>
      <c r="S202" s="59">
        <f ca="1">AVERAGE(OFFSET($R$3,0,0,'Données projet'!$E$9+1,1))-AVERAGE(OFFSET($H$3,0,0,'Données projet'!$E$9+1,1))</f>
        <v>384.05928630855732</v>
      </c>
      <c r="T202" s="59">
        <f t="shared" si="204"/>
        <v>279.93992813630513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44.473552171640939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44.473552171640939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-6.3550942286383367E-14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335.04906256888819</v>
      </c>
      <c r="AO202" s="59">
        <f t="shared" si="205"/>
        <v>440.84111898279554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13.087174178661643</v>
      </c>
      <c r="AV202" s="21">
        <f>EXP(-LN(2)/25)*AV201+(1-EXP(-LN(2)/25))/(LN(2)/25)*Calculateur!AQ202*Calculateur!AS202*VLOOKUP('Données projet'!$B$10,Paramètres!$A$1:$I$89,3,0)*0.475*44/12</f>
        <v>1.0630351215701459</v>
      </c>
      <c r="AW202" s="21">
        <f>EXP(-LN(2)/2)*AW201+(1-EXP(-LN(2)/2))/(LN(2)/2)*AQ202*AT202*VLOOKUP('Données projet'!$B$10,Paramètres!$A$1:$I$89,3,0)*0.475*44/12</f>
        <v>7.2339375031633799E-21</v>
      </c>
      <c r="AX202" s="21">
        <f t="shared" si="166"/>
        <v>14.150209300231788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261.20475283925128</v>
      </c>
      <c r="BJ202" s="59">
        <f t="shared" si="206"/>
        <v>247.06045079522403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12.933133157172422</v>
      </c>
      <c r="BQ202" s="21">
        <f>EXP(-LN(2)/25)*BQ201+(1-EXP(-LN(2)/25))/(LN(2)/25)*Calculateur!BL202*Calculateur!BN202*VLOOKUP('Données projet'!$B$11,Paramètres!$A$1:$I$89,3,0)*0.475*44/12</f>
        <v>1.2258572774145218</v>
      </c>
      <c r="BR202" s="21">
        <f>EXP(-LN(2)/2)*BR201+(1-EXP(-LN(2)/2))/(LN(2)/2)*BL202*BO202*VLOOKUP('Données projet'!$B$11,Paramètres!$A$1:$I$89,3,0)*0.475*44/12</f>
        <v>1.2072904990001627E-18</v>
      </c>
      <c r="BS202" s="22">
        <f t="shared" si="169"/>
        <v>14.158990434586944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-5.1159076974727213E-13</v>
      </c>
      <c r="BZ202" s="13">
        <f>BY202*VLOOKUP('Données projet'!$B$12,Paramètres!$A$1:$I$89,3,0)*VLOOKUP('Données projet'!$B$12,Paramètres!$A$1:$I$89,5,0)</f>
        <v>-2.9262992029543964E-13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268.71706840132384</v>
      </c>
      <c r="CE202" s="59">
        <f t="shared" si="207"/>
        <v>199.92519498289477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15.88400300387827</v>
      </c>
      <c r="CL202" s="21">
        <f>EXP(-LN(2)/25)*CL201+(1-EXP(-LN(2)/25))/(LN(2)/25)*Calculateur!CG202*Calculateur!CI202*VLOOKUP('Données projet'!$B$12,Paramètres!$A$1:$I$89,3,0)*0.475*44/12</f>
        <v>1.7920107752420853</v>
      </c>
      <c r="CM202" s="21">
        <f>EXP(-LN(2)/2)*CM201+(1-EXP(-LN(2)/2))/(LN(2)/2)*CG202*CJ202*VLOOKUP('Données projet'!$B$12,Paramètres!$A$1:$I$89,3,0)*0.475*44/12</f>
        <v>6.1765253356501062E-14</v>
      </c>
      <c r="CN202" s="22">
        <f t="shared" si="172"/>
        <v>17.676013779120417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5.6843418860808015E-13</v>
      </c>
      <c r="O203" s="13">
        <f>N203*VLOOKUP('Données projet'!$B$9,Paramètres!$A$1:$I$89,3,0)*VLOOKUP('Données projet'!$B$9,Paramètres!$A$1:$I$89,5,0)</f>
        <v>5.1431925385259092E-13</v>
      </c>
      <c r="P203" s="13">
        <f t="shared" si="203"/>
        <v>6.3855359115685756E-12</v>
      </c>
      <c r="Q203" s="20">
        <f t="shared" si="162"/>
        <v>1.2017247746441865E-11</v>
      </c>
      <c r="R203" s="59">
        <f t="shared" si="191"/>
        <v>293.33333333334531</v>
      </c>
      <c r="S203" s="59">
        <f ca="1">AVERAGE(OFFSET($R$3,0,0,'Données projet'!$E$9+1,1))-AVERAGE(OFFSET($H$3,0,0,'Données projet'!$E$9+1,1))</f>
        <v>384.05928630855732</v>
      </c>
      <c r="T203" s="59">
        <f t="shared" si="204"/>
        <v>279.93992813630513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43.601452939743396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43.601452939743396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-6.3550942286383367E-14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335.04906256888819</v>
      </c>
      <c r="AO203" s="59">
        <f t="shared" si="205"/>
        <v>440.84111898279554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12.830542675406141</v>
      </c>
      <c r="AV203" s="21">
        <f>EXP(-LN(2)/25)*AV202+(1-EXP(-LN(2)/25))/(LN(2)/25)*Calculateur!AQ203*Calculateur!AS203*VLOOKUP('Données projet'!$B$10,Paramètres!$A$1:$I$89,3,0)*0.475*44/12</f>
        <v>1.0339663702682229</v>
      </c>
      <c r="AW203" s="21">
        <f>EXP(-LN(2)/2)*AW202+(1-EXP(-LN(2)/2))/(LN(2)/2)*AQ203*AT203*VLOOKUP('Données projet'!$B$10,Paramètres!$A$1:$I$89,3,0)*0.475*44/12</f>
        <v>5.115166263166508E-21</v>
      </c>
      <c r="AX203" s="21">
        <f t="shared" si="166"/>
        <v>13.864509045674364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261.20475283925128</v>
      </c>
      <c r="BJ203" s="59">
        <f t="shared" si="206"/>
        <v>247.06045079522403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12.679522304392579</v>
      </c>
      <c r="BQ203" s="21">
        <f>EXP(-LN(2)/25)*BQ202+(1-EXP(-LN(2)/25))/(LN(2)/25)*Calculateur!BL203*Calculateur!BN203*VLOOKUP('Données projet'!$B$11,Paramètres!$A$1:$I$89,3,0)*0.475*44/12</f>
        <v>1.1923361456985893</v>
      </c>
      <c r="BR203" s="21">
        <f>EXP(-LN(2)/2)*BR202+(1-EXP(-LN(2)/2))/(LN(2)/2)*BL203*BO203*VLOOKUP('Données projet'!$B$11,Paramètres!$A$1:$I$89,3,0)*0.475*44/12</f>
        <v>8.5368329870510585E-19</v>
      </c>
      <c r="BS203" s="22">
        <f t="shared" si="169"/>
        <v>13.871858450091167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-5.1159076974727213E-13</v>
      </c>
      <c r="BZ203" s="13">
        <f>BY203*VLOOKUP('Données projet'!$B$12,Paramètres!$A$1:$I$89,3,0)*VLOOKUP('Données projet'!$B$12,Paramètres!$A$1:$I$89,5,0)</f>
        <v>-2.9262992029543964E-13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268.71706840132384</v>
      </c>
      <c r="CE203" s="59">
        <f t="shared" si="207"/>
        <v>199.92519498289477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15.572527393257412</v>
      </c>
      <c r="CL203" s="21">
        <f>EXP(-LN(2)/25)*CL202+(1-EXP(-LN(2)/25))/(LN(2)/25)*Calculateur!CG203*Calculateur!CI203*VLOOKUP('Données projet'!$B$12,Paramètres!$A$1:$I$89,3,0)*0.475*44/12</f>
        <v>1.7430081463553395</v>
      </c>
      <c r="CM203" s="21">
        <f>EXP(-LN(2)/2)*CM202+(1-EXP(-LN(2)/2))/(LN(2)/2)*CG203*CJ203*VLOOKUP('Données projet'!$B$12,Paramètres!$A$1:$I$89,3,0)*0.475*44/12</f>
        <v>4.3674629490087068E-14</v>
      </c>
      <c r="CN203" s="22">
        <f t="shared" si="172"/>
        <v>17.315535539612792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1.1736311550444201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1.3356034260773062</v>
      </c>
      <c r="BA205" s="82">
        <f>EXP(LN('Données projet'!B88)/'Données projet'!A88)</f>
        <v>1.2805631431945952</v>
      </c>
      <c r="BV205" s="82">
        <f>EXP(LN('Données projet'!B114)/'Données projet'!A114)</f>
        <v>1.2501568957686711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90" zoomScaleNormal="90" workbookViewId="0">
      <selection activeCell="G16" sqref="G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sessile</v>
      </c>
      <c r="B6" s="146">
        <f>'Données projet'!D9</f>
        <v>1.4966299999999999</v>
      </c>
      <c r="C6" s="147">
        <f ca="1">IF(OR('Données projet'!B9="",'Données projet'!C9="",'Données projet'!C9=0%),0,Calculateur!S3)</f>
        <v>384.05928630855732</v>
      </c>
      <c r="D6" s="147">
        <f>IF(OR('Données projet'!B9="",'Données projet'!C9="",'Données projet'!C9=0%),0,Calculateur!T3)</f>
        <v>279.93992813630513</v>
      </c>
      <c r="E6" s="147">
        <f ca="1">MIN(C6,D6)</f>
        <v>279.93992813630513</v>
      </c>
      <c r="F6" s="147">
        <f ca="1">E6*B6</f>
        <v>418.9664946466383</v>
      </c>
      <c r="G6" s="147">
        <f ca="1">F6*(100%-'Données projet'!$C$24)*(100%-'Données projet'!$C$25)*(100%-'Données projet'!$C$26)*(100%-'Données projet'!$C$27)</f>
        <v>377.06984518197447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377.06984518197447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Douglas</v>
      </c>
      <c r="B7" s="154">
        <f>'Données projet'!D10</f>
        <v>0.13699</v>
      </c>
      <c r="C7" s="147">
        <f ca="1">IF(OR('Données projet'!B10="",'Données projet'!C10="",'Données projet'!C10=0%),0,Calculateur!AN3)</f>
        <v>335.04906256888819</v>
      </c>
      <c r="D7" s="147">
        <f>IF(OR('Données projet'!B10="",'Données projet'!C10="",'Données projet'!C10=0%),0,Calculateur!AO3)</f>
        <v>440.84111898279554</v>
      </c>
      <c r="E7" s="147">
        <f t="shared" ref="E7:E15" ca="1" si="0">MIN(C7,D7)</f>
        <v>335.04906256888819</v>
      </c>
      <c r="F7" s="147">
        <f t="shared" ref="F7:F15" ca="1" si="1">E7*B7</f>
        <v>45.898371081311993</v>
      </c>
      <c r="G7" s="147">
        <f ca="1">F7*(100%-'Données projet'!$C$24)*(100%-'Données projet'!$C$25)*(100%-'Données projet'!$C$26)*(100%-'Données projet'!$C$27)</f>
        <v>41.308533973180793</v>
      </c>
      <c r="H7" s="155">
        <f>IF(OR('Données projet'!B10="",'Données projet'!C10="",'Données projet'!C10=0%),0,AVERAGE(Calculateur!$AX$3:$AX$33)*B7)</f>
        <v>1.6729762899011502</v>
      </c>
      <c r="I7" s="149">
        <f>H7*(100%-'Données projet'!$C$24)*(100%-'Données projet'!$C$25)*(100%-'Données projet'!$C$26)*(100%-'Données projet'!$C$27)</f>
        <v>1.5056786609110353</v>
      </c>
      <c r="J7" s="150">
        <f>IF(OR('Données projet'!B10="",'Données projet'!C10="",'Données projet'!C10=0%),0,SUM(Calculateur!$AQ$3:$AQ$33)*VLOOKUP('Données projet'!$B$10,Paramètres!$A$1:$I$89,9,0)*B7)</f>
        <v>10.46255856153846</v>
      </c>
      <c r="K7" s="151">
        <f>J7*(100%-'Données projet'!$C$24)*(100%-'Données projet'!$C$25)*(100%-'Données projet'!$C$26)*(100%-'Données projet'!$C$27)</f>
        <v>9.4163027053846147</v>
      </c>
      <c r="L7" s="152">
        <f t="shared" ref="L7:L15" ca="1" si="2">G7+I7+K7</f>
        <v>52.230515339476447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Séquoia toujours vert</v>
      </c>
      <c r="B8" s="154">
        <f>'Données projet'!D11</f>
        <v>0.16168999999999997</v>
      </c>
      <c r="C8" s="147">
        <f ca="1">IF(OR('Données projet'!B11="",'Données projet'!C11="",'Données projet'!C11=0%),0,Calculateur!BI3)</f>
        <v>261.20475283925128</v>
      </c>
      <c r="D8" s="147">
        <f>IF(OR('Données projet'!B11="",'Données projet'!C11="",'Données projet'!C11=0%),0,Calculateur!BJ3)</f>
        <v>247.06045079522403</v>
      </c>
      <c r="E8" s="147">
        <f t="shared" ca="1" si="0"/>
        <v>247.06045079522403</v>
      </c>
      <c r="F8" s="147">
        <f t="shared" ca="1" si="1"/>
        <v>39.947204289079764</v>
      </c>
      <c r="G8" s="147">
        <f ca="1">F8*(100%-'Données projet'!$C$24)*(100%-'Données projet'!$C$25)*(100%-'Données projet'!$C$26)*(100%-'Données projet'!$C$27)</f>
        <v>35.952483860171789</v>
      </c>
      <c r="H8" s="155">
        <f>IF(OR('Données projet'!B11="",'Données projet'!C11="",'Données projet'!C11=0%),0,AVERAGE(Calculateur!$BS$3:$BS$33)*B8)</f>
        <v>1.0406931058972904</v>
      </c>
      <c r="I8" s="149">
        <f>H8*(100%-'Données projet'!$C$24)*(100%-'Données projet'!$C$25)*(100%-'Données projet'!$C$26)*(100%-'Données projet'!$C$27)</f>
        <v>0.93662379530756135</v>
      </c>
      <c r="J8" s="150">
        <f>IF(OR('Données projet'!B11="",'Données projet'!C11="",'Données projet'!C11=0%),0,SUM(Calculateur!$BL$3:$BL$33)*VLOOKUP('Données projet'!$B$11,Paramètres!$A$1:$I$89,9,0)*B8)</f>
        <v>8.2100336284615363</v>
      </c>
      <c r="K8" s="151">
        <f>J8*(100%-'Données projet'!$C$24)*(100%-'Données projet'!$C$25)*(100%-'Données projet'!$C$26)*(100%-'Données projet'!$C$27)</f>
        <v>7.389030265615383</v>
      </c>
      <c r="L8" s="152">
        <f t="shared" ca="1" si="2"/>
        <v>44.278137921094732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Pin sylvestre</v>
      </c>
      <c r="B9" s="154">
        <f>'Données projet'!D12</f>
        <v>0.10469000000000001</v>
      </c>
      <c r="C9" s="147">
        <f ca="1">IF(OR('Données projet'!B12="",'Données projet'!C12="",'Données projet'!C12=0%),0,Calculateur!CD3)</f>
        <v>268.71706840132384</v>
      </c>
      <c r="D9" s="147">
        <f>IF(OR('Données projet'!B12="",'Données projet'!C12="",'Données projet'!C12=0%),0,Calculateur!CE3)</f>
        <v>199.92519498289477</v>
      </c>
      <c r="E9" s="147">
        <f t="shared" ca="1" si="0"/>
        <v>199.92519498289477</v>
      </c>
      <c r="F9" s="147">
        <f t="shared" ca="1" si="1"/>
        <v>20.930168662759254</v>
      </c>
      <c r="G9" s="147">
        <f ca="1">F9*(100%-'Données projet'!$C$24)*(100%-'Données projet'!$C$25)*(100%-'Données projet'!$C$26)*(100%-'Données projet'!$C$27)</f>
        <v>18.837151796483329</v>
      </c>
      <c r="H9" s="155">
        <f>IF(OR('Données projet'!B12="",'Données projet'!C12="",'Données projet'!C12=0%),0,AVERAGE(Calculateur!$CN$3:$CN$33)*B9)</f>
        <v>0.57101599091405375</v>
      </c>
      <c r="I9" s="149">
        <f>H9*(100%-'Données projet'!$C$24)*(100%-'Données projet'!$C$25)*(100%-'Données projet'!$C$26)*(100%-'Données projet'!$C$27)</f>
        <v>0.51391439182264842</v>
      </c>
      <c r="J9" s="150">
        <f>IF(OR('Données projet'!B12="",'Données projet'!C12="",'Données projet'!C12=0%),0,SUM(Calculateur!$CG$3:$CG$33)*VLOOKUP('Données projet'!$B$12,Paramètres!$A$1:$I$89,9,0)*B9)</f>
        <v>4.0154896400000002</v>
      </c>
      <c r="K9" s="151">
        <f>J9*(100%-'Données projet'!$C$24)*(100%-'Données projet'!$C$25)*(100%-'Données projet'!$C$26)*(100%-'Données projet'!$C$27)</f>
        <v>3.6139406760000004</v>
      </c>
      <c r="L9" s="152">
        <f t="shared" ca="1" si="2"/>
        <v>22.965006864305977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525.74223867978935</v>
      </c>
      <c r="G16" s="166">
        <f t="shared" ca="1" si="3"/>
        <v>473.16801481181039</v>
      </c>
      <c r="H16" s="167">
        <f t="shared" si="3"/>
        <v>3.2846853867124945</v>
      </c>
      <c r="I16" s="167">
        <f t="shared" si="3"/>
        <v>2.9562168480412452</v>
      </c>
      <c r="J16" s="168">
        <f t="shared" si="3"/>
        <v>22.688081829999994</v>
      </c>
      <c r="K16" s="168">
        <f t="shared" si="3"/>
        <v>20.419273646999997</v>
      </c>
      <c r="L16" s="169">
        <f t="shared" ca="1" si="3"/>
        <v>496.54350530685161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Séquoia toujours vert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Pin sylvestre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4" zoomScale="80" zoomScaleNormal="80" workbookViewId="0">
      <selection activeCell="P25" sqref="P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1645.2338235710599</v>
      </c>
      <c r="U10" s="178">
        <f>'Données projet'!D9</f>
        <v>1.4966299999999999</v>
      </c>
      <c r="V10" s="177">
        <f>U10*T10</f>
        <v>2462.3062973711553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3527.9520376619112</v>
      </c>
      <c r="U11" s="178">
        <f>'Données projet'!D10</f>
        <v>0.13699</v>
      </c>
      <c r="V11" s="177">
        <f t="shared" ref="V11" si="0">U11*T11</f>
        <v>483.2941496393052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Séquoia toujours vert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1486.1581506183413</v>
      </c>
      <c r="U12" s="178">
        <f>'Données projet'!D11</f>
        <v>0.16168999999999997</v>
      </c>
      <c r="V12" s="177">
        <f t="shared" ref="V12:V19" si="1">U12*T12</f>
        <v>240.29691137347956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sylvestre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710.53411860132883</v>
      </c>
      <c r="U13" s="178">
        <f>'Données projet'!D12</f>
        <v>0.10469000000000001</v>
      </c>
      <c r="V13" s="177">
        <f t="shared" si="1"/>
        <v>74.385816876373113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13216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-20768.807733830599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35</v>
      </c>
      <c r="B24" s="181">
        <f>'Données projet'!D37</f>
        <v>60.602564102564102</v>
      </c>
      <c r="C24" s="193">
        <v>10</v>
      </c>
      <c r="D24" s="182">
        <f t="shared" ref="D24:D42" si="2">B24*C24</f>
        <v>606.02564102564099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41</v>
      </c>
      <c r="B25" s="181">
        <f>'Données projet'!D38</f>
        <v>38.512820512820511</v>
      </c>
      <c r="C25" s="193">
        <v>10</v>
      </c>
      <c r="D25" s="182">
        <f t="shared" si="2"/>
        <v>385.12820512820508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-20768.807733830599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48</v>
      </c>
      <c r="B26" s="181">
        <f>'Données projet'!D39</f>
        <v>48.025641025641022</v>
      </c>
      <c r="C26" s="193">
        <v>50</v>
      </c>
      <c r="D26" s="182">
        <f t="shared" si="2"/>
        <v>2401.2820512820513</v>
      </c>
      <c r="E26" s="193">
        <v>150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55</v>
      </c>
      <c r="B27" s="181">
        <f>'Données projet'!D40</f>
        <v>45.147435897435898</v>
      </c>
      <c r="C27" s="193">
        <v>50</v>
      </c>
      <c r="D27" s="182">
        <f t="shared" si="2"/>
        <v>2257.3717948717949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63</v>
      </c>
      <c r="B28" s="181">
        <f>'Données projet'!D41</f>
        <v>41.724358974358978</v>
      </c>
      <c r="C28" s="193">
        <v>50</v>
      </c>
      <c r="D28" s="182">
        <f t="shared" si="2"/>
        <v>2086.2179487179487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71</v>
      </c>
      <c r="B29" s="181">
        <f>'Données projet'!D42</f>
        <v>39.935897435897431</v>
      </c>
      <c r="C29" s="193">
        <v>100</v>
      </c>
      <c r="D29" s="182">
        <f t="shared" si="2"/>
        <v>3993.5897435897432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80</v>
      </c>
      <c r="B30" s="181">
        <f>'Données projet'!D43</f>
        <v>45.608974358974358</v>
      </c>
      <c r="C30" s="193">
        <v>100</v>
      </c>
      <c r="D30" s="182">
        <f t="shared" si="2"/>
        <v>4560.8974358974356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89</v>
      </c>
      <c r="B31" s="181">
        <f>'Données projet'!D44</f>
        <v>49.391025641025635</v>
      </c>
      <c r="C31" s="193">
        <v>150</v>
      </c>
      <c r="D31" s="182">
        <f t="shared" si="2"/>
        <v>7408.6538461538457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99</v>
      </c>
      <c r="B32" s="181">
        <f>'Données projet'!D45</f>
        <v>48.019230769230766</v>
      </c>
      <c r="C32" s="193">
        <v>150</v>
      </c>
      <c r="D32" s="182">
        <f t="shared" si="2"/>
        <v>7202.8846153846152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109</v>
      </c>
      <c r="B33" s="181">
        <f>'Données projet'!D46</f>
        <v>51.28846153846154</v>
      </c>
      <c r="C33" s="193">
        <v>150</v>
      </c>
      <c r="D33" s="182">
        <f t="shared" si="2"/>
        <v>7693.2692307692314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119</v>
      </c>
      <c r="B34" s="181">
        <f>'Données projet'!D47</f>
        <v>150.02564102564102</v>
      </c>
      <c r="C34" s="193">
        <v>200</v>
      </c>
      <c r="D34" s="182">
        <f t="shared" si="2"/>
        <v>30005.128205128203</v>
      </c>
      <c r="E34" s="193">
        <v>150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123</v>
      </c>
      <c r="B35" s="181">
        <f>'Données projet'!D48</f>
        <v>77.17307692307692</v>
      </c>
      <c r="C35" s="193">
        <v>200</v>
      </c>
      <c r="D35" s="182">
        <f t="shared" si="2"/>
        <v>15434.615384615385</v>
      </c>
      <c r="E35" s="193">
        <v>150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127</v>
      </c>
      <c r="B36" s="181">
        <f>'Données projet'!D49</f>
        <v>49.916666666666671</v>
      </c>
      <c r="C36" s="193">
        <v>200</v>
      </c>
      <c r="D36" s="182">
        <f t="shared" si="2"/>
        <v>9983.3333333333339</v>
      </c>
      <c r="E36" s="193">
        <v>150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131</v>
      </c>
      <c r="B37" s="181">
        <f>'Données projet'!D50</f>
        <v>110.91025641025641</v>
      </c>
      <c r="C37" s="193">
        <v>200</v>
      </c>
      <c r="D37" s="182">
        <f t="shared" si="2"/>
        <v>22182.051282051281</v>
      </c>
      <c r="E37" s="193">
        <v>150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18</v>
      </c>
      <c r="B54" s="181">
        <f>'Données projet'!D62</f>
        <v>69.284615384615378</v>
      </c>
      <c r="C54" s="191">
        <v>10</v>
      </c>
      <c r="D54" s="179">
        <f>B54*C54</f>
        <v>692.84615384615381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24</v>
      </c>
      <c r="B55" s="181">
        <f>'Données projet'!D63</f>
        <v>42.661538461538463</v>
      </c>
      <c r="C55" s="191">
        <v>10</v>
      </c>
      <c r="D55" s="179">
        <f t="shared" ref="D55:D73" si="4">B55*C55</f>
        <v>426.61538461538464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30</v>
      </c>
      <c r="B56" s="181">
        <f>'Données projet'!D64</f>
        <v>65.669230769230765</v>
      </c>
      <c r="C56" s="191">
        <v>18</v>
      </c>
      <c r="D56" s="179">
        <f t="shared" si="4"/>
        <v>1182.0461538461539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36</v>
      </c>
      <c r="B57" s="181">
        <f>'Données projet'!D65</f>
        <v>69.3</v>
      </c>
      <c r="C57" s="191">
        <v>25</v>
      </c>
      <c r="D57" s="179">
        <f t="shared" si="4"/>
        <v>1732.5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42</v>
      </c>
      <c r="B58" s="181">
        <f>'Données projet'!D66</f>
        <v>73.392307692307682</v>
      </c>
      <c r="C58" s="191">
        <v>25</v>
      </c>
      <c r="D58" s="179">
        <f t="shared" si="4"/>
        <v>1834.8076923076922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48</v>
      </c>
      <c r="B59" s="181">
        <f>'Données projet'!D67</f>
        <v>81.330769230769235</v>
      </c>
      <c r="C59" s="191">
        <v>35</v>
      </c>
      <c r="D59" s="179">
        <f t="shared" si="4"/>
        <v>2846.5769230769233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54</v>
      </c>
      <c r="B60" s="181">
        <f>'Données projet'!D68</f>
        <v>566.79999999999995</v>
      </c>
      <c r="C60" s="191">
        <v>40</v>
      </c>
      <c r="D60" s="179">
        <f t="shared" si="4"/>
        <v>22672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Séquoia toujours vert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21</v>
      </c>
      <c r="B85" s="181">
        <f>'Données projet'!D88</f>
        <v>61.169230769230765</v>
      </c>
      <c r="C85" s="191">
        <v>10</v>
      </c>
      <c r="D85" s="179">
        <f>B85*C85</f>
        <v>611.69230769230762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28</v>
      </c>
      <c r="B86" s="181">
        <f>'Données projet'!D89</f>
        <v>56.91538461538461</v>
      </c>
      <c r="C86" s="191">
        <v>10</v>
      </c>
      <c r="D86" s="179">
        <f t="shared" ref="D86:D104" si="6">B86*C86</f>
        <v>569.15384615384608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35</v>
      </c>
      <c r="B87" s="181">
        <f>'Données projet'!D90</f>
        <v>70.5</v>
      </c>
      <c r="C87" s="191">
        <v>18</v>
      </c>
      <c r="D87" s="179">
        <f t="shared" si="6"/>
        <v>1269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42</v>
      </c>
      <c r="B88" s="181">
        <f>'Données projet'!D91</f>
        <v>80.669230769230765</v>
      </c>
      <c r="C88" s="191">
        <v>25</v>
      </c>
      <c r="D88" s="179">
        <f t="shared" si="6"/>
        <v>2016.7307692307691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49</v>
      </c>
      <c r="B89" s="181">
        <f>'Données projet'!D92</f>
        <v>90.453846153846158</v>
      </c>
      <c r="C89" s="191">
        <v>25</v>
      </c>
      <c r="D89" s="179">
        <f t="shared" si="6"/>
        <v>2261.3461538461538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56</v>
      </c>
      <c r="B90" s="181">
        <f>'Données projet'!D93</f>
        <v>75.869230769230768</v>
      </c>
      <c r="C90" s="191">
        <v>35</v>
      </c>
      <c r="D90" s="179">
        <f t="shared" si="6"/>
        <v>2655.4230769230767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63</v>
      </c>
      <c r="B91" s="181">
        <f>'Données projet'!D94</f>
        <v>79.723076923076917</v>
      </c>
      <c r="C91" s="191">
        <v>40</v>
      </c>
      <c r="D91" s="179">
        <f t="shared" si="6"/>
        <v>3188.9230769230767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70</v>
      </c>
      <c r="B92" s="181">
        <f>'Données projet'!D95</f>
        <v>469.06923076923073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Pin sylvestre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22</v>
      </c>
      <c r="B116" s="181">
        <f>'Données projet'!D114</f>
        <v>57.4</v>
      </c>
      <c r="C116" s="191">
        <v>10</v>
      </c>
      <c r="D116" s="179">
        <f>B116*C116</f>
        <v>574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29</v>
      </c>
      <c r="B117" s="181">
        <f>'Données projet'!D115</f>
        <v>31.8</v>
      </c>
      <c r="C117" s="191">
        <v>10</v>
      </c>
      <c r="D117" s="179">
        <f t="shared" ref="D117:D135" si="8">B117*C117</f>
        <v>318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36</v>
      </c>
      <c r="B118" s="181">
        <f>'Données projet'!D116</f>
        <v>40.200000000000003</v>
      </c>
      <c r="C118" s="191">
        <v>10</v>
      </c>
      <c r="D118" s="179">
        <f t="shared" si="8"/>
        <v>402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44</v>
      </c>
      <c r="B119" s="181">
        <f>'Données projet'!D117</f>
        <v>39.5</v>
      </c>
      <c r="C119" s="191">
        <v>18</v>
      </c>
      <c r="D119" s="179">
        <f t="shared" si="8"/>
        <v>711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52</v>
      </c>
      <c r="B120" s="181">
        <f>'Données projet'!D118</f>
        <v>42</v>
      </c>
      <c r="C120" s="191">
        <v>25</v>
      </c>
      <c r="D120" s="179">
        <f t="shared" si="8"/>
        <v>1050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60</v>
      </c>
      <c r="B121" s="181">
        <f>'Données projet'!D119</f>
        <v>37.1</v>
      </c>
      <c r="C121" s="191">
        <v>25</v>
      </c>
      <c r="D121" s="179">
        <f t="shared" si="8"/>
        <v>927.5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70</v>
      </c>
      <c r="B122" s="181">
        <f>'Données projet'!D120</f>
        <v>44.1</v>
      </c>
      <c r="C122" s="191">
        <v>27</v>
      </c>
      <c r="D122" s="179">
        <f t="shared" si="8"/>
        <v>1190.7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80</v>
      </c>
      <c r="B123" s="181">
        <f>'Données projet'!D121</f>
        <v>34.9</v>
      </c>
      <c r="C123" s="191">
        <v>27</v>
      </c>
      <c r="D123" s="179">
        <f t="shared" si="8"/>
        <v>942.3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90</v>
      </c>
      <c r="B124" s="181">
        <f>'Données projet'!D122</f>
        <v>35.200000000000003</v>
      </c>
      <c r="C124" s="191">
        <v>30</v>
      </c>
      <c r="D124" s="179">
        <f t="shared" si="8"/>
        <v>1056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100</v>
      </c>
      <c r="B125" s="181">
        <f>'Données projet'!D123</f>
        <v>190.9</v>
      </c>
      <c r="C125" s="191">
        <v>35</v>
      </c>
      <c r="D125" s="179">
        <f t="shared" si="8"/>
        <v>6681.5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103</v>
      </c>
      <c r="B126" s="181">
        <f>'Données projet'!D124</f>
        <v>138.6</v>
      </c>
      <c r="C126" s="191">
        <v>38</v>
      </c>
      <c r="D126" s="179">
        <f t="shared" si="8"/>
        <v>5266.8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ée un document." ma:contentTypeScope="" ma:versionID="092ccfc0c500e6702652f5635bb5fe55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010577e839b03aaaee1ba94f253bf7ed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7C6DD7-2C2C-4A1A-BC6A-F0DC26559D9F}"/>
</file>

<file path=customXml/itemProps2.xml><?xml version="1.0" encoding="utf-8"?>
<ds:datastoreItem xmlns:ds="http://schemas.openxmlformats.org/officeDocument/2006/customXml" ds:itemID="{3FD8D4A5-5AD7-4D4B-BC6B-9F82A78EE197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5606B0F5-551A-4E61-A13E-9CF2838C12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Agathe DENOYER</cp:lastModifiedBy>
  <dcterms:created xsi:type="dcterms:W3CDTF">2021-02-01T08:22:39Z</dcterms:created>
  <dcterms:modified xsi:type="dcterms:W3CDTF">2025-04-10T14:50:41Z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