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51_Méry Prémécy_3,2_Julien HORLON/2.Dossier_LBC_déposé/"/>
    </mc:Choice>
  </mc:AlternateContent>
  <xr:revisionPtr revIDLastSave="15" documentId="11_E6967C7E78D5A5CAE6D435F968EBF6B69F8688AF" xr6:coauthVersionLast="47" xr6:coauthVersionMax="47" xr10:uidLastSave="{82B8A723-39B5-4B0F-9F7C-DD05C7744BEF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<sst xmlns="http://schemas.openxmlformats.org/spreadsheetml/2006/main" count="1171" uniqueCount="325">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</sst>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0.58953545646096461</c:v>
                </c:pt>
                <c:pt idx="2">
                  <c:v>0.26241922005711332</c:v>
                </c:pt>
                <c:pt idx="3">
                  <c:v>2.9714621485688064</c:v>
                </c:pt>
                <c:pt idx="4">
                  <c:v>8.2862705749171095</c:v>
                </c:pt>
                <c:pt idx="5">
                  <c:v>15.949283791614382</c:v>
                </c:pt>
                <c:pt idx="6">
                  <c:v>25.744686853540628</c:v>
                </c:pt>
                <c:pt idx="7">
                  <c:v>37.47372101639511</c:v>
                </c:pt>
                <c:pt idx="8">
                  <c:v>50.947030356481626</c:v>
                </c:pt>
                <c:pt idx="9">
                  <c:v>65.98122781273662</c:v>
                </c:pt>
                <c:pt idx="10">
                  <c:v>82.397049125160876</c:v>
                </c:pt>
                <c:pt idx="11">
                  <c:v>100.01824202511391</c:v>
                </c:pt>
                <c:pt idx="12">
                  <c:v>118.67084325389196</c:v>
                </c:pt>
                <c:pt idx="13">
                  <c:v>138.18267957981183</c:v>
                </c:pt>
                <c:pt idx="14">
                  <c:v>158.38300715079481</c:v>
                </c:pt>
                <c:pt idx="15">
                  <c:v>179.10224076684889</c:v>
                </c:pt>
                <c:pt idx="16">
                  <c:v>200.1717439783115</c:v>
                </c:pt>
                <c:pt idx="17">
                  <c:v>221.42366162690371</c:v>
                </c:pt>
                <c:pt idx="18">
                  <c:v>242.69078270909122</c:v>
                </c:pt>
                <c:pt idx="19">
                  <c:v>263.80642526364375</c:v>
                </c:pt>
                <c:pt idx="20">
                  <c:v>284.60433740007062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A36" sqref="A36:H54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3.2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207</v>
      </c>
      <c r="C9" s="32">
        <v>1</v>
      </c>
      <c r="D9" s="33">
        <f t="shared" ref="D9:D18" si="0">C9*$C$5</f>
        <v>3.2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17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18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19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20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26</v>
      </c>
      <c r="C19" s="37">
        <f>SUM(C9:C18)</f>
        <v>1</v>
      </c>
      <c r="D19" s="38">
        <f>SUM(D9:D18)</f>
        <v>3.2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33</v>
      </c>
      <c r="B26" s="42" t="s">
        <v>34</v>
      </c>
      <c r="C26" s="43">
        <v>0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Peuplier Koster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41</v>
      </c>
      <c r="C34" s="259" t="s">
        <v>42</v>
      </c>
      <c r="D34" s="259"/>
      <c r="E34" s="260" t="s">
        <v>43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2</v>
      </c>
      <c r="B36" s="60">
        <v>0.18435897435897397</v>
      </c>
      <c r="C36" s="60">
        <v>0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9.2179487179486985E-2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3</v>
      </c>
      <c r="B37" s="60">
        <v>2.31</v>
      </c>
      <c r="C37" s="60">
        <v>0</v>
      </c>
      <c r="D37" s="60">
        <v>0</v>
      </c>
      <c r="E37" s="51">
        <v>0</v>
      </c>
      <c r="F37" s="51">
        <v>0</v>
      </c>
      <c r="G37" s="51">
        <v>0</v>
      </c>
      <c r="H37" s="51">
        <v>0</v>
      </c>
      <c r="I37" s="53">
        <f t="shared" ref="I37:I55" si="1">IF(A37&lt;&gt;0,(B37-(B36-D36))/(A37-A36),"")</f>
        <v>2.1256410256410261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4</v>
      </c>
      <c r="B38" s="60">
        <v>6.6838461538461518</v>
      </c>
      <c r="C38" s="60">
        <v>0</v>
      </c>
      <c r="D38" s="60">
        <v>0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4.3738461538461522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5</v>
      </c>
      <c r="B39" s="60">
        <v>13.14935897435897</v>
      </c>
      <c r="C39" s="60">
        <v>0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6.4655128205128181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6</v>
      </c>
      <c r="B40" s="60">
        <v>21.549999999999997</v>
      </c>
      <c r="C40" s="60">
        <v>0</v>
      </c>
      <c r="D40" s="60">
        <v>0</v>
      </c>
      <c r="E40" s="51">
        <v>0</v>
      </c>
      <c r="F40" s="51">
        <v>0</v>
      </c>
      <c r="G40" s="51">
        <v>0</v>
      </c>
      <c r="H40" s="51">
        <v>0</v>
      </c>
      <c r="I40" s="49">
        <f t="shared" si="1"/>
        <v>8.4006410256410273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7</v>
      </c>
      <c r="B41" s="60">
        <v>31.729230769230764</v>
      </c>
      <c r="C41" s="60">
        <v>0</v>
      </c>
      <c r="D41" s="60">
        <v>0</v>
      </c>
      <c r="E41" s="51">
        <v>0</v>
      </c>
      <c r="F41" s="51">
        <v>0</v>
      </c>
      <c r="G41" s="51">
        <v>0</v>
      </c>
      <c r="H41" s="51">
        <v>0</v>
      </c>
      <c r="I41" s="53">
        <f t="shared" si="1"/>
        <v>10.179230769230767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8</v>
      </c>
      <c r="B42" s="60">
        <v>43.530512820512811</v>
      </c>
      <c r="C42" s="60">
        <v>0</v>
      </c>
      <c r="D42" s="60">
        <v>0</v>
      </c>
      <c r="E42" s="51">
        <v>0</v>
      </c>
      <c r="F42" s="51">
        <v>0</v>
      </c>
      <c r="G42" s="51">
        <v>0</v>
      </c>
      <c r="H42" s="51">
        <v>0</v>
      </c>
      <c r="I42" s="53">
        <f t="shared" si="1"/>
        <v>11.801282051282048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9</v>
      </c>
      <c r="B43" s="60">
        <v>56.797307692307676</v>
      </c>
      <c r="C43" s="60">
        <v>0</v>
      </c>
      <c r="D43" s="60">
        <v>0</v>
      </c>
      <c r="E43" s="51">
        <v>0</v>
      </c>
      <c r="F43" s="51">
        <v>0</v>
      </c>
      <c r="G43" s="51">
        <v>0</v>
      </c>
      <c r="H43" s="51">
        <v>0</v>
      </c>
      <c r="I43" s="49">
        <f t="shared" si="1"/>
        <v>13.266794871794865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10</v>
      </c>
      <c r="B44" s="60">
        <v>71.373076923076894</v>
      </c>
      <c r="C44" s="60">
        <v>0</v>
      </c>
      <c r="D44" s="60">
        <v>0</v>
      </c>
      <c r="E44" s="51">
        <v>0</v>
      </c>
      <c r="F44" s="51">
        <v>0</v>
      </c>
      <c r="G44" s="51">
        <v>0</v>
      </c>
      <c r="H44" s="51">
        <v>0</v>
      </c>
      <c r="I44" s="49">
        <f t="shared" si="1"/>
        <v>14.575769230769218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11</v>
      </c>
      <c r="B45" s="60">
        <v>87.101282051282055</v>
      </c>
      <c r="C45" s="60">
        <v>0</v>
      </c>
      <c r="D45" s="60">
        <v>0</v>
      </c>
      <c r="E45" s="51">
        <v>0</v>
      </c>
      <c r="F45" s="51">
        <v>0</v>
      </c>
      <c r="G45" s="51">
        <v>0</v>
      </c>
      <c r="H45" s="51">
        <v>0</v>
      </c>
      <c r="I45" s="49">
        <f t="shared" si="1"/>
        <v>15.728205128205161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12</v>
      </c>
      <c r="B46" s="60">
        <v>103.82538461538462</v>
      </c>
      <c r="C46" s="60">
        <v>0</v>
      </c>
      <c r="D46" s="60">
        <v>0</v>
      </c>
      <c r="E46" s="51">
        <v>0</v>
      </c>
      <c r="F46" s="51">
        <v>0</v>
      </c>
      <c r="G46" s="51">
        <v>0</v>
      </c>
      <c r="H46" s="51">
        <v>0</v>
      </c>
      <c r="I46" s="49">
        <f t="shared" si="1"/>
        <v>16.724102564102566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13</v>
      </c>
      <c r="B47" s="60">
        <v>121.38884615384613</v>
      </c>
      <c r="C47" s="60">
        <v>0</v>
      </c>
      <c r="D47" s="60">
        <v>0</v>
      </c>
      <c r="E47" s="51">
        <v>0</v>
      </c>
      <c r="F47" s="51">
        <v>0</v>
      </c>
      <c r="G47" s="51">
        <v>0</v>
      </c>
      <c r="H47" s="51">
        <v>0</v>
      </c>
      <c r="I47" s="49">
        <f t="shared" si="1"/>
        <v>17.56346153846151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14</v>
      </c>
      <c r="B48" s="60">
        <v>139.63512820512813</v>
      </c>
      <c r="C48" s="60">
        <v>0</v>
      </c>
      <c r="D48" s="60">
        <v>0</v>
      </c>
      <c r="E48" s="51">
        <v>0</v>
      </c>
      <c r="F48" s="51">
        <v>0</v>
      </c>
      <c r="G48" s="51">
        <v>0</v>
      </c>
      <c r="H48" s="51">
        <v>0</v>
      </c>
      <c r="I48" s="49">
        <f t="shared" si="1"/>
        <v>18.246282051281995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15</v>
      </c>
      <c r="B49" s="60">
        <v>158.40769230769226</v>
      </c>
      <c r="C49" s="60">
        <v>0</v>
      </c>
      <c r="D49" s="60">
        <v>0</v>
      </c>
      <c r="E49" s="51">
        <v>0</v>
      </c>
      <c r="F49" s="51">
        <v>0</v>
      </c>
      <c r="G49" s="51">
        <v>0</v>
      </c>
      <c r="H49" s="51">
        <v>0</v>
      </c>
      <c r="I49" s="49">
        <f t="shared" si="1"/>
        <v>18.772564102564132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16</v>
      </c>
      <c r="B50" s="50">
        <v>177.54999999999995</v>
      </c>
      <c r="C50" s="50">
        <v>0</v>
      </c>
      <c r="D50" s="50">
        <v>0</v>
      </c>
      <c r="E50" s="51">
        <v>0</v>
      </c>
      <c r="F50" s="51">
        <v>0</v>
      </c>
      <c r="G50" s="51">
        <v>0</v>
      </c>
      <c r="H50" s="51">
        <v>0</v>
      </c>
      <c r="I50" s="49">
        <f t="shared" si="1"/>
        <v>19.142307692307696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17</v>
      </c>
      <c r="B51" s="50">
        <v>196.90551282051274</v>
      </c>
      <c r="C51" s="50">
        <v>0</v>
      </c>
      <c r="D51" s="50">
        <v>0</v>
      </c>
      <c r="E51" s="51">
        <v>0</v>
      </c>
      <c r="F51" s="51">
        <v>0</v>
      </c>
      <c r="G51" s="51">
        <v>0</v>
      </c>
      <c r="H51" s="51">
        <v>0</v>
      </c>
      <c r="I51" s="49">
        <f t="shared" si="1"/>
        <v>19.355512820512786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18</v>
      </c>
      <c r="B52" s="50">
        <v>216.31769230769225</v>
      </c>
      <c r="C52" s="50">
        <v>0</v>
      </c>
      <c r="D52" s="50">
        <v>0</v>
      </c>
      <c r="E52" s="51">
        <v>0</v>
      </c>
      <c r="F52" s="51">
        <v>0</v>
      </c>
      <c r="G52" s="51">
        <v>0</v>
      </c>
      <c r="H52" s="51">
        <v>0</v>
      </c>
      <c r="I52" s="49">
        <f t="shared" si="1"/>
        <v>19.412179487179515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>
        <v>19</v>
      </c>
      <c r="B53" s="50">
        <v>235.63</v>
      </c>
      <c r="C53" s="50">
        <v>0</v>
      </c>
      <c r="D53" s="50">
        <v>0</v>
      </c>
      <c r="E53" s="51">
        <v>0</v>
      </c>
      <c r="F53" s="51">
        <v>0</v>
      </c>
      <c r="G53" s="51">
        <v>0</v>
      </c>
      <c r="H53" s="51">
        <v>0</v>
      </c>
      <c r="I53" s="49">
        <f t="shared" si="1"/>
        <v>19.312307692307741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>
        <v>20</v>
      </c>
      <c r="B54" s="50">
        <v>254.68589743589735</v>
      </c>
      <c r="C54" s="50" t="s">
        <v>324</v>
      </c>
      <c r="D54" s="50">
        <v>254.68589743589735</v>
      </c>
      <c r="E54" s="51">
        <v>0.7</v>
      </c>
      <c r="F54" s="51">
        <v>0.15</v>
      </c>
      <c r="G54" s="51">
        <v>0.15</v>
      </c>
      <c r="H54" s="51">
        <v>0</v>
      </c>
      <c r="I54" s="49">
        <f t="shared" si="1"/>
        <v>19.05589743589735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17</v>
      </c>
      <c r="B58" s="52" t="str">
        <f>IF(B10="","",B10)</f>
        <v/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41</v>
      </c>
      <c r="C60" s="259" t="s">
        <v>42</v>
      </c>
      <c r="D60" s="259"/>
      <c r="E60" s="260" t="s">
        <v>43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18</v>
      </c>
      <c r="B84" s="52" t="str">
        <f>IF(B11="","",B11)</f>
        <v/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41</v>
      </c>
      <c r="C86" s="259" t="s">
        <v>42</v>
      </c>
      <c r="D86" s="259"/>
      <c r="E86" s="260" t="s">
        <v>43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19</v>
      </c>
      <c r="B110" s="52" t="str">
        <f>IF(B12="","",B12)</f>
        <v/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41</v>
      </c>
      <c r="C112" s="259" t="s">
        <v>42</v>
      </c>
      <c r="D112" s="259"/>
      <c r="E112" s="260" t="s">
        <v>43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20</v>
      </c>
      <c r="B136" s="52" t="str">
        <f>IF(B13="","",B13)</f>
        <v/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41</v>
      </c>
      <c r="C138" s="259" t="s">
        <v>42</v>
      </c>
      <c r="D138" s="259"/>
      <c r="E138" s="260" t="s">
        <v>43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41</v>
      </c>
      <c r="C164" s="259" t="s">
        <v>42</v>
      </c>
      <c r="D164" s="259"/>
      <c r="E164" s="260" t="s">
        <v>43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41</v>
      </c>
      <c r="C190" s="259" t="s">
        <v>42</v>
      </c>
      <c r="D190" s="259"/>
      <c r="E190" s="260" t="s">
        <v>43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41</v>
      </c>
      <c r="C216" s="259" t="s">
        <v>42</v>
      </c>
      <c r="D216" s="259"/>
      <c r="E216" s="260" t="s">
        <v>43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41</v>
      </c>
      <c r="C242" s="259" t="s">
        <v>42</v>
      </c>
      <c r="D242" s="259"/>
      <c r="E242" s="260" t="s">
        <v>43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41</v>
      </c>
      <c r="C268" s="259" t="s">
        <v>42</v>
      </c>
      <c r="D268" s="259"/>
      <c r="E268" s="260" t="s">
        <v>43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16" sqref="G16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58</v>
      </c>
      <c r="D8" s="23"/>
      <c r="E8" s="105">
        <v>4</v>
      </c>
      <c r="F8" s="61">
        <v>1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55</v>
      </c>
      <c r="C15" s="4"/>
      <c r="D15" s="23"/>
      <c r="E15" s="4"/>
      <c r="F15" s="4"/>
      <c r="G15" s="2" t="s">
        <v>207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92.49458233028173</v>
      </c>
      <c r="T3" s="59">
        <f>IF('Données projet'!E9&gt;30,$R$33-$H$33,LOOKUP('Données projet'!$E$9,$A$3:$A$203,R3:R203)-LOOKUP('Données projet'!$E$9,$A$3:$A$203,$H$3:$H$203))</f>
        <v>260.65744386159963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0.50856000000000001</v>
      </c>
      <c r="D4" s="11">
        <f>IFERROR(EXP(-1.0587+0.8836*LN(C4)+0.284),0)</f>
        <v>0.25355724911707345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5.8830103440616197</v>
      </c>
      <c r="H4" s="67">
        <f t="shared" ref="H4:H67" si="1">(B4+E4+F4)*44/12+(C4+D4)*0.475*44/12</f>
        <v>294.6606875422122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9.2179487179486985E-2</v>
      </c>
      <c r="N4" s="13">
        <f>IF('Données projet'!$A$36&gt;35,N3+M4-V3,IF(A4&lt;'Données projet'!$A$36,$K$205^A4,IF(A4='Données projet'!$A$36,'Données projet'!$B$36,N3+M4-V3)))</f>
        <v>0.42937043954955023</v>
      </c>
      <c r="O4" s="13">
        <f>N4*VLOOKUP('Données projet'!$B$9,Paramètres!$A$1:$I$89,3,0)*VLOOKUP('Données projet'!$B$9,Paramètres!$A$1:$I$89,5,0)</f>
        <v>0.21836063073731929</v>
      </c>
      <c r="P4" s="13">
        <f>EXP(-1.0587+0.8836*LN(O4)+0.284)</f>
        <v>0.12012862656084218</v>
      </c>
      <c r="Q4" s="20">
        <f t="shared" ref="Q4:Q34" si="2">(O4+P4)*0.475*44/12</f>
        <v>0.58953545646096461</v>
      </c>
      <c r="R4" s="59">
        <f t="shared" si="0"/>
        <v>293.92286878979428</v>
      </c>
      <c r="S4" s="59">
        <f ca="1">AVERAGE(OFFSET($R$3,0,0,'Données projet'!$E$9+1,1))-AVERAGE(OFFSET($H$3,0,0,'Données projet'!$E$9+1,1))</f>
        <v>92.49458233028173</v>
      </c>
      <c r="T4" s="59">
        <f>$T$3</f>
        <v>260.65744386159963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1.01712</v>
      </c>
      <c r="D5" s="11">
        <f t="shared" ref="D5:D68" si="32">IFERROR(EXP(-1.0587+0.8836*LN(C5)+0.284),0)</f>
        <v>0.46780637471120479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11.462589559174214</v>
      </c>
      <c r="H5" s="67">
        <f t="shared" si="1"/>
        <v>295.91958010262198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>
        <f>VLOOKUP(A5,'Données projet'!$A$35:$I$55,2,0)</f>
        <v>0.18435897435897397</v>
      </c>
      <c r="L5" s="12">
        <f>VLOOKUP(A5,'Données projet'!$A$35:$I$55,9,0)</f>
        <v>9.2179487179486985E-2</v>
      </c>
      <c r="M5" s="12">
        <f t="array" ref="M5">INDEX(L:L,MIN(IF(ISNUMBER(L5:L201),ROW(L5:L201),"")))</f>
        <v>9.2179487179486985E-2</v>
      </c>
      <c r="N5" s="13">
        <f>IF('Données projet'!$A$36&gt;35,N4+M5-V4,IF(A5&lt;'Données projet'!$A$36,$K$205^A5,IF(A5='Données projet'!$A$36,'Données projet'!$B$36,N4+M5-V4)))</f>
        <v>0.18435897435897397</v>
      </c>
      <c r="O5" s="13">
        <f>N5*VLOOKUP('Données projet'!$B$9,Paramètres!$A$1:$I$89,3,0)*VLOOKUP('Données projet'!$B$9,Paramètres!$A$1:$I$89,5,0)</f>
        <v>9.3757599999999816E-2</v>
      </c>
      <c r="P5" s="13">
        <f t="shared" ref="P5:P68" si="33">EXP(-1.0587+0.8836*LN(O5)+0.284)</f>
        <v>5.6913722520830795E-2</v>
      </c>
      <c r="Q5" s="20">
        <f t="shared" si="2"/>
        <v>0.26241922005711332</v>
      </c>
      <c r="R5" s="59">
        <f t="shared" si="0"/>
        <v>293.59575255339041</v>
      </c>
      <c r="S5" s="59">
        <f ca="1">AVERAGE(OFFSET($R$3,0,0,'Données projet'!$E$9+1,1))-AVERAGE(OFFSET($H$3,0,0,'Données projet'!$E$9+1,1))</f>
        <v>92.49458233028173</v>
      </c>
      <c r="T5" s="59">
        <f t="shared" ref="T5:T68" si="34">$T$3</f>
        <v>260.65744386159963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1.5256799999999999</v>
      </c>
      <c r="D6" s="11">
        <f t="shared" si="32"/>
        <v>0.66936094955179459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16.944175750926135</v>
      </c>
      <c r="H6" s="67">
        <f t="shared" si="1"/>
        <v>297.15636298713605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>
        <f>VLOOKUP(A6,'Données projet'!$A$35:$I$55,2,0)</f>
        <v>2.31</v>
      </c>
      <c r="L6" s="12">
        <f>VLOOKUP(A6,'Données projet'!$A$35:$I$55,9,0)</f>
        <v>2.1256410256410261</v>
      </c>
      <c r="M6" s="12">
        <f t="array" ref="M6">INDEX(L:L,MIN(IF(ISNUMBER(L6:L202),ROW(L6:L202),"")))</f>
        <v>2.1256410256410261</v>
      </c>
      <c r="N6" s="13">
        <f>IF('Données projet'!$A$36&gt;35,N5+M6-V5,IF(A6&lt;'Données projet'!$A$36,$K$205^A6,IF(A6='Données projet'!$A$36,'Données projet'!$B$36,N5+M6-V5)))</f>
        <v>2.31</v>
      </c>
      <c r="O6" s="13">
        <f>N6*VLOOKUP('Données projet'!$B$9,Paramètres!$A$1:$I$89,3,0)*VLOOKUP('Données projet'!$B$9,Paramètres!$A$1:$I$89,5,0)</f>
        <v>1.1747736000000002</v>
      </c>
      <c r="P6" s="13">
        <f t="shared" si="33"/>
        <v>0.5313290690347211</v>
      </c>
      <c r="Q6" s="20">
        <f t="shared" si="2"/>
        <v>2.9714621485688064</v>
      </c>
      <c r="R6" s="59">
        <f t="shared" si="0"/>
        <v>296.30479548190215</v>
      </c>
      <c r="S6" s="59">
        <f ca="1">AVERAGE(OFFSET($R$3,0,0,'Données projet'!$E$9+1,1))-AVERAGE(OFFSET($H$3,0,0,'Données projet'!$E$9+1,1))</f>
        <v>92.49458233028173</v>
      </c>
      <c r="T6" s="59">
        <f t="shared" si="34"/>
        <v>260.65744386159963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2.03424</v>
      </c>
      <c r="D7" s="11">
        <f t="shared" si="32"/>
        <v>0.86309030793828811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22.365356763032398</v>
      </c>
      <c r="H7" s="67">
        <f t="shared" si="1"/>
        <v>298.3795169529925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>
        <f>VLOOKUP(A7,'Données projet'!$A$35:$I$55,2,0)</f>
        <v>6.6838461538461518</v>
      </c>
      <c r="L7" s="12">
        <f>VLOOKUP(A7,'Données projet'!$A$35:$I$55,9,0)</f>
        <v>4.3738461538461522</v>
      </c>
      <c r="M7" s="12">
        <f t="array" ref="M7">INDEX(L:L,MIN(IF(ISNUMBER(L7:L203),ROW(L7:L203),"")))</f>
        <v>4.3738461538461522</v>
      </c>
      <c r="N7" s="13">
        <f>IF('Données projet'!$A$36&gt;35,N6+M7-V6,IF(A7&lt;'Données projet'!$A$36,$K$205^A7,IF(A7='Données projet'!$A$36,'Données projet'!$B$36,N6+M7-V6)))</f>
        <v>6.6838461538461527</v>
      </c>
      <c r="O7" s="13">
        <f>N7*VLOOKUP('Données projet'!$B$9,Paramètres!$A$1:$I$89,3,0)*VLOOKUP('Données projet'!$B$9,Paramètres!$A$1:$I$89,5,0)</f>
        <v>3.3991367999999995</v>
      </c>
      <c r="P7" s="13">
        <f t="shared" si="33"/>
        <v>1.3585305157418814</v>
      </c>
      <c r="Q7" s="20">
        <f t="shared" si="2"/>
        <v>8.2862705749171095</v>
      </c>
      <c r="R7" s="59">
        <f t="shared" si="0"/>
        <v>301.61960390825044</v>
      </c>
      <c r="S7" s="59">
        <f ca="1">AVERAGE(OFFSET($R$3,0,0,'Données projet'!$E$9+1,1))-AVERAGE(OFFSET($H$3,0,0,'Données projet'!$E$9+1,1))</f>
        <v>92.49458233028173</v>
      </c>
      <c r="T7" s="59">
        <f t="shared" si="34"/>
        <v>260.65744386159963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2.5428000000000002</v>
      </c>
      <c r="D8" s="11">
        <f t="shared" si="32"/>
        <v>1.0512013918025274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27.743168638475655</v>
      </c>
      <c r="H8" s="67">
        <f t="shared" si="1"/>
        <v>299.59288575738941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>
        <f>VLOOKUP(A8,'Données projet'!$A$35:$I$55,2,0)</f>
        <v>13.14935897435897</v>
      </c>
      <c r="L8" s="12">
        <f>VLOOKUP(A8,'Données projet'!$A$35:$I$55,9,0)</f>
        <v>6.4655128205128181</v>
      </c>
      <c r="M8" s="12">
        <f t="array" ref="M8">INDEX(L:L,MIN(IF(ISNUMBER(L8:L204),ROW(L8:L204),"")))</f>
        <v>6.4655128205128181</v>
      </c>
      <c r="N8" s="13">
        <f>IF('Données projet'!$A$36&gt;35,N7+M8-V7,IF(A8&lt;'Données projet'!$A$36,$K$205^A8,IF(A8='Données projet'!$A$36,'Données projet'!$B$36,N7+M8-V7)))</f>
        <v>13.149358974358972</v>
      </c>
      <c r="O8" s="13">
        <f>N8*VLOOKUP('Données projet'!$B$9,Paramètres!$A$1:$I$89,3,0)*VLOOKUP('Données projet'!$B$9,Paramètres!$A$1:$I$89,5,0)</f>
        <v>6.6872379999999989</v>
      </c>
      <c r="P8" s="13">
        <f t="shared" si="33"/>
        <v>2.4702455167163944</v>
      </c>
      <c r="Q8" s="20">
        <f t="shared" si="2"/>
        <v>15.949283791614382</v>
      </c>
      <c r="R8" s="59">
        <f t="shared" si="0"/>
        <v>309.28261712494771</v>
      </c>
      <c r="S8" s="59">
        <f ca="1">AVERAGE(OFFSET($R$3,0,0,'Données projet'!$E$9+1,1))-AVERAGE(OFFSET($H$3,0,0,'Données projet'!$E$9+1,1))</f>
        <v>92.49458233028173</v>
      </c>
      <c r="T8" s="59">
        <f t="shared" si="34"/>
        <v>260.65744386159963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3.0513600000000003</v>
      </c>
      <c r="D9" s="11">
        <f t="shared" si="32"/>
        <v>1.2349531329648338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33.087329447447836</v>
      </c>
      <c r="H9" s="67">
        <f t="shared" si="1"/>
        <v>300.79866203991372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>
        <f>VLOOKUP(A9,'Données projet'!$A$35:$I$55,2,0)</f>
        <v>21.549999999999997</v>
      </c>
      <c r="L9" s="12">
        <f>VLOOKUP(A9,'Données projet'!$A$35:$I$55,9,0)</f>
        <v>8.4006410256410273</v>
      </c>
      <c r="M9" s="12">
        <f t="array" ref="M9">INDEX(L:L,MIN(IF(ISNUMBER(L9:L205),ROW(L9:L205),"")))</f>
        <v>8.4006410256410273</v>
      </c>
      <c r="N9" s="13">
        <f>IF('Données projet'!$A$36&gt;35,N8+M9-V8,IF(A9&lt;'Données projet'!$A$36,$K$205^A9,IF(A9='Données projet'!$A$36,'Données projet'!$B$36,N8+M9-V8)))</f>
        <v>21.549999999999997</v>
      </c>
      <c r="O9" s="13">
        <f>N9*VLOOKUP('Données projet'!$B$9,Paramètres!$A$1:$I$89,3,0)*VLOOKUP('Données projet'!$B$9,Paramètres!$A$1:$I$89,5,0)</f>
        <v>10.959467999999999</v>
      </c>
      <c r="P9" s="13">
        <f t="shared" si="33"/>
        <v>3.8221703848080173</v>
      </c>
      <c r="Q9" s="20">
        <f t="shared" si="2"/>
        <v>25.744686853540628</v>
      </c>
      <c r="R9" s="59">
        <f t="shared" si="0"/>
        <v>319.07802018687391</v>
      </c>
      <c r="S9" s="59">
        <f ca="1">AVERAGE(OFFSET($R$3,0,0,'Données projet'!$E$9+1,1))-AVERAGE(OFFSET($H$3,0,0,'Données projet'!$E$9+1,1))</f>
        <v>92.49458233028173</v>
      </c>
      <c r="T9" s="59">
        <f t="shared" si="34"/>
        <v>260.65744386159963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3.5599200000000004</v>
      </c>
      <c r="D10" s="11">
        <f t="shared" si="32"/>
        <v>1.4151571160924612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38.404104054047075</v>
      </c>
      <c r="H10" s="67">
        <f t="shared" si="1"/>
        <v>301.99825931052766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>
        <f>VLOOKUP(A10,'Données projet'!$A$35:$I$55,2,0)</f>
        <v>31.729230769230764</v>
      </c>
      <c r="L10" s="12">
        <f>VLOOKUP(A10,'Données projet'!$A$35:$I$55,9,0)</f>
        <v>10.179230769230767</v>
      </c>
      <c r="M10" s="12">
        <f t="array" ref="M10">INDEX(L:L,MIN(IF(ISNUMBER(L10:L206),ROW(L10:L206),"")))</f>
        <v>10.179230769230767</v>
      </c>
      <c r="N10" s="13">
        <f>IF('Données projet'!$A$36&gt;35,N9+M10-V9,IF(A10&lt;'Données projet'!$A$36,$K$205^A10,IF(A10='Données projet'!$A$36,'Données projet'!$B$36,N9+M10-V9)))</f>
        <v>31.729230769230764</v>
      </c>
      <c r="O10" s="13">
        <f>N10*VLOOKUP('Données projet'!$B$9,Paramètres!$A$1:$I$89,3,0)*VLOOKUP('Données projet'!$B$9,Paramètres!$A$1:$I$89,5,0)</f>
        <v>16.136217599999998</v>
      </c>
      <c r="P10" s="13">
        <f t="shared" si="33"/>
        <v>5.3797944668297326</v>
      </c>
      <c r="Q10" s="20">
        <f t="shared" si="2"/>
        <v>37.47372101639511</v>
      </c>
      <c r="R10" s="59">
        <f t="shared" si="0"/>
        <v>330.80705434972845</v>
      </c>
      <c r="S10" s="59">
        <f ca="1">AVERAGE(OFFSET($R$3,0,0,'Données projet'!$E$9+1,1))-AVERAGE(OFFSET($H$3,0,0,'Données projet'!$E$9+1,1))</f>
        <v>92.49458233028173</v>
      </c>
      <c r="T10" s="59">
        <f t="shared" si="34"/>
        <v>260.65744386159963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4.0684800000000001</v>
      </c>
      <c r="D11" s="11">
        <f t="shared" si="32"/>
        <v>1.5923786419474943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43.697856183454348</v>
      </c>
      <c r="H11" s="67">
        <f t="shared" si="1"/>
        <v>303.1926621347252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>
        <f>VLOOKUP(A11,'Données projet'!$A$35:$I$55,2,0)</f>
        <v>43.530512820512811</v>
      </c>
      <c r="L11" s="12">
        <f>VLOOKUP(A11,'Données projet'!$A$35:$I$55,9,0)</f>
        <v>11.801282051282048</v>
      </c>
      <c r="M11" s="12">
        <f t="array" ref="M11">INDEX(L:L,MIN(IF(ISNUMBER(L11:L207),ROW(L11:L207),"")))</f>
        <v>11.801282051282048</v>
      </c>
      <c r="N11" s="13">
        <f>IF('Données projet'!$A$36&gt;35,N10+M11-V10,IF(A11&lt;'Données projet'!$A$36,$K$205^A11,IF(A11='Données projet'!$A$36,'Données projet'!$B$36,N10+M11-V10)))</f>
        <v>43.530512820512811</v>
      </c>
      <c r="O11" s="13">
        <f>N11*VLOOKUP('Données projet'!$B$9,Paramètres!$A$1:$I$89,3,0)*VLOOKUP('Données projet'!$B$9,Paramètres!$A$1:$I$89,5,0)</f>
        <v>22.137877599999996</v>
      </c>
      <c r="P11" s="13">
        <f t="shared" si="33"/>
        <v>7.1140058582669683</v>
      </c>
      <c r="Q11" s="20">
        <f t="shared" si="2"/>
        <v>50.947030356481626</v>
      </c>
      <c r="R11" s="59">
        <f t="shared" si="0"/>
        <v>344.28036368981492</v>
      </c>
      <c r="S11" s="59">
        <f ca="1">AVERAGE(OFFSET($R$3,0,0,'Données projet'!$E$9+1,1))-AVERAGE(OFFSET($H$3,0,0,'Données projet'!$E$9+1,1))</f>
        <v>92.49458233028173</v>
      </c>
      <c r="T11" s="59">
        <f t="shared" si="34"/>
        <v>260.65744386159963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4.5770400000000002</v>
      </c>
      <c r="D12" s="11">
        <f t="shared" si="32"/>
        <v>1.7670332137812694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48.971793229188755</v>
      </c>
      <c r="H12" s="67">
        <f t="shared" si="1"/>
        <v>304.382594180669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>
        <f>VLOOKUP(A12,'Données projet'!$A$35:$I$55,2,0)</f>
        <v>56.797307692307676</v>
      </c>
      <c r="L12" s="12">
        <f>VLOOKUP(A12,'Données projet'!$A$35:$I$55,9,0)</f>
        <v>13.266794871794865</v>
      </c>
      <c r="M12" s="12">
        <f t="array" ref="M12">INDEX(L:L,MIN(IF(ISNUMBER(L12:L208),ROW(L12:L208),"")))</f>
        <v>13.266794871794865</v>
      </c>
      <c r="N12" s="13">
        <f>IF('Données projet'!$A$36&gt;35,N11+M12-V11,IF(A12&lt;'Données projet'!$A$36,$K$205^A12,IF(A12='Données projet'!$A$36,'Données projet'!$B$36,N11+M12-V11)))</f>
        <v>56.797307692307676</v>
      </c>
      <c r="O12" s="13">
        <f>N12*VLOOKUP('Données projet'!$B$9,Paramètres!$A$1:$I$89,3,0)*VLOOKUP('Données projet'!$B$9,Paramètres!$A$1:$I$89,5,0)</f>
        <v>28.884838799999994</v>
      </c>
      <c r="P12" s="13">
        <f t="shared" si="33"/>
        <v>8.9991197527674434</v>
      </c>
      <c r="Q12" s="20">
        <f t="shared" si="2"/>
        <v>65.98122781273662</v>
      </c>
      <c r="R12" s="59">
        <f t="shared" si="0"/>
        <v>359.31456114606993</v>
      </c>
      <c r="S12" s="59">
        <f ca="1">AVERAGE(OFFSET($R$3,0,0,'Données projet'!$E$9+1,1))-AVERAGE(OFFSET($H$3,0,0,'Données projet'!$E$9+1,1))</f>
        <v>92.49458233028173</v>
      </c>
      <c r="T12" s="59">
        <f t="shared" si="34"/>
        <v>260.65744386159963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5.0856000000000003</v>
      </c>
      <c r="D13" s="11">
        <f t="shared" si="32"/>
        <v>1.939438583999846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54.228368016840911</v>
      </c>
      <c r="H13" s="67">
        <f t="shared" si="1"/>
        <v>305.56860886713304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71.373076923076894</v>
      </c>
      <c r="L13" s="12">
        <f>VLOOKUP(A13,'Données projet'!$A$35:$I$55,9,0)</f>
        <v>14.575769230769218</v>
      </c>
      <c r="M13" s="12">
        <f t="array" ref="M13">INDEX(L:L,MIN(IF(ISNUMBER(L13:L209),ROW(L13:L209),"")))</f>
        <v>14.575769230769218</v>
      </c>
      <c r="N13" s="13">
        <f>IF('Données projet'!$A$36&gt;35,N12+M13-V12,IF(A13&lt;'Données projet'!$A$36,$K$205^A13,IF(A13='Données projet'!$A$36,'Données projet'!$B$36,N12+M13-V12)))</f>
        <v>71.373076923076894</v>
      </c>
      <c r="O13" s="13">
        <f>N13*VLOOKUP('Données projet'!$B$9,Paramètres!$A$1:$I$89,3,0)*VLOOKUP('Données projet'!$B$9,Paramètres!$A$1:$I$89,5,0)</f>
        <v>36.297491999999991</v>
      </c>
      <c r="P13" s="13">
        <f t="shared" si="33"/>
        <v>11.011818502484722</v>
      </c>
      <c r="Q13" s="20">
        <f t="shared" si="2"/>
        <v>82.397049125160876</v>
      </c>
      <c r="R13" s="59">
        <f t="shared" si="0"/>
        <v>375.7303824584942</v>
      </c>
      <c r="S13" s="59">
        <f ca="1">AVERAGE(OFFSET($R$3,0,0,'Données projet'!$E$9+1,1))-AVERAGE(OFFSET($H$3,0,0,'Données projet'!$E$9+1,1))</f>
        <v>92.49458233028173</v>
      </c>
      <c r="T13" s="59">
        <f t="shared" si="34"/>
        <v>260.65744386159963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5.5941600000000005</v>
      </c>
      <c r="D14" s="11">
        <f t="shared" si="32"/>
        <v>2.1098452770315745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59.469514419191114</v>
      </c>
      <c r="H14" s="67">
        <f t="shared" si="1"/>
        <v>306.7511425241633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87.101282051282055</v>
      </c>
      <c r="L14" s="12">
        <f>VLOOKUP(A14,'Données projet'!$A$35:$I$55,9,0)</f>
        <v>15.728205128205161</v>
      </c>
      <c r="M14" s="12">
        <f t="array" ref="M14">INDEX(L:L,MIN(IF(ISNUMBER(L14:L210),ROW(L14:L210),"")))</f>
        <v>15.728205128205161</v>
      </c>
      <c r="N14" s="13">
        <f>IF('Données projet'!$A$36&gt;35,N13+M14-V13,IF(A14&lt;'Données projet'!$A$36,$K$205^A14,IF(A14='Données projet'!$A$36,'Données projet'!$B$36,N13+M14-V13)))</f>
        <v>87.101282051282055</v>
      </c>
      <c r="O14" s="13">
        <f>N14*VLOOKUP('Données projet'!$B$9,Paramètres!$A$1:$I$89,3,0)*VLOOKUP('Données projet'!$B$9,Paramètres!$A$1:$I$89,5,0)</f>
        <v>44.296228000000006</v>
      </c>
      <c r="P14" s="13">
        <f t="shared" si="33"/>
        <v>13.130513832601283</v>
      </c>
      <c r="Q14" s="20">
        <f t="shared" si="2"/>
        <v>100.01824202511391</v>
      </c>
      <c r="R14" s="59">
        <f t="shared" si="0"/>
        <v>393.35157535844723</v>
      </c>
      <c r="S14" s="59">
        <f ca="1">AVERAGE(OFFSET($R$3,0,0,'Données projet'!$E$9+1,1))-AVERAGE(OFFSET($H$3,0,0,'Données projet'!$E$9+1,1))</f>
        <v>92.49458233028173</v>
      </c>
      <c r="T14" s="59">
        <f t="shared" si="34"/>
        <v>260.65744386159963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6.1027200000000006</v>
      </c>
      <c r="D15" s="11">
        <f t="shared" si="32"/>
        <v>2.2784556548165451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64.696794528408418</v>
      </c>
      <c r="H15" s="67">
        <f t="shared" si="1"/>
        <v>307.93054759880545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103.82538461538462</v>
      </c>
      <c r="L15" s="12">
        <f>VLOOKUP(A15,'Données projet'!$A$35:$I$55,9,0)</f>
        <v>16.724102564102566</v>
      </c>
      <c r="M15" s="12">
        <f t="array" ref="M15">INDEX(L:L,MIN(IF(ISNUMBER(L15:L211),ROW(L15:L211),"")))</f>
        <v>16.724102564102566</v>
      </c>
      <c r="N15" s="13">
        <f>IF('Données projet'!$A$36&gt;35,N14+M15-V14,IF(A15&lt;'Données projet'!$A$36,$K$205^A15,IF(A15='Données projet'!$A$36,'Données projet'!$B$36,N14+M15-V14)))</f>
        <v>103.82538461538462</v>
      </c>
      <c r="O15" s="13">
        <f>N15*VLOOKUP('Données projet'!$B$9,Paramètres!$A$1:$I$89,3,0)*VLOOKUP('Données projet'!$B$9,Paramètres!$A$1:$I$89,5,0)</f>
        <v>52.801437600000007</v>
      </c>
      <c r="P15" s="13">
        <f t="shared" si="33"/>
        <v>15.334931732378159</v>
      </c>
      <c r="Q15" s="20">
        <f t="shared" si="2"/>
        <v>118.67084325389196</v>
      </c>
      <c r="R15" s="59">
        <f t="shared" si="0"/>
        <v>412.00417658722529</v>
      </c>
      <c r="S15" s="59">
        <f ca="1">AVERAGE(OFFSET($R$3,0,0,'Données projet'!$E$9+1,1))-AVERAGE(OFFSET($H$3,0,0,'Données projet'!$E$9+1,1))</f>
        <v>92.49458233028173</v>
      </c>
      <c r="T15" s="59">
        <f t="shared" si="34"/>
        <v>260.65744386159963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6.6112800000000007</v>
      </c>
      <c r="D16" s="11">
        <f t="shared" si="32"/>
        <v>2.4454364290495585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69.911495241786071</v>
      </c>
      <c r="H16" s="67">
        <f t="shared" si="1"/>
        <v>309.10711444726132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121.38884615384613</v>
      </c>
      <c r="L16" s="12">
        <f>VLOOKUP(A16,'Données projet'!$A$35:$I$55,9,0)</f>
        <v>17.56346153846151</v>
      </c>
      <c r="M16" s="12">
        <f t="array" ref="M16">INDEX(L:L,MIN(IF(ISNUMBER(L16:L212),ROW(L16:L212),"")))</f>
        <v>17.56346153846151</v>
      </c>
      <c r="N16" s="13">
        <f>IF('Données projet'!$A$36&gt;35,N15+M16-V15,IF(A16&lt;'Données projet'!$A$36,$K$205^A16,IF(A16='Données projet'!$A$36,'Données projet'!$B$36,N15+M16-V15)))</f>
        <v>121.38884615384613</v>
      </c>
      <c r="O16" s="13">
        <f>N16*VLOOKUP('Données projet'!$B$9,Paramètres!$A$1:$I$89,3,0)*VLOOKUP('Données projet'!$B$9,Paramètres!$A$1:$I$89,5,0)</f>
        <v>61.733511599999993</v>
      </c>
      <c r="P16" s="13">
        <f t="shared" si="33"/>
        <v>17.605825957786696</v>
      </c>
      <c r="Q16" s="20">
        <f t="shared" si="2"/>
        <v>138.18267957981183</v>
      </c>
      <c r="R16" s="59">
        <f t="shared" si="0"/>
        <v>431.51601291314512</v>
      </c>
      <c r="S16" s="59">
        <f ca="1">AVERAGE(OFFSET($R$3,0,0,'Données projet'!$E$9+1,1))-AVERAGE(OFFSET($H$3,0,0,'Données projet'!$E$9+1,1))</f>
        <v>92.49458233028173</v>
      </c>
      <c r="T16" s="59">
        <f t="shared" si="34"/>
        <v>260.65744386159963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7.1198400000000008</v>
      </c>
      <c r="D17" s="11">
        <f t="shared" si="32"/>
        <v>2.6109272065035998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75.114694225641827</v>
      </c>
      <c r="H17" s="67">
        <f t="shared" si="1"/>
        <v>310.28108621799373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139.63512820512813</v>
      </c>
      <c r="L17" s="12">
        <f>VLOOKUP(A17,'Données projet'!$A$35:$I$55,9,0)</f>
        <v>18.246282051281995</v>
      </c>
      <c r="M17" s="12">
        <f t="array" ref="M17">INDEX(L:L,MIN(IF(ISNUMBER(L17:L213),ROW(L17:L213),"")))</f>
        <v>18.246282051281995</v>
      </c>
      <c r="N17" s="13">
        <f>IF('Données projet'!$A$36&gt;35,N16+M17-V16,IF(A17&lt;'Données projet'!$A$36,$K$205^A17,IF(A17='Données projet'!$A$36,'Données projet'!$B$36,N16+M17-V16)))</f>
        <v>139.63512820512813</v>
      </c>
      <c r="O17" s="13">
        <f>N17*VLOOKUP('Données projet'!$B$9,Paramètres!$A$1:$I$89,3,0)*VLOOKUP('Données projet'!$B$9,Paramètres!$A$1:$I$89,5,0)</f>
        <v>71.012840799999964</v>
      </c>
      <c r="P17" s="13">
        <f t="shared" si="33"/>
        <v>19.924770961221942</v>
      </c>
      <c r="Q17" s="20">
        <f t="shared" si="2"/>
        <v>158.38300715079481</v>
      </c>
      <c r="R17" s="59">
        <f t="shared" si="0"/>
        <v>451.71634048412812</v>
      </c>
      <c r="S17" s="59">
        <f ca="1">AVERAGE(OFFSET($R$3,0,0,'Données projet'!$E$9+1,1))-AVERAGE(OFFSET($H$3,0,0,'Données projet'!$E$9+1,1))</f>
        <v>92.49458233028173</v>
      </c>
      <c r="T17" s="59">
        <f t="shared" si="34"/>
        <v>260.65744386159963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7.628400000000001</v>
      </c>
      <c r="D18" s="11">
        <f t="shared" si="32"/>
        <v>2.7750465200157755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80.307306470297235</v>
      </c>
      <c r="H18" s="67">
        <f t="shared" si="1"/>
        <v>311.45266935569413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158.40769230769226</v>
      </c>
      <c r="L18" s="12">
        <f>VLOOKUP(A18,'Données projet'!$A$35:$I$55,9,0)</f>
        <v>18.772564102564132</v>
      </c>
      <c r="M18" s="12">
        <f t="array" ref="M18">INDEX(L:L,MIN(IF(ISNUMBER(L18:L214),ROW(L18:L214),"")))</f>
        <v>18.772564102564132</v>
      </c>
      <c r="N18" s="13">
        <f>IF('Données projet'!$A$36&gt;35,N17+M18-V17,IF(A18&lt;'Données projet'!$A$36,$K$205^A18,IF(A18='Données projet'!$A$36,'Données projet'!$B$36,N17+M18-V17)))</f>
        <v>158.40769230769226</v>
      </c>
      <c r="O18" s="13">
        <f>N18*VLOOKUP('Données projet'!$B$9,Paramètres!$A$1:$I$89,3,0)*VLOOKUP('Données projet'!$B$9,Paramètres!$A$1:$I$89,5,0)</f>
        <v>80.559815999999984</v>
      </c>
      <c r="P18" s="13">
        <f t="shared" si="33"/>
        <v>22.274006449865396</v>
      </c>
      <c r="Q18" s="20">
        <f t="shared" si="2"/>
        <v>179.10224076684889</v>
      </c>
      <c r="R18" s="59">
        <f t="shared" si="0"/>
        <v>472.43557410018218</v>
      </c>
      <c r="S18" s="59">
        <f ca="1">AVERAGE(OFFSET($R$3,0,0,'Données projet'!$E$9+1,1))-AVERAGE(OFFSET($H$3,0,0,'Données projet'!$E$9+1,1))</f>
        <v>92.49458233028173</v>
      </c>
      <c r="T18" s="59">
        <f t="shared" si="34"/>
        <v>260.65744386159963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8.1369600000000002</v>
      </c>
      <c r="D19" s="11">
        <f t="shared" si="32"/>
        <v>2.9378962039182688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85.490118065334016</v>
      </c>
      <c r="H19" s="67">
        <f t="shared" si="1"/>
        <v>312.6220412218243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177.54999999999995</v>
      </c>
      <c r="L19" s="12">
        <f>VLOOKUP(A19,'Données projet'!$A$35:$I$55,9,0)</f>
        <v>19.142307692307696</v>
      </c>
      <c r="M19" s="12">
        <f t="array" ref="M19">INDEX(L:L,MIN(IF(ISNUMBER(L19:L215),ROW(L19:L215),"")))</f>
        <v>19.142307692307696</v>
      </c>
      <c r="N19" s="13">
        <f>IF('Données projet'!$A$36&gt;35,N18+M19-V18,IF(A19&lt;'Données projet'!$A$36,$K$205^A19,IF(A19='Données projet'!$A$36,'Données projet'!$B$36,N18+M19-V18)))</f>
        <v>177.54999999999995</v>
      </c>
      <c r="O19" s="13">
        <f>N19*VLOOKUP('Données projet'!$B$9,Paramètres!$A$1:$I$89,3,0)*VLOOKUP('Données projet'!$B$9,Paramètres!$A$1:$I$89,5,0)</f>
        <v>90.294827999999981</v>
      </c>
      <c r="P19" s="13">
        <f t="shared" si="33"/>
        <v>24.636316867930056</v>
      </c>
      <c r="Q19" s="20">
        <f t="shared" si="2"/>
        <v>200.1717439783115</v>
      </c>
      <c r="R19" s="59">
        <f t="shared" si="0"/>
        <v>493.50507731164481</v>
      </c>
      <c r="S19" s="59">
        <f ca="1">AVERAGE(OFFSET($R$3,0,0,'Données projet'!$E$9+1,1))-AVERAGE(OFFSET($H$3,0,0,'Données projet'!$E$9+1,1))</f>
        <v>92.49458233028173</v>
      </c>
      <c r="T19" s="59">
        <f t="shared" si="34"/>
        <v>260.65744386159963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8.6455199999999994</v>
      </c>
      <c r="D20" s="11">
        <f t="shared" si="32"/>
        <v>3.0995646437898636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90.663811285395425</v>
      </c>
      <c r="H20" s="67">
        <f t="shared" si="1"/>
        <v>313.78935575460065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196.90551282051274</v>
      </c>
      <c r="L20" s="12">
        <f>VLOOKUP(A20,'Données projet'!$A$35:$I$55,9,0)</f>
        <v>19.355512820512786</v>
      </c>
      <c r="M20" s="12">
        <f t="array" ref="M20">INDEX(L:L,MIN(IF(ISNUMBER(L20:L216),ROW(L20:L216),"")))</f>
        <v>19.355512820512786</v>
      </c>
      <c r="N20" s="13">
        <f>IF('Données projet'!$A$36&gt;35,N19+M20-V19,IF(A20&lt;'Données projet'!$A$36,$K$205^A20,IF(A20='Données projet'!$A$36,'Données projet'!$B$36,N19+M20-V19)))</f>
        <v>196.90551282051274</v>
      </c>
      <c r="O20" s="13">
        <f>N20*VLOOKUP('Données projet'!$B$9,Paramètres!$A$1:$I$89,3,0)*VLOOKUP('Données projet'!$B$9,Paramètres!$A$1:$I$89,5,0)</f>
        <v>100.13826759999998</v>
      </c>
      <c r="P20" s="13">
        <f t="shared" si="33"/>
        <v>26.994935247983022</v>
      </c>
      <c r="Q20" s="20">
        <f t="shared" si="2"/>
        <v>221.42366162690371</v>
      </c>
      <c r="R20" s="59">
        <f t="shared" si="0"/>
        <v>514.75699496023708</v>
      </c>
      <c r="S20" s="59">
        <f ca="1">AVERAGE(OFFSET($R$3,0,0,'Données projet'!$E$9+1,1))-AVERAGE(OFFSET($H$3,0,0,'Données projet'!$E$9+1,1))</f>
        <v>92.49458233028173</v>
      </c>
      <c r="T20" s="59">
        <f t="shared" si="34"/>
        <v>260.65744386159963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9.1540799999999987</v>
      </c>
      <c r="D21" s="11">
        <f t="shared" si="32"/>
        <v>3.2601292394982173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95.828983603144138</v>
      </c>
      <c r="H21" s="67">
        <f t="shared" si="1"/>
        <v>314.95474775879268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216.31769230769225</v>
      </c>
      <c r="L21" s="12">
        <f>VLOOKUP(A21,'Données projet'!$A$35:$I$55,9,0)</f>
        <v>19.412179487179515</v>
      </c>
      <c r="M21" s="12">
        <f t="array" ref="M21">INDEX(L:L,MIN(IF(ISNUMBER(L21:L217),ROW(L21:L217),"")))</f>
        <v>19.412179487179515</v>
      </c>
      <c r="N21" s="13">
        <f>IF('Données projet'!$A$36&gt;35,N20+M21-V20,IF(A21&lt;'Données projet'!$A$36,$K$205^A21,IF(A21='Données projet'!$A$36,'Données projet'!$B$36,N20+M21-V20)))</f>
        <v>216.31769230769225</v>
      </c>
      <c r="O21" s="13">
        <f>N21*VLOOKUP('Données projet'!$B$9,Paramètres!$A$1:$I$89,3,0)*VLOOKUP('Données projet'!$B$9,Paramètres!$A$1:$I$89,5,0)</f>
        <v>110.01052559999998</v>
      </c>
      <c r="P21" s="13">
        <f t="shared" si="33"/>
        <v>29.333464472205538</v>
      </c>
      <c r="Q21" s="20">
        <f t="shared" si="2"/>
        <v>242.69078270909122</v>
      </c>
      <c r="R21" s="59">
        <f t="shared" si="0"/>
        <v>536.02411604242457</v>
      </c>
      <c r="S21" s="59">
        <f ca="1">AVERAGE(OFFSET($R$3,0,0,'Données projet'!$E$9+1,1))-AVERAGE(OFFSET($H$3,0,0,'Données projet'!$E$9+1,1))</f>
        <v>92.49458233028173</v>
      </c>
      <c r="T21" s="59">
        <f t="shared" si="34"/>
        <v>260.65744386159963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9.6626399999999979</v>
      </c>
      <c r="D22" s="11">
        <f t="shared" si="32"/>
        <v>3.4196583052075891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100.98616235598838</v>
      </c>
      <c r="H22" s="67">
        <f t="shared" si="1"/>
        <v>316.1183362149032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235.63</v>
      </c>
      <c r="L22" s="12">
        <f>VLOOKUP(A22,'Données projet'!$A$35:$I$55,9,0)</f>
        <v>19.312307692307741</v>
      </c>
      <c r="M22" s="12">
        <f t="array" ref="M22">INDEX(L:L,MIN(IF(ISNUMBER(L22:L218),ROW(L22:L218),"")))</f>
        <v>19.312307692307741</v>
      </c>
      <c r="N22" s="13">
        <f>IF('Données projet'!$A$36&gt;35,N21+M22-V21,IF(A22&lt;'Données projet'!$A$36,$K$205^A22,IF(A22='Données projet'!$A$36,'Données projet'!$B$36,N21+M22-V21)))</f>
        <v>235.63</v>
      </c>
      <c r="O22" s="13">
        <f>N22*VLOOKUP('Données projet'!$B$9,Paramètres!$A$1:$I$89,3,0)*VLOOKUP('Données projet'!$B$9,Paramètres!$A$1:$I$89,5,0)</f>
        <v>119.83199280000001</v>
      </c>
      <c r="P22" s="13">
        <f t="shared" si="33"/>
        <v>31.635811179125575</v>
      </c>
      <c r="Q22" s="20">
        <f t="shared" si="2"/>
        <v>263.80642526364375</v>
      </c>
      <c r="R22" s="59">
        <f t="shared" si="0"/>
        <v>557.13975859697712</v>
      </c>
      <c r="S22" s="59">
        <f ca="1">AVERAGE(OFFSET($R$3,0,0,'Données projet'!$E$9+1,1))-AVERAGE(OFFSET($H$3,0,0,'Données projet'!$E$9+1,1))</f>
        <v>92.49458233028173</v>
      </c>
      <c r="T22" s="59">
        <f t="shared" si="34"/>
        <v>260.65744386159963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10.171199999999997</v>
      </c>
      <c r="D23" s="11">
        <f t="shared" si="32"/>
        <v>3.5782125579737869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106.13581623699061</v>
      </c>
      <c r="H23" s="67">
        <f t="shared" si="1"/>
        <v>317.2802268718043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254.68589743589735</v>
      </c>
      <c r="L23" s="12">
        <f>VLOOKUP(A23,'Données projet'!$A$35:$I$55,9,0)</f>
        <v>19.05589743589735</v>
      </c>
      <c r="M23" s="12">
        <f t="array" ref="M23">INDEX(L:L,MIN(IF(ISNUMBER(L23:L219),ROW(L23:L219),"")))</f>
        <v>19.05589743589735</v>
      </c>
      <c r="N23" s="13">
        <f>IF('Données projet'!$A$36&gt;35,N22+M23-V22,IF(A23&lt;'Données projet'!$A$36,$K$205^A23,IF(A23='Données projet'!$A$36,'Données projet'!$B$36,N22+M23-V22)))</f>
        <v>254.68589743589735</v>
      </c>
      <c r="O23" s="13">
        <f>N23*VLOOKUP('Données projet'!$B$9,Paramètres!$A$1:$I$89,3,0)*VLOOKUP('Données projet'!$B$9,Paramètres!$A$1:$I$89,5,0)</f>
        <v>129.52305999999996</v>
      </c>
      <c r="P23" s="13">
        <f t="shared" si="33"/>
        <v>33.886128937839644</v>
      </c>
      <c r="Q23" s="20">
        <f t="shared" si="2"/>
        <v>284.60433740007062</v>
      </c>
      <c r="R23" s="59">
        <f t="shared" si="0"/>
        <v>577.93767073340393</v>
      </c>
      <c r="S23" s="59">
        <f ca="1">AVERAGE(OFFSET($R$3,0,0,'Données projet'!$E$9+1,1))-AVERAGE(OFFSET($H$3,0,0,'Données projet'!$E$9+1,1))</f>
        <v>92.49458233028173</v>
      </c>
      <c r="T23" s="59">
        <f t="shared" si="34"/>
        <v>260.65744386159963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254.68589743589735</v>
      </c>
      <c r="W23" s="16">
        <f>IF(ISNA(VLOOKUP(A23,'Données projet'!$A$35:$I$55,5,0)),0%,VLOOKUP(A23,'Données projet'!$A$35:$I$55,5,0)*VLOOKUP('Données projet'!$B$9,Paramètres!$A$1:$I$89,7,0))</f>
        <v>0.42</v>
      </c>
      <c r="X23" s="16">
        <f>IF(ISNA(VLOOKUP(A23,'Données projet'!$A$35:$I$55,6,0)),0%,VLOOKUP(A23,'Données projet'!$A$35:$I$55,6,0)*VLOOKUP('Données projet'!$B$9,Paramètres!$A$1:$I$89,7,0))</f>
        <v>0.09</v>
      </c>
      <c r="Y23" s="16">
        <f>IF(ISNA(VLOOKUP(A23,'Données projet'!$A$35:$I$55,7,0)),0%,VLOOKUP(A23,'Données projet'!$A$35:$I$55,7,0))</f>
        <v>0.15</v>
      </c>
      <c r="Z23" s="21">
        <f>EXP(-LN(2)/35)*Z22+(1-EXP(-LN(2)/35))/(LN(2)/35)*V23*W23*VLOOKUP('Données projet'!$B$9,Paramètres!$A$1:$I$89,3,0)*0.475*44/12</f>
        <v>60.137240644516993</v>
      </c>
      <c r="AA23" s="21">
        <f>EXP(-LN(2)/25)*AA22+(1-EXP(-LN(2)/25))/(LN(2)/25)*Calculateur!V23*Calculateur!X23*VLOOKUP('Données projet'!$B$9,Paramètres!$A$1:$I$89,3,0)*0.475*44/12</f>
        <v>12.835812303003088</v>
      </c>
      <c r="AB23" s="21">
        <f>EXP(-LN(2)/2)*AB22+(1-EXP(-LN(2)/2))/(LN(2)/2)*V23*Y23*VLOOKUP('Données projet'!$B$9,Paramètres!$A$1:$I$89,3,0)*0.475*44/12</f>
        <v>18.331273975807282</v>
      </c>
      <c r="AC23" s="22">
        <f t="shared" si="3"/>
        <v>91.304326923327352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10.679759999999996</v>
      </c>
      <c r="D24" s="11">
        <f t="shared" si="32"/>
        <v>3.7358463001594564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111.2783644222835</v>
      </c>
      <c r="H24" s="67">
        <f t="shared" si="1"/>
        <v>318.44051430611103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92.49458233028173</v>
      </c>
      <c r="T24" s="59">
        <f t="shared" si="34"/>
        <v>260.65744386159963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58.957986035572951</v>
      </c>
      <c r="AA24" s="21">
        <f>EXP(-LN(2)/25)*AA23+(1-EXP(-LN(2)/25))/(LN(2)/25)*Calculateur!V24*Calculateur!X24*VLOOKUP('Données projet'!$B$9,Paramètres!$A$1:$I$89,3,0)*0.475*44/12</f>
        <v>12.484816340571436</v>
      </c>
      <c r="AB24" s="21">
        <f>EXP(-LN(2)/2)*AB23+(1-EXP(-LN(2)/2))/(LN(2)/2)*V24*Y24*VLOOKUP('Données projet'!$B$9,Paramètres!$A$1:$I$89,3,0)*0.475*44/12</f>
        <v>12.962168136081813</v>
      </c>
      <c r="AC24" s="22">
        <f t="shared" si="3"/>
        <v>84.4049705122262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11.188319999999996</v>
      </c>
      <c r="D25" s="11">
        <f t="shared" si="32"/>
        <v>3.8926083702461098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116.4141839106717</v>
      </c>
      <c r="H25" s="67">
        <f t="shared" si="1"/>
        <v>319.59928357817864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92.49458233028173</v>
      </c>
      <c r="T25" s="59">
        <f t="shared" si="34"/>
        <v>260.65744386159963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57.801855890236013</v>
      </c>
      <c r="AA25" s="21">
        <f>EXP(-LN(2)/25)*AA24+(1-EXP(-LN(2)/25))/(LN(2)/25)*Calculateur!V25*Calculateur!X25*VLOOKUP('Données projet'!$B$9,Paramètres!$A$1:$I$89,3,0)*0.475*44/12</f>
        <v>12.143418381190553</v>
      </c>
      <c r="AB25" s="21">
        <f>EXP(-LN(2)/2)*AB24+(1-EXP(-LN(2)/2))/(LN(2)/2)*V25*Y25*VLOOKUP('Données projet'!$B$9,Paramètres!$A$1:$I$89,3,0)*0.475*44/12</f>
        <v>9.1656369879036408</v>
      </c>
      <c r="AC25" s="22">
        <f t="shared" si="3"/>
        <v>79.110911259330209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11.696879999999995</v>
      </c>
      <c r="D26" s="11">
        <f t="shared" si="32"/>
        <v>4.0485429158844513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121.54361549103784</v>
      </c>
      <c r="H26" s="67">
        <f t="shared" si="1"/>
        <v>320.75661157849873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92.49458233028173</v>
      </c>
      <c r="T26" s="59">
        <f t="shared" si="34"/>
        <v>260.65744386159963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56.668396751879371</v>
      </c>
      <c r="AA26" s="21">
        <f>EXP(-LN(2)/25)*AA25+(1-EXP(-LN(2)/25))/(LN(2)/25)*Calculateur!V26*Calculateur!X26*VLOOKUP('Données projet'!$B$9,Paramètres!$A$1:$I$89,3,0)*0.475*44/12</f>
        <v>11.81135596696228</v>
      </c>
      <c r="AB26" s="21">
        <f>EXP(-LN(2)/2)*AB25+(1-EXP(-LN(2)/2))/(LN(2)/2)*V26*Y26*VLOOKUP('Données projet'!$B$9,Paramètres!$A$1:$I$89,3,0)*0.475*44/12</f>
        <v>6.4810840680409063</v>
      </c>
      <c r="AC26" s="22">
        <f t="shared" si="3"/>
        <v>74.960836786882552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12.205439999999994</v>
      </c>
      <c r="D27" s="11">
        <f t="shared" si="32"/>
        <v>4.2036900287076042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126.66696864265514</v>
      </c>
      <c r="H27" s="67">
        <f t="shared" si="1"/>
        <v>321.9125681333324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92.49458233028173</v>
      </c>
      <c r="T27" s="59">
        <f t="shared" si="34"/>
        <v>260.65744386159963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55.557164055884094</v>
      </c>
      <c r="AA27" s="21">
        <f>EXP(-LN(2)/25)*AA26+(1-EXP(-LN(2)/25))/(LN(2)/25)*Calculateur!V27*Calculateur!X27*VLOOKUP('Données projet'!$B$9,Paramètres!$A$1:$I$89,3,0)*0.475*44/12</f>
        <v>11.488373816913482</v>
      </c>
      <c r="AB27" s="21">
        <f>EXP(-LN(2)/2)*AB26+(1-EXP(-LN(2)/2))/(LN(2)/2)*V27*Y27*VLOOKUP('Données projet'!$B$9,Paramètres!$A$1:$I$89,3,0)*0.475*44/12</f>
        <v>4.5828184939518204</v>
      </c>
      <c r="AC27" s="22">
        <f t="shared" si="3"/>
        <v>71.628356366749401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12.713999999999993</v>
      </c>
      <c r="D28" s="11">
        <f t="shared" si="32"/>
        <v>4.3580862703607961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131.78452559576752</v>
      </c>
      <c r="H28" s="67">
        <f t="shared" si="1"/>
        <v>323.06721692087837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92.49458233028173</v>
      </c>
      <c r="T28" s="59">
        <f t="shared" si="34"/>
        <v>260.65744386159963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54.467721955272268</v>
      </c>
      <c r="AA28" s="21">
        <f>EXP(-LN(2)/25)*AA27+(1-EXP(-LN(2)/25))/(LN(2)/25)*Calculateur!V28*Calculateur!X28*VLOOKUP('Données projet'!$B$9,Paramètres!$A$1:$I$89,3,0)*0.475*44/12</f>
        <v>11.174223630742661</v>
      </c>
      <c r="AB28" s="21">
        <f>EXP(-LN(2)/2)*AB27+(1-EXP(-LN(2)/2))/(LN(2)/2)*V28*Y28*VLOOKUP('Données projet'!$B$9,Paramètres!$A$1:$I$89,3,0)*0.475*44/12</f>
        <v>3.2405420340204532</v>
      </c>
      <c r="AC28" s="22">
        <f t="shared" si="3"/>
        <v>68.882487620035377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13.222559999999993</v>
      </c>
      <c r="D29" s="11">
        <f t="shared" si="32"/>
        <v>4.511765111997172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136.89654472418866</v>
      </c>
      <c r="H29" s="67">
        <f t="shared" si="1"/>
        <v>324.2206162367284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92.49458233028173</v>
      </c>
      <c r="T29" s="59">
        <f t="shared" si="34"/>
        <v>260.65744386159963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53.39964314975937</v>
      </c>
      <c r="AA29" s="21">
        <f>EXP(-LN(2)/25)*AA28+(1-EXP(-LN(2)/25))/(LN(2)/25)*Calculateur!V29*Calculateur!X29*VLOOKUP('Données projet'!$B$9,Paramètres!$A$1:$I$89,3,0)*0.475*44/12</f>
        <v>10.868663897933121</v>
      </c>
      <c r="AB29" s="21">
        <f>EXP(-LN(2)/2)*AB28+(1-EXP(-LN(2)/2))/(LN(2)/2)*V29*Y29*VLOOKUP('Données projet'!$B$9,Paramètres!$A$1:$I$89,3,0)*0.475*44/12</f>
        <v>2.2914092469759102</v>
      </c>
      <c r="AC29" s="22">
        <f t="shared" si="3"/>
        <v>66.559716294668405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13.731119999999992</v>
      </c>
      <c r="D30" s="11">
        <f t="shared" si="32"/>
        <v>4.6647573042570354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142.00326340128231</v>
      </c>
      <c r="H30" s="67">
        <f t="shared" si="1"/>
        <v>325.37281963824762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92.49458233028173</v>
      </c>
      <c r="T30" s="59">
        <f t="shared" si="34"/>
        <v>260.65744386159963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52.352508718158838</v>
      </c>
      <c r="AA30" s="21">
        <f>EXP(-LN(2)/25)*AA29+(1-EXP(-LN(2)/25))/(LN(2)/25)*Calculateur!V30*Calculateur!X30*VLOOKUP('Données projet'!$B$9,Paramètres!$A$1:$I$89,3,0)*0.475*44/12</f>
        <v>10.571459712085947</v>
      </c>
      <c r="AB30" s="21">
        <f>EXP(-LN(2)/2)*AB29+(1-EXP(-LN(2)/2))/(LN(2)/2)*V30*Y30*VLOOKUP('Données projet'!$B$9,Paramètres!$A$1:$I$89,3,0)*0.475*44/12</f>
        <v>1.6202710170102266</v>
      </c>
      <c r="AC30" s="22">
        <f t="shared" si="3"/>
        <v>64.544239447255009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14.239679999999991</v>
      </c>
      <c r="D31" s="11">
        <f t="shared" si="32"/>
        <v>4.8170911908945184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147.10490042094008</v>
      </c>
      <c r="H31" s="67">
        <f t="shared" si="1"/>
        <v>326.52387649080794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92.49458233028173</v>
      </c>
      <c r="T31" s="59">
        <f t="shared" si="34"/>
        <v>260.65744386159963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51.325907954073053</v>
      </c>
      <c r="AA31" s="21">
        <f>EXP(-LN(2)/25)*AA30+(1-EXP(-LN(2)/25))/(LN(2)/25)*Calculateur!V31*Calculateur!X31*VLOOKUP('Données projet'!$B$9,Paramètres!$A$1:$I$89,3,0)*0.475*44/12</f>
        <v>10.282382590330052</v>
      </c>
      <c r="AB31" s="21">
        <f>EXP(-LN(2)/2)*AB30+(1-EXP(-LN(2)/2))/(LN(2)/2)*V31*Y31*VLOOKUP('Données projet'!$B$9,Paramètres!$A$1:$I$89,3,0)*0.475*44/12</f>
        <v>1.1457046234879551</v>
      </c>
      <c r="AC31" s="22">
        <f t="shared" si="3"/>
        <v>62.753995167891063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14.74823999999999</v>
      </c>
      <c r="D32" s="11">
        <f t="shared" si="32"/>
        <v>4.9687929763413852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152.20165806298607</v>
      </c>
      <c r="H32" s="67">
        <f t="shared" si="1"/>
        <v>327.67383243379453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92.49458233028173</v>
      </c>
      <c r="T32" s="59">
        <f t="shared" si="34"/>
        <v>260.65744386159963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50.319438204806353</v>
      </c>
      <c r="AA32" s="21">
        <f>EXP(-LN(2)/25)*AA31+(1-EXP(-LN(2)/25))/(LN(2)/25)*Calculateur!V32*Calculateur!X32*VLOOKUP('Données projet'!$B$9,Paramètres!$A$1:$I$89,3,0)*0.475*44/12</f>
        <v>10.001210297670477</v>
      </c>
      <c r="AB32" s="21">
        <f>EXP(-LN(2)/2)*AB31+(1-EXP(-LN(2)/2))/(LN(2)/2)*V32*Y32*VLOOKUP('Données projet'!$B$9,Paramètres!$A$1:$I$89,3,0)*0.475*44/12</f>
        <v>0.81013550850511329</v>
      </c>
      <c r="AC32" s="22">
        <f t="shared" si="3"/>
        <v>61.130784010981941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15.256799999999989</v>
      </c>
      <c r="D33" s="11">
        <f t="shared" si="32"/>
        <v>5.1198869553286599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157.29372386569489</v>
      </c>
      <c r="H33" s="67">
        <f t="shared" si="1"/>
        <v>328.82272978053072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92.49458233028173</v>
      </c>
      <c r="T33" s="59">
        <f t="shared" si="34"/>
        <v>260.65744386159963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49.33270471343684</v>
      </c>
      <c r="AA33" s="21">
        <f>EXP(-LN(2)/25)*AA32+(1-EXP(-LN(2)/25))/(LN(2)/25)*Calculateur!V33*Calculateur!X33*VLOOKUP('Données projet'!$B$9,Paramètres!$A$1:$I$89,3,0)*0.475*44/12</f>
        <v>9.727726676139886</v>
      </c>
      <c r="AB33" s="21">
        <f>EXP(-LN(2)/2)*AB32+(1-EXP(-LN(2)/2))/(LN(2)/2)*V33*Y33*VLOOKUP('Données projet'!$B$9,Paramètres!$A$1:$I$89,3,0)*0.475*44/12</f>
        <v>0.57285231174397755</v>
      </c>
      <c r="AC33" s="22">
        <f t="shared" si="3"/>
        <v>59.633283701320707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15.765359999999989</v>
      </c>
      <c r="D34" s="11">
        <f t="shared" si="32"/>
        <v>5.2703957110319708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162.38127215533444</v>
      </c>
      <c r="H34" s="67">
        <f t="shared" si="1"/>
        <v>329.97060786338062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92.49458233028173</v>
      </c>
      <c r="T34" s="59">
        <f t="shared" si="34"/>
        <v>260.65744386159963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48.365320463985078</v>
      </c>
      <c r="AA34" s="21">
        <f>EXP(-LN(2)/25)*AA33+(1-EXP(-LN(2)/25))/(LN(2)/25)*Calculateur!V34*Calculateur!X34*VLOOKUP('Données projet'!$B$9,Paramètres!$A$1:$I$89,3,0)*0.475*44/12</f>
        <v>9.4617214786219286</v>
      </c>
      <c r="AB34" s="21">
        <f>EXP(-LN(2)/2)*AB33+(1-EXP(-LN(2)/2))/(LN(2)/2)*V34*Y34*VLOOKUP('Données projet'!$B$9,Paramètres!$A$1:$I$89,3,0)*0.475*44/12</f>
        <v>0.40506775425255664</v>
      </c>
      <c r="AC34" s="22">
        <f t="shared" si="3"/>
        <v>58.232109696859567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16.27391999999999</v>
      </c>
      <c r="D35" s="11">
        <f t="shared" si="32"/>
        <v>5.4203402869315624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167.46446537280497</v>
      </c>
      <c r="H35" s="67">
        <f t="shared" si="1"/>
        <v>331.11750333307242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92.49458233028173</v>
      </c>
      <c r="T35" s="59">
        <f t="shared" si="34"/>
        <v>260.65744386159963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47.416906029618936</v>
      </c>
      <c r="AA35" s="21">
        <f>EXP(-LN(2)/25)*AA34+(1-EXP(-LN(2)/25))/(LN(2)/25)*Calculateur!V35*Calculateur!X35*VLOOKUP('Données projet'!$B$9,Paramètres!$A$1:$I$89,3,0)*0.475*44/12</f>
        <v>9.2029902072187042</v>
      </c>
      <c r="AB35" s="21">
        <f>EXP(-LN(2)/2)*AB34+(1-EXP(-LN(2)/2))/(LN(2)/2)*V35*Y35*VLOOKUP('Données projet'!$B$9,Paramètres!$A$1:$I$89,3,0)*0.475*44/12</f>
        <v>0.28642615587198877</v>
      </c>
      <c r="AC35" s="22">
        <f t="shared" si="3"/>
        <v>56.906322392709626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16.782479999999989</v>
      </c>
      <c r="D36" s="11">
        <f t="shared" si="32"/>
        <v>5.5697403365862934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172.54345522978883</v>
      </c>
      <c r="H36" s="67">
        <f t="shared" si="1"/>
        <v>332.26345041955443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92.49458233028173</v>
      </c>
      <c r="T36" s="59">
        <f t="shared" si="34"/>
        <v>260.65744386159963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46.48708942383503</v>
      </c>
      <c r="AA36" s="21">
        <f>EXP(-LN(2)/25)*AA35+(1-EXP(-LN(2)/25))/(LN(2)/25)*Calculateur!V36*Calculateur!X36*VLOOKUP('Données projet'!$B$9,Paramètres!$A$1:$I$89,3,0)*0.475*44/12</f>
        <v>8.9513339560380878</v>
      </c>
      <c r="AB36" s="21">
        <f>EXP(-LN(2)/2)*AB35+(1-EXP(-LN(2)/2))/(LN(2)/2)*V36*Y36*VLOOKUP('Données projet'!$B$9,Paramètres!$A$1:$I$89,3,0)*0.475*44/12</f>
        <v>0.20253387712627832</v>
      </c>
      <c r="AC36" s="22">
        <f t="shared" si="3"/>
        <v>55.640957256999393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17.291039999999988</v>
      </c>
      <c r="D37" s="11">
        <f t="shared" si="32"/>
        <v>5.7186142547431738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177.61838372082443</v>
      </c>
      <c r="H37" s="67">
        <f t="shared" si="1"/>
        <v>333.40848116034431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92.49458233028173</v>
      </c>
      <c r="T37" s="59">
        <f t="shared" si="34"/>
        <v>260.65744386159963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45.575505954558416</v>
      </c>
      <c r="AA37" s="21">
        <f>EXP(-LN(2)/25)*AA36+(1-EXP(-LN(2)/25))/(LN(2)/25)*Calculateur!V37*Calculateur!X37*VLOOKUP('Données projet'!$B$9,Paramètres!$A$1:$I$89,3,0)*0.475*44/12</f>
        <v>8.7065592582800324</v>
      </c>
      <c r="AB37" s="21">
        <f>EXP(-LN(2)/2)*AB36+(1-EXP(-LN(2)/2))/(LN(2)/2)*V37*Y37*VLOOKUP('Données projet'!$B$9,Paramètres!$A$1:$I$89,3,0)*0.475*44/12</f>
        <v>0.14321307793599439</v>
      </c>
      <c r="AC37" s="22">
        <f t="shared" si="3"/>
        <v>54.425278290774443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17.799599999999987</v>
      </c>
      <c r="D38" s="11">
        <f t="shared" si="32"/>
        <v>5.8669792925887796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182.68938401296592</v>
      </c>
      <c r="H38" s="67">
        <f t="shared" si="1"/>
        <v>334.55262560125874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92.49458233028173</v>
      </c>
      <c r="T38" s="59">
        <f t="shared" si="34"/>
        <v>260.65744386159963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44.681798081103302</v>
      </c>
      <c r="AA38" s="21">
        <f>EXP(-LN(2)/25)*AA37+(1-EXP(-LN(2)/25))/(LN(2)/25)*Calculateur!V38*Calculateur!X38*VLOOKUP('Données projet'!$B$9,Paramètres!$A$1:$I$89,3,0)*0.475*44/12</f>
        <v>8.4684779375043124</v>
      </c>
      <c r="AB38" s="21">
        <f>EXP(-LN(2)/2)*AB37+(1-EXP(-LN(2)/2))/(LN(2)/2)*V38*Y38*VLOOKUP('Données projet'!$B$9,Paramètres!$A$1:$I$89,3,0)*0.475*44/12</f>
        <v>0.10126693856313916</v>
      </c>
      <c r="AC38" s="22">
        <f t="shared" si="3"/>
        <v>53.251542957170756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18.308159999999987</v>
      </c>
      <c r="D39" s="11">
        <f t="shared" si="32"/>
        <v>6.0148516594588788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187.75658123091054</v>
      </c>
      <c r="H39" s="67">
        <f t="shared" si="1"/>
        <v>335.69591197355749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92.49458233028173</v>
      </c>
      <c r="T39" s="59">
        <f t="shared" si="34"/>
        <v>260.65744386159963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43.805615273938663</v>
      </c>
      <c r="AA39" s="21">
        <f>EXP(-LN(2)/25)*AA38+(1-EXP(-LN(2)/25))/(LN(2)/25)*Calculateur!V39*Calculateur!X39*VLOOKUP('Données projet'!$B$9,Paramètres!$A$1:$I$89,3,0)*0.475*44/12</f>
        <v>8.2369069629653566</v>
      </c>
      <c r="AB39" s="21">
        <f>EXP(-LN(2)/2)*AB38+(1-EXP(-LN(2)/2))/(LN(2)/2)*V39*Y39*VLOOKUP('Données projet'!$B$9,Paramètres!$A$1:$I$89,3,0)*0.475*44/12</f>
        <v>7.1606538967997194E-2</v>
      </c>
      <c r="AC39" s="22">
        <f t="shared" si="3"/>
        <v>52.114128775872018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18.816719999999986</v>
      </c>
      <c r="D40" s="11">
        <f t="shared" si="32"/>
        <v>6.1622466129292643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192.82009315243633</v>
      </c>
      <c r="H40" s="67">
        <f t="shared" si="1"/>
        <v>336.83836685085174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92.49458233028173</v>
      </c>
      <c r="T40" s="59">
        <f t="shared" si="34"/>
        <v>260.65744386159963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42.946613877203781</v>
      </c>
      <c r="AA40" s="21">
        <f>EXP(-LN(2)/25)*AA39+(1-EXP(-LN(2)/25))/(LN(2)/25)*Calculateur!V40*Calculateur!X40*VLOOKUP('Données projet'!$B$9,Paramètres!$A$1:$I$89,3,0)*0.475*44/12</f>
        <v>8.0116683089029568</v>
      </c>
      <c r="AB40" s="21">
        <f>EXP(-LN(2)/2)*AB39+(1-EXP(-LN(2)/2))/(LN(2)/2)*V40*Y40*VLOOKUP('Données projet'!$B$9,Paramètres!$A$1:$I$89,3,0)*0.475*44/12</f>
        <v>5.0633469281569581E-2</v>
      </c>
      <c r="AC40" s="22">
        <f t="shared" si="3"/>
        <v>51.008915655388307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19.325279999999985</v>
      </c>
      <c r="D41" s="11">
        <f t="shared" si="32"/>
        <v>6.3091785388931516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197.8800308265435</v>
      </c>
      <c r="H41" s="67">
        <f t="shared" si="1"/>
        <v>337.98001528857219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92.49458233028173</v>
      </c>
      <c r="T41" s="59">
        <f t="shared" si="34"/>
        <v>260.65744386159963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42.104456973919753</v>
      </c>
      <c r="AA41" s="21">
        <f>EXP(-LN(2)/25)*AA40+(1-EXP(-LN(2)/25))/(LN(2)/25)*Calculateur!V41*Calculateur!X41*VLOOKUP('Données projet'!$B$9,Paramètres!$A$1:$I$89,3,0)*0.475*44/12</f>
        <v>7.7925888176806799</v>
      </c>
      <c r="AB41" s="21">
        <f>EXP(-LN(2)/2)*AB40+(1-EXP(-LN(2)/2))/(LN(2)/2)*V41*Y41*VLOOKUP('Données projet'!$B$9,Paramètres!$A$1:$I$89,3,0)*0.475*44/12</f>
        <v>3.5803269483998597E-2</v>
      </c>
      <c r="AC41" s="22">
        <f t="shared" si="3"/>
        <v>49.932849061084433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19.833839999999984</v>
      </c>
      <c r="D42" s="11">
        <f t="shared" si="32"/>
        <v>6.4556610229722713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202.93649912469814</v>
      </c>
      <c r="H42" s="67">
        <f t="shared" si="1"/>
        <v>339.12088094834331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92.49458233028173</v>
      </c>
      <c r="T42" s="59">
        <f t="shared" si="34"/>
        <v>260.65744386159963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41.278814253844132</v>
      </c>
      <c r="AA42" s="21">
        <f>EXP(-LN(2)/25)*AA41+(1-EXP(-LN(2)/25))/(LN(2)/25)*Calculateur!V42*Calculateur!X42*VLOOKUP('Données projet'!$B$9,Paramètres!$A$1:$I$89,3,0)*0.475*44/12</f>
        <v>7.5795000666667658</v>
      </c>
      <c r="AB42" s="21">
        <f>EXP(-LN(2)/2)*AB41+(1-EXP(-LN(2)/2))/(LN(2)/2)*V42*Y42*VLOOKUP('Données projet'!$B$9,Paramètres!$A$1:$I$89,3,0)*0.475*44/12</f>
        <v>2.531673464078479E-2</v>
      </c>
      <c r="AC42" s="22">
        <f t="shared" si="3"/>
        <v>48.883631055151682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20.342399999999984</v>
      </c>
      <c r="D43" s="11">
        <f t="shared" si="32"/>
        <v>6.601706914397619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207.9895972339464</v>
      </c>
      <c r="H43" s="67">
        <f t="shared" si="1"/>
        <v>340.26098620924245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92.49458233028173</v>
      </c>
      <c r="T43" s="59">
        <f t="shared" si="34"/>
        <v>260.65744386159963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40.469361883916861</v>
      </c>
      <c r="AA43" s="21">
        <f>EXP(-LN(2)/25)*AA42+(1-EXP(-LN(2)/25))/(LN(2)/25)*Calculateur!V43*Calculateur!X43*VLOOKUP('Données projet'!$B$9,Paramètres!$A$1:$I$89,3,0)*0.475*44/12</f>
        <v>7.3722382387551777</v>
      </c>
      <c r="AB43" s="21">
        <f>EXP(-LN(2)/2)*AB42+(1-EXP(-LN(2)/2))/(LN(2)/2)*V43*Y43*VLOOKUP('Données projet'!$B$9,Paramètres!$A$1:$I$89,3,0)*0.475*44/12</f>
        <v>1.7901634741999298E-2</v>
      </c>
      <c r="AC43" s="22">
        <f t="shared" si="3"/>
        <v>47.859501757414037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20.850959999999983</v>
      </c>
      <c r="D44" s="11">
        <f t="shared" si="32"/>
        <v>6.7473283833223689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213.03941909933044</v>
      </c>
      <c r="H44" s="67">
        <f t="shared" si="1"/>
        <v>341.40035226761972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92.49458233028173</v>
      </c>
      <c r="T44" s="59">
        <f t="shared" si="34"/>
        <v>260.65744386159963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39.67578238124667</v>
      </c>
      <c r="AA44" s="21">
        <f>EXP(-LN(2)/25)*AA43+(1-EXP(-LN(2)/25))/(LN(2)/25)*Calculateur!V44*Calculateur!X44*VLOOKUP('Données projet'!$B$9,Paramètres!$A$1:$I$89,3,0)*0.475*44/12</f>
        <v>7.1706439964272581</v>
      </c>
      <c r="AB44" s="21">
        <f>EXP(-LN(2)/2)*AB43+(1-EXP(-LN(2)/2))/(LN(2)/2)*V44*Y44*VLOOKUP('Données projet'!$B$9,Paramètres!$A$1:$I$89,3,0)*0.475*44/12</f>
        <v>1.2658367320392395E-2</v>
      </c>
      <c r="AC44" s="22">
        <f t="shared" si="3"/>
        <v>46.85908474499432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21.359519999999982</v>
      </c>
      <c r="D45" s="11">
        <f t="shared" si="32"/>
        <v>6.8925369723857894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218.08605382192528</v>
      </c>
      <c r="H45" s="67">
        <f t="shared" si="1"/>
        <v>342.53899922690522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92.49458233028173</v>
      </c>
      <c r="T45" s="59">
        <f t="shared" si="34"/>
        <v>260.65744386159963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38.897764488588138</v>
      </c>
      <c r="AA45" s="21">
        <f>EXP(-LN(2)/25)*AA44+(1-EXP(-LN(2)/25))/(LN(2)/25)*Calculateur!V45*Calculateur!X45*VLOOKUP('Données projet'!$B$9,Paramètres!$A$1:$I$89,3,0)*0.475*44/12</f>
        <v>6.9745623592571757</v>
      </c>
      <c r="AB45" s="21">
        <f>EXP(-LN(2)/2)*AB44+(1-EXP(-LN(2)/2))/(LN(2)/2)*V45*Y45*VLOOKUP('Données projet'!$B$9,Paramètres!$A$1:$I$89,3,0)*0.475*44/12</f>
        <v>8.9508173709996492E-3</v>
      </c>
      <c r="AC45" s="22">
        <f t="shared" si="3"/>
        <v>45.881277665216317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21.868079999999981</v>
      </c>
      <c r="D46" s="11">
        <f t="shared" si="32"/>
        <v>7.0373436432280112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223.12958601790027</v>
      </c>
      <c r="H46" s="67">
        <f t="shared" si="1"/>
        <v>343.67694617862207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92.49458233028173</v>
      </c>
      <c r="T46" s="59">
        <f t="shared" si="34"/>
        <v>260.65744386159963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38.135003052260586</v>
      </c>
      <c r="AA46" s="21">
        <f>EXP(-LN(2)/25)*AA45+(1-EXP(-LN(2)/25))/(LN(2)/25)*Calculateur!V46*Calculateur!X46*VLOOKUP('Données projet'!$B$9,Paramètres!$A$1:$I$89,3,0)*0.475*44/12</f>
        <v>6.7838425847669948</v>
      </c>
      <c r="AB46" s="21">
        <f>EXP(-LN(2)/2)*AB45+(1-EXP(-LN(2)/2))/(LN(2)/2)*V46*Y46*VLOOKUP('Données projet'!$B$9,Paramètres!$A$1:$I$89,3,0)*0.475*44/12</f>
        <v>6.3291836601961976E-3</v>
      </c>
      <c r="AC46" s="22">
        <f t="shared" si="3"/>
        <v>44.925174820687779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22.376639999999981</v>
      </c>
      <c r="D47" s="11">
        <f t="shared" si="32"/>
        <v>7.1817588185559256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228.17009614323862</v>
      </c>
      <c r="H47" s="67">
        <f t="shared" si="1"/>
        <v>344.81421127565153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92.49458233028173</v>
      </c>
      <c r="T47" s="59">
        <f t="shared" si="34"/>
        <v>260.65744386159963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37.387198902460881</v>
      </c>
      <c r="AA47" s="21">
        <f>EXP(-LN(2)/25)*AA46+(1-EXP(-LN(2)/25))/(LN(2)/25)*Calculateur!V47*Calculateur!X47*VLOOKUP('Données projet'!$B$9,Paramètres!$A$1:$I$89,3,0)*0.475*44/12</f>
        <v>6.5983380525397646</v>
      </c>
      <c r="AB47" s="21">
        <f>EXP(-LN(2)/2)*AB46+(1-EXP(-LN(2)/2))/(LN(2)/2)*V47*Y47*VLOOKUP('Données projet'!$B$9,Paramètres!$A$1:$I$89,3,0)*0.475*44/12</f>
        <v>4.4754086854998246E-3</v>
      </c>
      <c r="AC47" s="22">
        <f t="shared" si="3"/>
        <v>43.990012363686148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22.88519999999998</v>
      </c>
      <c r="D48" s="11">
        <f t="shared" si="32"/>
        <v>7.3257924202770681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233.20766078810354</v>
      </c>
      <c r="H48" s="67">
        <f t="shared" si="1"/>
        <v>345.95081179864917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92.49458233028173</v>
      </c>
      <c r="T48" s="59">
        <f t="shared" si="34"/>
        <v>260.65744386159963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36.65405873592325</v>
      </c>
      <c r="AA48" s="21">
        <f>EXP(-LN(2)/25)*AA47+(1-EXP(-LN(2)/25))/(LN(2)/25)*Calculateur!V48*Calculateur!X48*VLOOKUP('Données projet'!$B$9,Paramètres!$A$1:$I$89,3,0)*0.475*44/12</f>
        <v>6.4179061515015476</v>
      </c>
      <c r="AB48" s="21">
        <f>EXP(-LN(2)/2)*AB47+(1-EXP(-LN(2)/2))/(LN(2)/2)*V48*Y48*VLOOKUP('Données projet'!$B$9,Paramètres!$A$1:$I$89,3,0)*0.475*44/12</f>
        <v>3.1645918300980988E-3</v>
      </c>
      <c r="AC48" s="22">
        <f t="shared" si="3"/>
        <v>43.075129479254898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23.393759999999979</v>
      </c>
      <c r="D49" s="11">
        <f t="shared" si="32"/>
        <v>7.4694539041483274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238.24235294430272</v>
      </c>
      <c r="H49" s="67">
        <f t="shared" si="1"/>
        <v>347.0867642163916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92.49458233028173</v>
      </c>
      <c r="T49" s="59">
        <f t="shared" si="34"/>
        <v>260.65744386159963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35.935295000880075</v>
      </c>
      <c r="AA49" s="21">
        <f>EXP(-LN(2)/25)*AA48+(1-EXP(-LN(2)/25))/(LN(2)/25)*Calculateur!V49*Calculateur!X49*VLOOKUP('Données projet'!$B$9,Paramètres!$A$1:$I$89,3,0)*0.475*44/12</f>
        <v>6.2424081702857217</v>
      </c>
      <c r="AB49" s="21">
        <f>EXP(-LN(2)/2)*AB48+(1-EXP(-LN(2)/2))/(LN(2)/2)*V49*Y49*VLOOKUP('Données projet'!$B$9,Paramètres!$A$1:$I$89,3,0)*0.475*44/12</f>
        <v>2.2377043427499123E-3</v>
      </c>
      <c r="AC49" s="22">
        <f t="shared" si="3"/>
        <v>42.179940875508542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23.902319999999978</v>
      </c>
      <c r="D50" s="11">
        <f t="shared" si="32"/>
        <v>7.612752291326645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243.27424224883714</v>
      </c>
      <c r="H50" s="67">
        <f t="shared" si="1"/>
        <v>348.22208424072721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92.49458233028173</v>
      </c>
      <c r="T50" s="59">
        <f t="shared" si="34"/>
        <v>260.65744386159963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35.230625784278509</v>
      </c>
      <c r="AA50" s="21">
        <f>EXP(-LN(2)/25)*AA49+(1-EXP(-LN(2)/25))/(LN(2)/25)*Calculateur!V50*Calculateur!X50*VLOOKUP('Données projet'!$B$9,Paramètres!$A$1:$I$89,3,0)*0.475*44/12</f>
        <v>6.0717091905952802</v>
      </c>
      <c r="AB50" s="21">
        <f>EXP(-LN(2)/2)*AB49+(1-EXP(-LN(2)/2))/(LN(2)/2)*V50*Y50*VLOOKUP('Données projet'!$B$9,Paramètres!$A$1:$I$89,3,0)*0.475*44/12</f>
        <v>1.5822959150490494E-3</v>
      </c>
      <c r="AC50" s="22">
        <f t="shared" si="3"/>
        <v>41.303917270788837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24.410879999999977</v>
      </c>
      <c r="D51" s="11">
        <f t="shared" si="32"/>
        <v>7.7556961971588443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248.30339520613825</v>
      </c>
      <c r="H51" s="67">
        <f t="shared" si="1"/>
        <v>349.35678687671827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92.49458233028173</v>
      </c>
      <c r="T51" s="59">
        <f t="shared" si="34"/>
        <v>260.65744386159963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34.539774701208714</v>
      </c>
      <c r="AA51" s="21">
        <f>EXP(-LN(2)/25)*AA50+(1-EXP(-LN(2)/25))/(LN(2)/25)*Calculateur!V51*Calculateur!X51*VLOOKUP('Données projet'!$B$9,Paramètres!$A$1:$I$89,3,0)*0.475*44/12</f>
        <v>5.9056779834811435</v>
      </c>
      <c r="AB51" s="21">
        <f>EXP(-LN(2)/2)*AB50+(1-EXP(-LN(2)/2))/(LN(2)/2)*V51*Y51*VLOOKUP('Données projet'!$B$9,Paramètres!$A$1:$I$89,3,0)*0.475*44/12</f>
        <v>1.1188521713749562E-3</v>
      </c>
      <c r="AC51" s="22">
        <f t="shared" si="3"/>
        <v>40.446571536861228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24.919439999999977</v>
      </c>
      <c r="D52" s="11">
        <f t="shared" si="32"/>
        <v>7.8982938575045374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253.32987539126293</v>
      </c>
      <c r="H52" s="67">
        <f t="shared" si="1"/>
        <v>350.49088646848702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92.49458233028173</v>
      </c>
      <c r="T52" s="59">
        <f t="shared" si="34"/>
        <v>260.65744386159963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33.862470786500367</v>
      </c>
      <c r="AA52" s="21">
        <f>EXP(-LN(2)/25)*AA51+(1-EXP(-LN(2)/25))/(LN(2)/25)*Calculateur!V52*Calculateur!X52*VLOOKUP('Données projet'!$B$9,Paramètres!$A$1:$I$89,3,0)*0.475*44/12</f>
        <v>5.7441869084567445</v>
      </c>
      <c r="AB52" s="21">
        <f>EXP(-LN(2)/2)*AB51+(1-EXP(-LN(2)/2))/(LN(2)/2)*V52*Y52*VLOOKUP('Données projet'!$B$9,Paramètres!$A$1:$I$89,3,0)*0.475*44/12</f>
        <v>7.911479575245247E-4</v>
      </c>
      <c r="AC52" s="22">
        <f t="shared" si="3"/>
        <v>39.607448842914636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25.427999999999976</v>
      </c>
      <c r="D53" s="11">
        <f t="shared" si="32"/>
        <v>8.0405531528496077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258.35374363603188</v>
      </c>
      <c r="H53" s="67">
        <f t="shared" si="1"/>
        <v>351.62439674121299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92.49458233028173</v>
      </c>
      <c r="T53" s="59">
        <f t="shared" si="34"/>
        <v>260.65744386159963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33.198448388444852</v>
      </c>
      <c r="AA53" s="21">
        <f>EXP(-LN(2)/25)*AA52+(1-EXP(-LN(2)/25))/(LN(2)/25)*Calculateur!V53*Calculateur!X53*VLOOKUP('Données projet'!$B$9,Paramètres!$A$1:$I$89,3,0)*0.475*44/12</f>
        <v>5.5871118153713342</v>
      </c>
      <c r="AB53" s="21">
        <f>EXP(-LN(2)/2)*AB52+(1-EXP(-LN(2)/2))/(LN(2)/2)*V53*Y53*VLOOKUP('Données projet'!$B$9,Paramètres!$A$1:$I$89,3,0)*0.475*44/12</f>
        <v>5.5942608568747808E-4</v>
      </c>
      <c r="AC53" s="22">
        <f t="shared" si="3"/>
        <v>38.786119629901876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25.936559999999975</v>
      </c>
      <c r="D54" s="11">
        <f t="shared" si="32"/>
        <v>8.1824816304360528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263.37505819985705</v>
      </c>
      <c r="H54" s="67">
        <f t="shared" si="1"/>
        <v>352.75733083967606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92.49458233028173</v>
      </c>
      <c r="T54" s="59">
        <f t="shared" si="34"/>
        <v>260.65744386159963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32.547447064601535</v>
      </c>
      <c r="AA54" s="21">
        <f>EXP(-LN(2)/25)*AA53+(1-EXP(-LN(2)/25))/(LN(2)/25)*Calculateur!V54*Calculateur!X54*VLOOKUP('Données projet'!$B$9,Paramètres!$A$1:$I$89,3,0)*0.475*44/12</f>
        <v>5.4343319489665642</v>
      </c>
      <c r="AB54" s="21">
        <f>EXP(-LN(2)/2)*AB53+(1-EXP(-LN(2)/2))/(LN(2)/2)*V54*Y54*VLOOKUP('Données projet'!$B$9,Paramètres!$A$1:$I$89,3,0)*0.475*44/12</f>
        <v>3.9557397876226235E-4</v>
      </c>
      <c r="AC54" s="22">
        <f t="shared" si="3"/>
        <v>37.982174587546865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26.445119999999974</v>
      </c>
      <c r="D55" s="11">
        <f t="shared" si="32"/>
        <v>8.3240865246071483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268.3938749267918</v>
      </c>
      <c r="H55" s="67">
        <f t="shared" si="1"/>
        <v>353.88970136369073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92.49458233028173</v>
      </c>
      <c r="T55" s="59">
        <f t="shared" si="34"/>
        <v>260.65744386159963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31.909211479647187</v>
      </c>
      <c r="AA55" s="21">
        <f>EXP(-LN(2)/25)*AA54+(1-EXP(-LN(2)/25))/(LN(2)/25)*Calculateur!V55*Calculateur!X55*VLOOKUP('Données projet'!$B$9,Paramètres!$A$1:$I$89,3,0)*0.475*44/12</f>
        <v>5.2857298560429768</v>
      </c>
      <c r="AB55" s="21">
        <f>EXP(-LN(2)/2)*AB54+(1-EXP(-LN(2)/2))/(LN(2)/2)*V55*Y55*VLOOKUP('Données projet'!$B$9,Paramètres!$A$1:$I$89,3,0)*0.475*44/12</f>
        <v>2.7971304284373904E-4</v>
      </c>
      <c r="AC55" s="22">
        <f t="shared" si="3"/>
        <v>37.195221048733003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26.953679999999974</v>
      </c>
      <c r="D56" s="11">
        <f t="shared" si="32"/>
        <v>8.4653747755433564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273.41024739015904</v>
      </c>
      <c r="H56" s="67">
        <f t="shared" si="1"/>
        <v>355.02152040073793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92.49458233028173</v>
      </c>
      <c r="T56" s="59">
        <f t="shared" si="34"/>
        <v>260.65744386159963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31.283491305228527</v>
      </c>
      <c r="AA56" s="21">
        <f>EXP(-LN(2)/25)*AA55+(1-EXP(-LN(2)/25))/(LN(2)/25)*Calculateur!V56*Calculateur!X56*VLOOKUP('Données projet'!$B$9,Paramètres!$A$1:$I$89,3,0)*0.475*44/12</f>
        <v>5.1411912951650294</v>
      </c>
      <c r="AB56" s="21">
        <f>EXP(-LN(2)/2)*AB55+(1-EXP(-LN(2)/2))/(LN(2)/2)*V56*Y56*VLOOKUP('Données projet'!$B$9,Paramètres!$A$1:$I$89,3,0)*0.475*44/12</f>
        <v>1.9778698938113117E-4</v>
      </c>
      <c r="AC56" s="22">
        <f t="shared" si="3"/>
        <v>36.424880387382935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27.462239999999973</v>
      </c>
      <c r="D57" s="11">
        <f t="shared" si="32"/>
        <v>8.6063530465442142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278.42422702595513</v>
      </c>
      <c r="H57" s="67">
        <f t="shared" si="1"/>
        <v>356.15279955606445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92.49458233028173</v>
      </c>
      <c r="T57" s="59">
        <f t="shared" si="34"/>
        <v>260.65744386159963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30.670041121778596</v>
      </c>
      <c r="AA57" s="21">
        <f>EXP(-LN(2)/25)*AA56+(1-EXP(-LN(2)/25))/(LN(2)/25)*Calculateur!V57*Calculateur!X57*VLOOKUP('Données projet'!$B$9,Paramètres!$A$1:$I$89,3,0)*0.475*44/12</f>
        <v>5.0006051488352421</v>
      </c>
      <c r="AB57" s="21">
        <f>EXP(-LN(2)/2)*AB56+(1-EXP(-LN(2)/2))/(LN(2)/2)*V57*Y57*VLOOKUP('Données projet'!$B$9,Paramètres!$A$1:$I$89,3,0)*0.475*44/12</f>
        <v>1.3985652142186952E-4</v>
      </c>
      <c r="AC57" s="22">
        <f t="shared" si="3"/>
        <v>35.670786127135258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27.970799999999972</v>
      </c>
      <c r="D58" s="11">
        <f t="shared" si="32"/>
        <v>8.7470277399938681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283.43586325609277</v>
      </c>
      <c r="H58" s="67">
        <f t="shared" si="1"/>
        <v>357.28354998048923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92.49458233028173</v>
      </c>
      <c r="T58" s="59">
        <f t="shared" si="34"/>
        <v>260.65744386159963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30.06862032225845</v>
      </c>
      <c r="AA58" s="21">
        <f>EXP(-LN(2)/25)*AA57+(1-EXP(-LN(2)/25))/(LN(2)/25)*Calculateur!V58*Calculateur!X58*VLOOKUP('Données projet'!$B$9,Paramètres!$A$1:$I$89,3,0)*0.475*44/12</f>
        <v>4.8638633380699465</v>
      </c>
      <c r="AB58" s="21">
        <f>EXP(-LN(2)/2)*AB57+(1-EXP(-LN(2)/2))/(LN(2)/2)*V58*Y58*VLOOKUP('Données projet'!$B$9,Paramètres!$A$1:$I$89,3,0)*0.475*44/12</f>
        <v>9.8893494690565587E-5</v>
      </c>
      <c r="AC58" s="22">
        <f t="shared" si="3"/>
        <v>34.932582553823082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28.479359999999971</v>
      </c>
      <c r="D59" s="11">
        <f t="shared" si="32"/>
        <v>8.8874050121326427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288.44520360242723</v>
      </c>
      <c r="H59" s="67">
        <f t="shared" si="1"/>
        <v>358.41378239613096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92.49458233028173</v>
      </c>
      <c r="T59" s="59">
        <f t="shared" si="34"/>
        <v>260.65744386159963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29.478993017786429</v>
      </c>
      <c r="AA59" s="21">
        <f>EXP(-LN(2)/25)*AA58+(1-EXP(-LN(2)/25))/(LN(2)/25)*Calculateur!V59*Calculateur!X59*VLOOKUP('Données projet'!$B$9,Paramètres!$A$1:$I$89,3,0)*0.475*44/12</f>
        <v>4.7308607393109678</v>
      </c>
      <c r="AB59" s="21">
        <f>EXP(-LN(2)/2)*AB58+(1-EXP(-LN(2)/2))/(LN(2)/2)*V59*Y59*VLOOKUP('Données projet'!$B$9,Paramètres!$A$1:$I$89,3,0)*0.475*44/12</f>
        <v>6.9928260710934759E-5</v>
      </c>
      <c r="AC59" s="22">
        <f t="shared" si="3"/>
        <v>34.209923685358113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28.987919999999971</v>
      </c>
      <c r="D60" s="11">
        <f t="shared" si="32"/>
        <v>9.0274907867435932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293.45229379240646</v>
      </c>
      <c r="H60" s="67">
        <f t="shared" si="1"/>
        <v>359.54350712024501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92.49458233028173</v>
      </c>
      <c r="T60" s="59">
        <f t="shared" si="34"/>
        <v>260.65744386159963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28.90092794511796</v>
      </c>
      <c r="AA60" s="21">
        <f>EXP(-LN(2)/25)*AA59+(1-EXP(-LN(2)/25))/(LN(2)/25)*Calculateur!V60*Calculateur!X60*VLOOKUP('Données projet'!$B$9,Paramètres!$A$1:$I$89,3,0)*0.475*44/12</f>
        <v>4.6014951036093557</v>
      </c>
      <c r="AB60" s="21">
        <f>EXP(-LN(2)/2)*AB59+(1-EXP(-LN(2)/2))/(LN(2)/2)*V60*Y60*VLOOKUP('Données projet'!$B$9,Paramètres!$A$1:$I$89,3,0)*0.475*44/12</f>
        <v>4.9446747345282794E-5</v>
      </c>
      <c r="AC60" s="22">
        <f t="shared" si="3"/>
        <v>33.502472495474663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29.49647999999997</v>
      </c>
      <c r="D61" s="11">
        <f t="shared" si="32"/>
        <v>9.1672907678514566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298.45717785709877</v>
      </c>
      <c r="H61" s="67">
        <f t="shared" si="1"/>
        <v>360.67273408734121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92.49458233028173</v>
      </c>
      <c r="T61" s="59">
        <f t="shared" si="34"/>
        <v>260.65744386159963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28.334198375939639</v>
      </c>
      <c r="AA61" s="21">
        <f>EXP(-LN(2)/25)*AA60+(1-EXP(-LN(2)/25))/(LN(2)/25)*Calculateur!V61*Calculateur!X61*VLOOKUP('Données projet'!$B$9,Paramètres!$A$1:$I$89,3,0)*0.475*44/12</f>
        <v>4.4756669780190474</v>
      </c>
      <c r="AB61" s="21">
        <f>EXP(-LN(2)/2)*AB60+(1-EXP(-LN(2)/2))/(LN(2)/2)*V61*Y61*VLOOKUP('Données projet'!$B$9,Paramètres!$A$1:$I$89,3,0)*0.475*44/12</f>
        <v>3.496413035546738E-5</v>
      </c>
      <c r="AC61" s="22">
        <f t="shared" si="3"/>
        <v>32.809900318089042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30.005039999999969</v>
      </c>
      <c r="D62" s="11">
        <f t="shared" si="32"/>
        <v>9.3068104515209722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303.45989822226693</v>
      </c>
      <c r="H62" s="67">
        <f t="shared" si="1"/>
        <v>361.80147286973227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92.49458233028173</v>
      </c>
      <c r="T62" s="59">
        <f t="shared" si="34"/>
        <v>260.65744386159963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27.778582027942001</v>
      </c>
      <c r="AA62" s="21">
        <f>EXP(-LN(2)/25)*AA61+(1-EXP(-LN(2)/25))/(LN(2)/25)*Calculateur!V62*Calculateur!X62*VLOOKUP('Données projet'!$B$9,Paramètres!$A$1:$I$89,3,0)*0.475*44/12</f>
        <v>4.3532796291400198</v>
      </c>
      <c r="AB62" s="21">
        <f>EXP(-LN(2)/2)*AB61+(1-EXP(-LN(2)/2))/(LN(2)/2)*V62*Y62*VLOOKUP('Données projet'!$B$9,Paramètres!$A$1:$I$89,3,0)*0.475*44/12</f>
        <v>2.4723373672641397E-5</v>
      </c>
      <c r="AC62" s="22">
        <f t="shared" si="3"/>
        <v>32.13188638045569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30.513599999999968</v>
      </c>
      <c r="D63" s="11">
        <f t="shared" si="32"/>
        <v>9.4460551368326477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308.46049579309391</v>
      </c>
      <c r="H63" s="67">
        <f t="shared" si="1"/>
        <v>362.92973269665015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92.49458233028173</v>
      </c>
      <c r="T63" s="59">
        <f t="shared" si="34"/>
        <v>260.65744386159963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27.233860977636088</v>
      </c>
      <c r="AA63" s="21">
        <f>EXP(-LN(2)/25)*AA62+(1-EXP(-LN(2)/25))/(LN(2)/25)*Calculateur!V63*Calculateur!X63*VLOOKUP('Données projet'!$B$9,Paramètres!$A$1:$I$89,3,0)*0.475*44/12</f>
        <v>4.2342389687521598</v>
      </c>
      <c r="AB63" s="21">
        <f>EXP(-LN(2)/2)*AB62+(1-EXP(-LN(2)/2))/(LN(2)/2)*V63*Y63*VLOOKUP('Données projet'!$B$9,Paramètres!$A$1:$I$89,3,0)*0.475*44/12</f>
        <v>1.748206517773369E-5</v>
      </c>
      <c r="AC63" s="22">
        <f t="shared" si="3"/>
        <v>31.468117428453425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31.022159999999968</v>
      </c>
      <c r="D64" s="11">
        <f t="shared" si="32"/>
        <v>9.5850299361061282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313.45901003309967</v>
      </c>
      <c r="H64" s="67">
        <f t="shared" si="1"/>
        <v>364.05752247205146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92.49458233028173</v>
      </c>
      <c r="T64" s="59">
        <f t="shared" si="34"/>
        <v>260.65744386159963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26.699821574879639</v>
      </c>
      <c r="AA64" s="21">
        <f>EXP(-LN(2)/25)*AA63+(1-EXP(-LN(2)/25))/(LN(2)/25)*Calculateur!V64*Calculateur!X64*VLOOKUP('Données projet'!$B$9,Paramètres!$A$1:$I$89,3,0)*0.475*44/12</f>
        <v>4.1184534814826819</v>
      </c>
      <c r="AB64" s="21">
        <f>EXP(-LN(2)/2)*AB63+(1-EXP(-LN(2)/2))/(LN(2)/2)*V64*Y64*VLOOKUP('Données projet'!$B$9,Paramètres!$A$1:$I$89,3,0)*0.475*44/12</f>
        <v>1.2361686836320698E-5</v>
      </c>
      <c r="AC64" s="22">
        <f t="shared" si="3"/>
        <v>30.818287418049156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31.530719999999967</v>
      </c>
      <c r="D65" s="11">
        <f t="shared" si="32"/>
        <v>9.7237397844340734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318.45547903773644</v>
      </c>
      <c r="H65" s="67">
        <f t="shared" si="1"/>
        <v>365.18485079122257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92.49458233028173</v>
      </c>
      <c r="T65" s="59">
        <f t="shared" si="34"/>
        <v>260.65744386159963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26.176254359079373</v>
      </c>
      <c r="AA65" s="21">
        <f>EXP(-LN(2)/25)*AA64+(1-EXP(-LN(2)/25))/(LN(2)/25)*Calculateur!V65*Calculateur!X65*VLOOKUP('Données projet'!$B$9,Paramètres!$A$1:$I$89,3,0)*0.475*44/12</f>
        <v>4.0058341544514819</v>
      </c>
      <c r="AB65" s="21">
        <f>EXP(-LN(2)/2)*AB64+(1-EXP(-LN(2)/2))/(LN(2)/2)*V65*Y65*VLOOKUP('Données projet'!$B$9,Paramètres!$A$1:$I$89,3,0)*0.475*44/12</f>
        <v>8.7410325888668449E-6</v>
      </c>
      <c r="AC65" s="22">
        <f t="shared" si="3"/>
        <v>30.182097254563441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32.03927999999997</v>
      </c>
      <c r="D66" s="11">
        <f t="shared" si="32"/>
        <v>9.8621894485836226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323.44993960310143</v>
      </c>
      <c r="H66" s="67">
        <f t="shared" si="1"/>
        <v>366.31172595628306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92.49458233028173</v>
      </c>
      <c r="T66" s="59">
        <f t="shared" si="34"/>
        <v>260.65744386159963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25.66295397703648</v>
      </c>
      <c r="AA66" s="21">
        <f>EXP(-LN(2)/25)*AA65+(1-EXP(-LN(2)/25))/(LN(2)/25)*Calculateur!V66*Calculateur!X66*VLOOKUP('Données projet'!$B$9,Paramètres!$A$1:$I$89,3,0)*0.475*44/12</f>
        <v>3.8962944088403435</v>
      </c>
      <c r="AB66" s="21">
        <f>EXP(-LN(2)/2)*AB65+(1-EXP(-LN(2)/2))/(LN(2)/2)*V66*Y66*VLOOKUP('Données projet'!$B$9,Paramètres!$A$1:$I$89,3,0)*0.475*44/12</f>
        <v>6.1808434181603492E-6</v>
      </c>
      <c r="AC66" s="22">
        <f t="shared" si="3"/>
        <v>29.559254566720242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32.547839999999972</v>
      </c>
      <c r="D67" s="11">
        <f t="shared" si="32"/>
        <v>10.000383535316574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328.44242729016281</v>
      </c>
      <c r="H67" s="67">
        <f t="shared" si="1"/>
        <v>367.43815599067631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92.49458233028173</v>
      </c>
      <c r="T67" s="59">
        <f t="shared" si="34"/>
        <v>260.65744386159963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25.15971910240313</v>
      </c>
      <c r="AA67" s="21">
        <f>EXP(-LN(2)/25)*AA66+(1-EXP(-LN(2)/25))/(LN(2)/25)*Calculateur!V67*Calculateur!X67*VLOOKUP('Données projet'!$B$9,Paramètres!$A$1:$I$89,3,0)*0.475*44/12</f>
        <v>3.7897500333333864</v>
      </c>
      <c r="AB67" s="21">
        <f>EXP(-LN(2)/2)*AB66+(1-EXP(-LN(2)/2))/(LN(2)/2)*V67*Y67*VLOOKUP('Données projet'!$B$9,Paramètres!$A$1:$I$89,3,0)*0.475*44/12</f>
        <v>4.3705162944334225E-6</v>
      </c>
      <c r="AC67" s="22">
        <f t="shared" si="3"/>
        <v>28.949473506252811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33.056399999999975</v>
      </c>
      <c r="D68" s="11">
        <f t="shared" si="32"/>
        <v>10.138326499174815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333.43297648485805</v>
      </c>
      <c r="H68" s="67">
        <f t="shared" ref="H68:H131" si="56">(B68+E68+F68)*44/12+(C68+D68)*0.475*44/12</f>
        <v>368.56414865272939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92.49458233028173</v>
      </c>
      <c r="T68" s="59">
        <f t="shared" si="34"/>
        <v>260.65744386159963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24.666352356718374</v>
      </c>
      <c r="AA68" s="21">
        <f>EXP(-LN(2)/25)*AA67+(1-EXP(-LN(2)/25))/(LN(2)/25)*Calculateur!V68*Calculateur!X68*VLOOKUP('Données projet'!$B$9,Paramètres!$A$1:$I$89,3,0)*0.475*44/12</f>
        <v>3.6861191193775924</v>
      </c>
      <c r="AB68" s="21">
        <f>EXP(-LN(2)/2)*AB67+(1-EXP(-LN(2)/2))/(LN(2)/2)*V68*Y68*VLOOKUP('Données projet'!$B$9,Paramètres!$A$1:$I$89,3,0)*0.475*44/12</f>
        <v>3.0904217090801746E-6</v>
      </c>
      <c r="AC68" s="22">
        <f t="shared" ref="AC68:AC131" si="57">SUM(Z68:AB68)</f>
        <v>28.352474566517678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33.564959999999978</v>
      </c>
      <c r="D69" s="11">
        <f t="shared" ref="D69:D132" si="86">IFERROR(EXP(-1.0587+0.8836*LN(C69)+0.284),0)</f>
        <v>10.276022649773063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338.4216204543884</v>
      </c>
      <c r="H69" s="67">
        <f t="shared" si="56"/>
        <v>369.68971144835467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92.49458233028173</v>
      </c>
      <c r="T69" s="59">
        <f t="shared" ref="T69:T132" si="88">$T$3</f>
        <v>260.65744386159963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24.182660231992493</v>
      </c>
      <c r="AA69" s="21">
        <f>EXP(-LN(2)/25)*AA68+(1-EXP(-LN(2)/25))/(LN(2)/25)*Calculateur!V69*Calculateur!X69*VLOOKUP('Données projet'!$B$9,Paramètres!$A$1:$I$89,3,0)*0.475*44/12</f>
        <v>3.5853219982136322</v>
      </c>
      <c r="AB69" s="21">
        <f>EXP(-LN(2)/2)*AB68+(1-EXP(-LN(2)/2))/(LN(2)/2)*V69*Y69*VLOOKUP('Données projet'!$B$9,Paramètres!$A$1:$I$89,3,0)*0.475*44/12</f>
        <v>2.1852581472167112E-6</v>
      </c>
      <c r="AC69" s="22">
        <f t="shared" si="57"/>
        <v>27.767984415464273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34.073519999999981</v>
      </c>
      <c r="D70" s="11">
        <f t="shared" si="86"/>
        <v>10.413476158637106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343.40839140000554</v>
      </c>
      <c r="H70" s="67">
        <f t="shared" si="56"/>
        <v>370.81485164295958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92.49458233028173</v>
      </c>
      <c r="T70" s="59">
        <f t="shared" si="88"/>
        <v>260.65744386159963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23.708453014809425</v>
      </c>
      <c r="AA70" s="21">
        <f>EXP(-LN(2)/25)*AA69+(1-EXP(-LN(2)/25))/(LN(2)/25)*Calculateur!V70*Calculateur!X70*VLOOKUP('Données projet'!$B$9,Paramètres!$A$1:$I$89,3,0)*0.475*44/12</f>
        <v>3.487281179628591</v>
      </c>
      <c r="AB70" s="21">
        <f>EXP(-LN(2)/2)*AB69+(1-EXP(-LN(2)/2))/(LN(2)/2)*V70*Y70*VLOOKUP('Données projet'!$B$9,Paramètres!$A$1:$I$89,3,0)*0.475*44/12</f>
        <v>1.5452108545400873E-6</v>
      </c>
      <c r="AC70" s="22">
        <f t="shared" si="57"/>
        <v>27.195735739648871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34.582079999999983</v>
      </c>
      <c r="D71" s="11">
        <f t="shared" si="86"/>
        <v>10.550691065622091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348.39332050655639</v>
      </c>
      <c r="H71" s="67">
        <f t="shared" si="56"/>
        <v>371.93957627262512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92.49458233028173</v>
      </c>
      <c r="T71" s="59">
        <f t="shared" si="88"/>
        <v>260.65744386159963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23.243544711917473</v>
      </c>
      <c r="AA71" s="21">
        <f>EXP(-LN(2)/25)*AA70+(1-EXP(-LN(2)/25))/(LN(2)/25)*Calculateur!V71*Calculateur!X71*VLOOKUP('Données projet'!$B$9,Paramètres!$A$1:$I$89,3,0)*0.475*44/12</f>
        <v>3.3919212923835</v>
      </c>
      <c r="AB71" s="21">
        <f>EXP(-LN(2)/2)*AB70+(1-EXP(-LN(2)/2))/(LN(2)/2)*V71*Y71*VLOOKUP('Données projet'!$B$9,Paramètres!$A$1:$I$89,3,0)*0.475*44/12</f>
        <v>1.0926290736083556E-6</v>
      </c>
      <c r="AC71" s="22">
        <f t="shared" si="57"/>
        <v>26.635467096930046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35.090639999999986</v>
      </c>
      <c r="D72" s="11">
        <f t="shared" si="86"/>
        <v>10.687671284942699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353.37643798903127</v>
      </c>
      <c r="H72" s="67">
        <f t="shared" si="56"/>
        <v>373.06389215460848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92.49458233028173</v>
      </c>
      <c r="T72" s="59">
        <f t="shared" si="88"/>
        <v>260.65744386159963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22.787752977279165</v>
      </c>
      <c r="AA72" s="21">
        <f>EXP(-LN(2)/25)*AA71+(1-EXP(-LN(2)/25))/(LN(2)/25)*Calculateur!V72*Calculateur!X72*VLOOKUP('Données projet'!$B$9,Paramètres!$A$1:$I$89,3,0)*0.475*44/12</f>
        <v>3.299169026269885</v>
      </c>
      <c r="AB72" s="21">
        <f>EXP(-LN(2)/2)*AB71+(1-EXP(-LN(2)/2))/(LN(2)/2)*V72*Y72*VLOOKUP('Données projet'!$B$9,Paramètres!$A$1:$I$89,3,0)*0.475*44/12</f>
        <v>7.7260542727004365E-7</v>
      </c>
      <c r="AC72" s="22">
        <f t="shared" si="57"/>
        <v>26.086922776154477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35.599199999999989</v>
      </c>
      <c r="D73" s="11">
        <f t="shared" si="86"/>
        <v>10.824420610843646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358.35777313633685</v>
      </c>
      <c r="H73" s="67">
        <f t="shared" si="56"/>
        <v>374.18780589721928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92.49458233028173</v>
      </c>
      <c r="T73" s="59">
        <f t="shared" si="88"/>
        <v>260.65744386159963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22.340899040551609</v>
      </c>
      <c r="AA73" s="21">
        <f>EXP(-LN(2)/25)*AA72+(1-EXP(-LN(2)/25))/(LN(2)/25)*Calculateur!V73*Calculateur!X73*VLOOKUP('Données projet'!$B$9,Paramètres!$A$1:$I$89,3,0)*0.475*44/12</f>
        <v>3.208953075750776</v>
      </c>
      <c r="AB73" s="21">
        <f>EXP(-LN(2)/2)*AB72+(1-EXP(-LN(2)/2))/(LN(2)/2)*V73*Y73*VLOOKUP('Données projet'!$B$9,Paramètres!$A$1:$I$89,3,0)*0.475*44/12</f>
        <v>5.4631453680417781E-7</v>
      </c>
      <c r="AC73" s="22">
        <f t="shared" si="57"/>
        <v>25.549852662616924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36.107759999999992</v>
      </c>
      <c r="D74" s="11">
        <f t="shared" si="86"/>
        <v>10.960942722937094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363.3373543524969</v>
      </c>
      <c r="H74" s="67">
        <f t="shared" si="56"/>
        <v>375.3113239091154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92.49458233028173</v>
      </c>
      <c r="T74" s="59">
        <f t="shared" si="88"/>
        <v>260.65744386159963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21.902807636969293</v>
      </c>
      <c r="AA74" s="21">
        <f>EXP(-LN(2)/25)*AA73+(1-EXP(-LN(2)/25))/(LN(2)/25)*Calculateur!V74*Calculateur!X74*VLOOKUP('Données projet'!$B$9,Paramètres!$A$1:$I$89,3,0)*0.475*44/12</f>
        <v>3.1212040851428631</v>
      </c>
      <c r="AB74" s="21">
        <f>EXP(-LN(2)/2)*AB73+(1-EXP(-LN(2)/2))/(LN(2)/2)*V74*Y74*VLOOKUP('Données projet'!$B$9,Paramètres!$A$1:$I$89,3,0)*0.475*44/12</f>
        <v>3.8630271363502182E-7</v>
      </c>
      <c r="AC74" s="22">
        <f t="shared" si="57"/>
        <v>25.024012108414869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36.616319999999995</v>
      </c>
      <c r="D75" s="11">
        <f t="shared" si="86"/>
        <v>11.097241191230706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368.31520919546506</v>
      </c>
      <c r="H75" s="67">
        <f t="shared" si="56"/>
        <v>376.43445240806011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92.49458233028173</v>
      </c>
      <c r="T75" s="59">
        <f t="shared" si="88"/>
        <v>260.65744386159963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21.473306938601851</v>
      </c>
      <c r="AA75" s="21">
        <f>EXP(-LN(2)/25)*AA74+(1-EXP(-LN(2)/25))/(LN(2)/25)*Calculateur!V75*Calculateur!X75*VLOOKUP('Données projet'!$B$9,Paramètres!$A$1:$I$89,3,0)*0.475*44/12</f>
        <v>3.0358545952976423</v>
      </c>
      <c r="AB75" s="21">
        <f>EXP(-LN(2)/2)*AB74+(1-EXP(-LN(2)/2))/(LN(2)/2)*V75*Y75*VLOOKUP('Données projet'!$B$9,Paramètres!$A$1:$I$89,3,0)*0.475*44/12</f>
        <v>2.731572684020889E-7</v>
      </c>
      <c r="AC75" s="22">
        <f t="shared" si="57"/>
        <v>24.509161807056763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37.124879999999997</v>
      </c>
      <c r="D76" s="11">
        <f t="shared" si="86"/>
        <v>11.23331948086849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373.29136441372162</v>
      </c>
      <c r="H76" s="67">
        <f t="shared" si="56"/>
        <v>377.55719742917927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92.49458233028173</v>
      </c>
      <c r="T76" s="59">
        <f t="shared" si="88"/>
        <v>260.65744386159963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21.052228486959837</v>
      </c>
      <c r="AA76" s="21">
        <f>EXP(-LN(2)/25)*AA75+(1-EXP(-LN(2)/25))/(LN(2)/25)*Calculateur!V76*Calculateur!X76*VLOOKUP('Données projet'!$B$9,Paramètres!$A$1:$I$89,3,0)*0.475*44/12</f>
        <v>2.9528389917405735</v>
      </c>
      <c r="AB76" s="21">
        <f>EXP(-LN(2)/2)*AB75+(1-EXP(-LN(2)/2))/(LN(2)/2)*V76*Y76*VLOOKUP('Données projet'!$B$9,Paramètres!$A$1:$I$89,3,0)*0.475*44/12</f>
        <v>1.9315135681751091E-7</v>
      </c>
      <c r="AC76" s="22">
        <f t="shared" si="57"/>
        <v>24.005067671851769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37.63344</v>
      </c>
      <c r="D77" s="11">
        <f t="shared" si="86"/>
        <v>11.369180956604445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378.26584598080626</v>
      </c>
      <c r="H77" s="67">
        <f t="shared" si="56"/>
        <v>378.6795648327527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92.49458233028173</v>
      </c>
      <c r="T77" s="59">
        <f t="shared" si="88"/>
        <v>260.65744386159963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20.63940712692203</v>
      </c>
      <c r="AA77" s="21">
        <f>EXP(-LN(2)/25)*AA76+(1-EXP(-LN(2)/25))/(LN(2)/25)*Calculateur!V77*Calculateur!X77*VLOOKUP('Données projet'!$B$9,Paramètres!$A$1:$I$89,3,0)*0.475*44/12</f>
        <v>2.8720934542283736</v>
      </c>
      <c r="AB77" s="21">
        <f>EXP(-LN(2)/2)*AB76+(1-EXP(-LN(2)/2))/(LN(2)/2)*V77*Y77*VLOOKUP('Données projet'!$B$9,Paramètres!$A$1:$I$89,3,0)*0.475*44/12</f>
        <v>1.3657863420104445E-7</v>
      </c>
      <c r="AC77" s="22">
        <f t="shared" si="57"/>
        <v>23.511500717729039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38.142000000000003</v>
      </c>
      <c r="D78" s="11">
        <f t="shared" si="86"/>
        <v>11.504828887027534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383.2386791279319</v>
      </c>
      <c r="H78" s="67">
        <f t="shared" si="56"/>
        <v>379.80156031157293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92.49458233028173</v>
      </c>
      <c r="T78" s="59">
        <f t="shared" si="88"/>
        <v>260.65744386159963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20.234680941958395</v>
      </c>
      <c r="AA78" s="21">
        <f>EXP(-LN(2)/25)*AA77+(1-EXP(-LN(2)/25))/(LN(2)/25)*Calculateur!V78*Calculateur!X78*VLOOKUP('Données projet'!$B$9,Paramètres!$A$1:$I$89,3,0)*0.475*44/12</f>
        <v>2.7935559076856684</v>
      </c>
      <c r="AB78" s="21">
        <f>EXP(-LN(2)/2)*AB77+(1-EXP(-LN(2)/2))/(LN(2)/2)*V78*Y78*VLOOKUP('Données projet'!$B$9,Paramètres!$A$1:$I$89,3,0)*0.475*44/12</f>
        <v>9.6575678408755456E-8</v>
      </c>
      <c r="AC78" s="22">
        <f t="shared" si="57"/>
        <v>23.028236946219742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38.650560000000006</v>
      </c>
      <c r="D79" s="11">
        <f t="shared" si="86"/>
        <v>11.640266448554888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388.20988837480974</v>
      </c>
      <c r="H79" s="67">
        <f t="shared" si="56"/>
        <v>380.92318939789976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92.49458233028173</v>
      </c>
      <c r="T79" s="59">
        <f t="shared" si="88"/>
        <v>260.65744386159963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19.837891190623299</v>
      </c>
      <c r="AA79" s="21">
        <f>EXP(-LN(2)/25)*AA78+(1-EXP(-LN(2)/25))/(LN(2)/25)*Calculateur!V79*Calculateur!X79*VLOOKUP('Données projet'!$B$9,Paramètres!$A$1:$I$89,3,0)*0.475*44/12</f>
        <v>2.7171659744832835</v>
      </c>
      <c r="AB79" s="21">
        <f>EXP(-LN(2)/2)*AB78+(1-EXP(-LN(2)/2))/(LN(2)/2)*V79*Y79*VLOOKUP('Données projet'!$B$9,Paramètres!$A$1:$I$89,3,0)*0.475*44/12</f>
        <v>6.8289317100522226E-8</v>
      </c>
      <c r="AC79" s="22">
        <f t="shared" si="57"/>
        <v>22.5550572333959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39.159120000000009</v>
      </c>
      <c r="D80" s="11">
        <f t="shared" si="86"/>
        <v>11.775496729208891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393.17949755880551</v>
      </c>
      <c r="H80" s="67">
        <f t="shared" si="56"/>
        <v>382.04445747003882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92.49458233028173</v>
      </c>
      <c r="T80" s="59">
        <f t="shared" si="88"/>
        <v>260.65744386159963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19.448882244294033</v>
      </c>
      <c r="AA80" s="21">
        <f>EXP(-LN(2)/25)*AA79+(1-EXP(-LN(2)/25))/(LN(2)/25)*Calculateur!V80*Calculateur!X80*VLOOKUP('Données projet'!$B$9,Paramètres!$A$1:$I$89,3,0)*0.475*44/12</f>
        <v>2.6428649280214898</v>
      </c>
      <c r="AB80" s="21">
        <f>EXP(-LN(2)/2)*AB79+(1-EXP(-LN(2)/2))/(LN(2)/2)*V80*Y80*VLOOKUP('Données projet'!$B$9,Paramètres!$A$1:$I$89,3,0)*0.475*44/12</f>
        <v>4.8287839204377728E-8</v>
      </c>
      <c r="AC80" s="22">
        <f t="shared" si="57"/>
        <v>22.091747220603359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39.667680000000011</v>
      </c>
      <c r="D81" s="11">
        <f t="shared" si="86"/>
        <v>11.910522732192447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398.14752986253831</v>
      </c>
      <c r="H81" s="67">
        <f t="shared" si="56"/>
        <v>383.16536975856849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92.49458233028173</v>
      </c>
      <c r="T81" s="59">
        <f t="shared" si="88"/>
        <v>260.65744386159963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19.067501526130258</v>
      </c>
      <c r="AA81" s="21">
        <f>EXP(-LN(2)/25)*AA80+(1-EXP(-LN(2)/25))/(LN(2)/25)*Calculateur!V81*Calculateur!X81*VLOOKUP('Données projet'!$B$9,Paramètres!$A$1:$I$89,3,0)*0.475*44/12</f>
        <v>2.570595647582516</v>
      </c>
      <c r="AB81" s="21">
        <f>EXP(-LN(2)/2)*AB80+(1-EXP(-LN(2)/2))/(LN(2)/2)*V81*Y81*VLOOKUP('Données projet'!$B$9,Paramètres!$A$1:$I$89,3,0)*0.475*44/12</f>
        <v>3.4144658550261113E-8</v>
      </c>
      <c r="AC81" s="22">
        <f t="shared" si="57"/>
        <v>21.638097207857431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40.176240000000014</v>
      </c>
      <c r="D82" s="11">
        <f t="shared" si="86"/>
        <v>12.045347379275681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403.11400784002291</v>
      </c>
      <c r="H82" s="67">
        <f t="shared" si="56"/>
        <v>384.28593135223849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92.49458233028173</v>
      </c>
      <c r="T82" s="59">
        <f t="shared" si="88"/>
        <v>260.65744386159963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18.693599451230405</v>
      </c>
      <c r="AA82" s="21">
        <f>EXP(-LN(2)/25)*AA81+(1-EXP(-LN(2)/25))/(LN(2)/25)*Calculateur!V82*Calculateur!X82*VLOOKUP('Données projet'!$B$9,Paramètres!$A$1:$I$89,3,0)*0.475*44/12</f>
        <v>2.5003025744176224</v>
      </c>
      <c r="AB82" s="21">
        <f>EXP(-LN(2)/2)*AB81+(1-EXP(-LN(2)/2))/(LN(2)/2)*V82*Y82*VLOOKUP('Données projet'!$B$9,Paramètres!$A$1:$I$89,3,0)*0.475*44/12</f>
        <v>2.4143919602188864E-8</v>
      </c>
      <c r="AC82" s="22">
        <f t="shared" si="57"/>
        <v>21.193902049791948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40.684800000000017</v>
      </c>
      <c r="D83" s="11">
        <f t="shared" si="86"/>
        <v>12.179973514006278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408.07895344145209</v>
      </c>
      <c r="H83" s="67">
        <f t="shared" si="56"/>
        <v>385.40614720356092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92.49458233028173</v>
      </c>
      <c r="T83" s="59">
        <f t="shared" si="88"/>
        <v>260.65744386159963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18.32702936796159</v>
      </c>
      <c r="AA83" s="21">
        <f>EXP(-LN(2)/25)*AA82+(1-EXP(-LN(2)/25))/(LN(2)/25)*Calculateur!V83*Calculateur!X83*VLOOKUP('Données projet'!$B$9,Paramètres!$A$1:$I$89,3,0)*0.475*44/12</f>
        <v>2.4319316690349746</v>
      </c>
      <c r="AB83" s="21">
        <f>EXP(-LN(2)/2)*AB82+(1-EXP(-LN(2)/2))/(LN(2)/2)*V83*Y83*VLOOKUP('Données projet'!$B$9,Paramètres!$A$1:$I$89,3,0)*0.475*44/12</f>
        <v>1.7072329275130556E-8</v>
      </c>
      <c r="AC83" s="22">
        <f t="shared" si="57"/>
        <v>20.758961054068891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41.19336000000002</v>
      </c>
      <c r="D84" s="11">
        <f t="shared" si="86"/>
        <v>12.314403904754746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413.04238803670347</v>
      </c>
      <c r="H84" s="67">
        <f t="shared" si="56"/>
        <v>386.5260221341145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92.49458233028173</v>
      </c>
      <c r="T84" s="59">
        <f t="shared" si="88"/>
        <v>260.65744386159963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17.967647500440005</v>
      </c>
      <c r="AA84" s="21">
        <f>EXP(-LN(2)/25)*AA83+(1-EXP(-LN(2)/25))/(LN(2)/25)*Calculateur!V84*Calculateur!X84*VLOOKUP('Données projet'!$B$9,Paramètres!$A$1:$I$89,3,0)*0.475*44/12</f>
        <v>2.3654303696554848</v>
      </c>
      <c r="AB84" s="21">
        <f>EXP(-LN(2)/2)*AB83+(1-EXP(-LN(2)/2))/(LN(2)/2)*V84*Y84*VLOOKUP('Données projet'!$B$9,Paramètres!$A$1:$I$89,3,0)*0.475*44/12</f>
        <v>1.2071959801094432E-8</v>
      </c>
      <c r="AC84" s="22">
        <f t="shared" si="57"/>
        <v>20.333077882167451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41.701920000000023</v>
      </c>
      <c r="D85" s="11">
        <f t="shared" si="86"/>
        <v>12.448641247604995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418.00433243765286</v>
      </c>
      <c r="H85" s="67">
        <f t="shared" si="56"/>
        <v>387.64556083957871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92.49458233028173</v>
      </c>
      <c r="T85" s="59">
        <f t="shared" si="88"/>
        <v>260.65744386159963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17.615312892139222</v>
      </c>
      <c r="AA85" s="21">
        <f>EXP(-LN(2)/25)*AA84+(1-EXP(-LN(2)/25))/(LN(2)/25)*Calculateur!V85*Calculateur!X85*VLOOKUP('Données projet'!$B$9,Paramètres!$A$1:$I$89,3,0)*0.475*44/12</f>
        <v>2.3007475518046787</v>
      </c>
      <c r="AB85" s="21">
        <f>EXP(-LN(2)/2)*AB84+(1-EXP(-LN(2)/2))/(LN(2)/2)*V85*Y85*VLOOKUP('Données projet'!$B$9,Paramètres!$A$1:$I$89,3,0)*0.475*44/12</f>
        <v>8.5361646375652782E-9</v>
      </c>
      <c r="AC85" s="22">
        <f t="shared" si="57"/>
        <v>19.916060452480068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42.210480000000025</v>
      </c>
      <c r="D86" s="11">
        <f t="shared" si="86"/>
        <v>12.582688169099891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422.96480691936773</v>
      </c>
      <c r="H86" s="67">
        <f t="shared" si="56"/>
        <v>388.76476789451567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92.49458233028173</v>
      </c>
      <c r="T86" s="59">
        <f t="shared" si="88"/>
        <v>260.65744386159963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17.269887350604328</v>
      </c>
      <c r="AA86" s="21">
        <f>EXP(-LN(2)/25)*AA85+(1-EXP(-LN(2)/25))/(LN(2)/25)*Calculateur!V86*Calculateur!X86*VLOOKUP('Données projet'!$B$9,Paramètres!$A$1:$I$89,3,0)*0.475*44/12</f>
        <v>2.2378334890095246</v>
      </c>
      <c r="AB86" s="21">
        <f>EXP(-LN(2)/2)*AB85+(1-EXP(-LN(2)/2))/(LN(2)/2)*V86*Y86*VLOOKUP('Données projet'!$B$9,Paramètres!$A$1:$I$89,3,0)*0.475*44/12</f>
        <v>6.035979900547216E-9</v>
      </c>
      <c r="AC86" s="22">
        <f t="shared" si="57"/>
        <v>19.507720845649832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42.719040000000028</v>
      </c>
      <c r="D87" s="11">
        <f t="shared" si="86"/>
        <v>12.716547228850759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427.92383124025167</v>
      </c>
      <c r="H87" s="67">
        <f t="shared" si="56"/>
        <v>389.88364775691508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92.49458233028173</v>
      </c>
      <c r="T87" s="59">
        <f t="shared" si="88"/>
        <v>260.65744386159963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16.931235393250155</v>
      </c>
      <c r="AA87" s="21">
        <f>EXP(-LN(2)/25)*AA86+(1-EXP(-LN(2)/25))/(LN(2)/25)*Calculateur!V87*Calculateur!X87*VLOOKUP('Données projet'!$B$9,Paramètres!$A$1:$I$89,3,0)*0.475*44/12</f>
        <v>2.1766398145700108</v>
      </c>
      <c r="AB87" s="21">
        <f>EXP(-LN(2)/2)*AB86+(1-EXP(-LN(2)/2))/(LN(2)/2)*V87*Y87*VLOOKUP('Données projet'!$B$9,Paramètres!$A$1:$I$89,3,0)*0.475*44/12</f>
        <v>4.2680823187826391E-9</v>
      </c>
      <c r="AC87" s="22">
        <f t="shared" si="57"/>
        <v>19.107875212088246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43.227600000000031</v>
      </c>
      <c r="D88" s="11">
        <f t="shared" si="86"/>
        <v>12.850220922019037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432.88142466119984</v>
      </c>
      <c r="H88" s="67">
        <f t="shared" si="56"/>
        <v>391.00220477251651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92.49458233028173</v>
      </c>
      <c r="T88" s="59">
        <f t="shared" si="88"/>
        <v>260.65744386159963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16.599224194222401</v>
      </c>
      <c r="AA88" s="21">
        <f>EXP(-LN(2)/25)*AA87+(1-EXP(-LN(2)/25))/(LN(2)/25)*Calculateur!V88*Calculateur!X88*VLOOKUP('Données projet'!$B$9,Paramètres!$A$1:$I$89,3,0)*0.475*44/12</f>
        <v>2.1171194843760808</v>
      </c>
      <c r="AB88" s="21">
        <f>EXP(-LN(2)/2)*AB87+(1-EXP(-LN(2)/2))/(LN(2)/2)*V88*Y88*VLOOKUP('Données projet'!$B$9,Paramètres!$A$1:$I$89,3,0)*0.475*44/12</f>
        <v>3.017989950273608E-9</v>
      </c>
      <c r="AC88" s="22">
        <f t="shared" si="57"/>
        <v>18.716343681616472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43.736160000000034</v>
      </c>
      <c r="D89" s="11">
        <f t="shared" si="86"/>
        <v>12.983711681677836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437.83760596382922</v>
      </c>
      <c r="H89" s="67">
        <f t="shared" si="56"/>
        <v>392.1204431789223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92.49458233028173</v>
      </c>
      <c r="T89" s="59">
        <f t="shared" si="88"/>
        <v>260.65744386159963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16.273723532300746</v>
      </c>
      <c r="AA89" s="21">
        <f>EXP(-LN(2)/25)*AA88+(1-EXP(-LN(2)/25))/(LN(2)/25)*Calculateur!V89*Calculateur!X89*VLOOKUP('Données projet'!$B$9,Paramètres!$A$1:$I$89,3,0)*0.475*44/12</f>
        <v>2.0592267407413418</v>
      </c>
      <c r="AB89" s="21">
        <f>EXP(-LN(2)/2)*AB88+(1-EXP(-LN(2)/2))/(LN(2)/2)*V89*Y89*VLOOKUP('Données projet'!$B$9,Paramètres!$A$1:$I$89,3,0)*0.475*44/12</f>
        <v>2.1340411593913196E-9</v>
      </c>
      <c r="AC89" s="22">
        <f t="shared" si="57"/>
        <v>18.332950275176128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44.244720000000036</v>
      </c>
      <c r="D90" s="11">
        <f t="shared" si="86"/>
        <v>13.117021881060507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442.79239346783584</v>
      </c>
      <c r="H90" s="67">
        <f t="shared" si="56"/>
        <v>393.23836710951377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92.49458233028173</v>
      </c>
      <c r="T90" s="59">
        <f t="shared" si="88"/>
        <v>260.65744386159963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15.954605739823572</v>
      </c>
      <c r="AA90" s="21">
        <f>EXP(-LN(2)/25)*AA89+(1-EXP(-LN(2)/25))/(LN(2)/25)*Calculateur!V90*Calculateur!X90*VLOOKUP('Données projet'!$B$9,Paramètres!$A$1:$I$89,3,0)*0.475*44/12</f>
        <v>2.0029170772257419</v>
      </c>
      <c r="AB90" s="21">
        <f>EXP(-LN(2)/2)*AB89+(1-EXP(-LN(2)/2))/(LN(2)/2)*V90*Y90*VLOOKUP('Données projet'!$B$9,Paramètres!$A$1:$I$89,3,0)*0.475*44/12</f>
        <v>1.508994975136804E-9</v>
      </c>
      <c r="AC90" s="22">
        <f t="shared" si="57"/>
        <v>17.957522818558306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44.753280000000039</v>
      </c>
      <c r="D91" s="11">
        <f t="shared" si="86"/>
        <v>13.250153835702934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447.74580504753175</v>
      </c>
      <c r="H91" s="67">
        <f t="shared" si="56"/>
        <v>394.35598059718262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92.49458233028173</v>
      </c>
      <c r="T91" s="59">
        <f t="shared" si="88"/>
        <v>260.65744386159963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15.641745652614242</v>
      </c>
      <c r="AA91" s="21">
        <f>EXP(-LN(2)/25)*AA90+(1-EXP(-LN(2)/25))/(LN(2)/25)*Calculateur!V91*Calculateur!X91*VLOOKUP('Données projet'!$B$9,Paramètres!$A$1:$I$89,3,0)*0.475*44/12</f>
        <v>1.9481472044201726</v>
      </c>
      <c r="AB91" s="21">
        <f>EXP(-LN(2)/2)*AB90+(1-EXP(-LN(2)/2))/(LN(2)/2)*V91*Y91*VLOOKUP('Données projet'!$B$9,Paramètres!$A$1:$I$89,3,0)*0.475*44/12</f>
        <v>1.0670205796956598E-9</v>
      </c>
      <c r="AC91" s="22">
        <f t="shared" si="57"/>
        <v>17.589892858101436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45.261840000000042</v>
      </c>
      <c r="D92" s="11">
        <f t="shared" si="86"/>
        <v>13.383109805485626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452.69785814760866</v>
      </c>
      <c r="H92" s="67">
        <f t="shared" si="56"/>
        <v>395.4732875778875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92.49458233028173</v>
      </c>
      <c r="T92" s="59">
        <f t="shared" si="88"/>
        <v>260.65744386159963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15.335020560889276</v>
      </c>
      <c r="AA92" s="21">
        <f>EXP(-LN(2)/25)*AA91+(1-EXP(-LN(2)/25))/(LN(2)/25)*Calculateur!V92*Calculateur!X92*VLOOKUP('Données projet'!$B$9,Paramètres!$A$1:$I$89,3,0)*0.475*44/12</f>
        <v>1.8948750166666941</v>
      </c>
      <c r="AB92" s="21">
        <f>EXP(-LN(2)/2)*AB91+(1-EXP(-LN(2)/2))/(LN(2)/2)*V92*Y92*VLOOKUP('Données projet'!$B$9,Paramètres!$A$1:$I$89,3,0)*0.475*44/12</f>
        <v>7.54497487568402E-10</v>
      </c>
      <c r="AC92" s="22">
        <f t="shared" si="57"/>
        <v>17.229895578310469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45.770400000000045</v>
      </c>
      <c r="D93" s="11">
        <f t="shared" si="86"/>
        <v>13.515891996581377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457.64856979817245</v>
      </c>
      <c r="H93" s="67">
        <f t="shared" si="56"/>
        <v>396.59029189404595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92.49458233028173</v>
      </c>
      <c r="T93" s="59">
        <f t="shared" si="88"/>
        <v>260.65744386159963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15.034310161129204</v>
      </c>
      <c r="AA93" s="21">
        <f>EXP(-LN(2)/25)*AA92+(1-EXP(-LN(2)/25))/(LN(2)/25)*Calculateur!V93*Calculateur!X93*VLOOKUP('Données projet'!$B$9,Paramètres!$A$1:$I$89,3,0)*0.475*44/12</f>
        <v>1.8430595596887971</v>
      </c>
      <c r="AB93" s="21">
        <f>EXP(-LN(2)/2)*AB92+(1-EXP(-LN(2)/2))/(LN(2)/2)*V93*Y93*VLOOKUP('Données projet'!$B$9,Paramètres!$A$1:$I$89,3,0)*0.475*44/12</f>
        <v>5.3351028984782989E-10</v>
      </c>
      <c r="AC93" s="22">
        <f t="shared" si="57"/>
        <v>16.877369721351513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46.278960000000048</v>
      </c>
      <c r="D94" s="11">
        <f t="shared" si="86"/>
        <v>13.648502563313988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462.59795662909079</v>
      </c>
      <c r="H94" s="67">
        <f t="shared" si="56"/>
        <v>397.70699729777192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92.49458233028173</v>
      </c>
      <c r="T94" s="59">
        <f t="shared" si="88"/>
        <v>260.65744386159963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14.739496508893193</v>
      </c>
      <c r="AA94" s="21">
        <f>EXP(-LN(2)/25)*AA93+(1-EXP(-LN(2)/25))/(LN(2)/25)*Calculateur!V94*Calculateur!X94*VLOOKUP('Données projet'!$B$9,Paramètres!$A$1:$I$89,3,0)*0.475*44/12</f>
        <v>1.792660999106817</v>
      </c>
      <c r="AB94" s="21">
        <f>EXP(-LN(2)/2)*AB93+(1-EXP(-LN(2)/2))/(LN(2)/2)*V94*Y94*VLOOKUP('Données projet'!$B$9,Paramètres!$A$1:$I$89,3,0)*0.475*44/12</f>
        <v>3.77248743784201E-10</v>
      </c>
      <c r="AC94" s="22">
        <f t="shared" si="57"/>
        <v>16.53215750837726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46.78752000000005</v>
      </c>
      <c r="D95" s="11">
        <f t="shared" si="86"/>
        <v>13.780943609932871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467.54603488369276</v>
      </c>
      <c r="H95" s="67">
        <f t="shared" si="56"/>
        <v>398.82340745396647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92.49458233028173</v>
      </c>
      <c r="T95" s="59">
        <f t="shared" si="88"/>
        <v>260.65744386159963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14.450463972558959</v>
      </c>
      <c r="AA95" s="21">
        <f>EXP(-LN(2)/25)*AA94+(1-EXP(-LN(2)/25))/(LN(2)/25)*Calculateur!V95*Calculateur!X95*VLOOKUP('Données projet'!$B$9,Paramètres!$A$1:$I$89,3,0)*0.475*44/12</f>
        <v>1.7436405898142964</v>
      </c>
      <c r="AB95" s="21">
        <f>EXP(-LN(2)/2)*AB94+(1-EXP(-LN(2)/2))/(LN(2)/2)*V95*Y95*VLOOKUP('Données projet'!$B$9,Paramètres!$A$1:$I$89,3,0)*0.475*44/12</f>
        <v>2.6675514492391495E-10</v>
      </c>
      <c r="AC95" s="22">
        <f t="shared" si="57"/>
        <v>16.19410456264001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47.296080000000053</v>
      </c>
      <c r="D96" s="11">
        <f t="shared" si="86"/>
        <v>13.913217192308331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472.49282043185423</v>
      </c>
      <c r="H96" s="67">
        <f t="shared" si="56"/>
        <v>399.93952594327038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92.49458233028173</v>
      </c>
      <c r="T96" s="59">
        <f t="shared" si="88"/>
        <v>260.65744386159963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14.1670991879698</v>
      </c>
      <c r="AA96" s="21">
        <f>EXP(-LN(2)/25)*AA95+(1-EXP(-LN(2)/25))/(LN(2)/25)*Calculateur!V96*Calculateur!X96*VLOOKUP('Données projet'!$B$9,Paramètres!$A$1:$I$89,3,0)*0.475*44/12</f>
        <v>1.6959606461917509</v>
      </c>
      <c r="AB96" s="21">
        <f>EXP(-LN(2)/2)*AB95+(1-EXP(-LN(2)/2))/(LN(2)/2)*V96*Y96*VLOOKUP('Données projet'!$B$9,Paramètres!$A$1:$I$89,3,0)*0.475*44/12</f>
        <v>1.886243718921005E-10</v>
      </c>
      <c r="AC96" s="22">
        <f t="shared" si="57"/>
        <v>15.863059834350175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47.804640000000056</v>
      </c>
      <c r="D97" s="11">
        <f t="shared" si="86"/>
        <v>14.045325319551834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477.43832878250583</v>
      </c>
      <c r="H97" s="67">
        <f t="shared" si="56"/>
        <v>401.0553562648862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92.49458233028173</v>
      </c>
      <c r="T97" s="59">
        <f t="shared" si="88"/>
        <v>260.65744386159963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13.889291013970981</v>
      </c>
      <c r="AA97" s="21">
        <f>EXP(-LN(2)/25)*AA96+(1-EXP(-LN(2)/25))/(LN(2)/25)*Calculateur!V97*Calculateur!X97*VLOOKUP('Données projet'!$B$9,Paramètres!$A$1:$I$89,3,0)*0.475*44/12</f>
        <v>1.6495845131349434</v>
      </c>
      <c r="AB97" s="21">
        <f>EXP(-LN(2)/2)*AB96+(1-EXP(-LN(2)/2))/(LN(2)/2)*V97*Y97*VLOOKUP('Données projet'!$B$9,Paramètres!$A$1:$I$89,3,0)*0.475*44/12</f>
        <v>1.3337757246195747E-10</v>
      </c>
      <c r="AC97" s="22">
        <f t="shared" si="57"/>
        <v>15.538875527239302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48.313200000000059</v>
      </c>
      <c r="D98" s="11">
        <f t="shared" si="86"/>
        <v>14.177269955565388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482.38257509559298</v>
      </c>
      <c r="H98" s="67">
        <f t="shared" si="56"/>
        <v>402.17090183927644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92.49458233028173</v>
      </c>
      <c r="T98" s="59">
        <f t="shared" si="88"/>
        <v>260.65744386159963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13.616930488818024</v>
      </c>
      <c r="AA98" s="21">
        <f>EXP(-LN(2)/25)*AA97+(1-EXP(-LN(2)/25))/(LN(2)/25)*Calculateur!V98*Calculateur!X98*VLOOKUP('Données projet'!$B$9,Paramètres!$A$1:$I$89,3,0)*0.475*44/12</f>
        <v>1.6044765378753889</v>
      </c>
      <c r="AB98" s="21">
        <f>EXP(-LN(2)/2)*AB97+(1-EXP(-LN(2)/2))/(LN(2)/2)*V98*Y98*VLOOKUP('Données projet'!$B$9,Paramètres!$A$1:$I$89,3,0)*0.475*44/12</f>
        <v>9.431218594605025E-11</v>
      </c>
      <c r="AC98" s="22">
        <f t="shared" si="57"/>
        <v>15.221407026787725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48.821760000000062</v>
      </c>
      <c r="D99" s="11">
        <f t="shared" si="86"/>
        <v>14.309053020523784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487.32557419351741</v>
      </c>
      <c r="H99" s="67">
        <f t="shared" si="56"/>
        <v>403.28616601074566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92.49458233028173</v>
      </c>
      <c r="T99" s="59">
        <f t="shared" si="88"/>
        <v>260.65744386159963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13.3499107874398</v>
      </c>
      <c r="AA99" s="21">
        <f>EXP(-LN(2)/25)*AA98+(1-EXP(-LN(2)/25))/(LN(2)/25)*Calculateur!V99*Calculateur!X99*VLOOKUP('Données projet'!$B$9,Paramètres!$A$1:$I$89,3,0)*0.475*44/12</f>
        <v>1.5606020425714324</v>
      </c>
      <c r="AB99" s="21">
        <f>EXP(-LN(2)/2)*AB98+(1-EXP(-LN(2)/2))/(LN(2)/2)*V99*Y99*VLOOKUP('Données projet'!$B$9,Paramètres!$A$1:$I$89,3,0)*0.475*44/12</f>
        <v>6.6688786230978736E-11</v>
      </c>
      <c r="AC99" s="22">
        <f t="shared" si="57"/>
        <v>14.91051283007792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49.330320000000064</v>
      </c>
      <c r="D100" s="11">
        <f t="shared" si="86"/>
        <v>14.440676392293357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492.26734057208955</v>
      </c>
      <c r="H100" s="67">
        <f t="shared" si="56"/>
        <v>404.40115204991105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92.49458233028173</v>
      </c>
      <c r="T100" s="59">
        <f t="shared" si="88"/>
        <v>260.65744386159963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13.088127179539667</v>
      </c>
      <c r="AA100" s="21">
        <f>EXP(-LN(2)/25)*AA99+(1-EXP(-LN(2)/25))/(LN(2)/25)*Calculateur!V100*Calculateur!X100*VLOOKUP('Données projet'!$B$9,Paramètres!$A$1:$I$89,3,0)*0.475*44/12</f>
        <v>1.5179272976488221</v>
      </c>
      <c r="AB100" s="21">
        <f>EXP(-LN(2)/2)*AB99+(1-EXP(-LN(2)/2))/(LN(2)/2)*V100*Y100*VLOOKUP('Données projet'!$B$9,Paramètres!$A$1:$I$89,3,0)*0.475*44/12</f>
        <v>4.7156092973025125E-11</v>
      </c>
      <c r="AC100" s="22">
        <f t="shared" si="57"/>
        <v>14.606054477235645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49.838880000000067</v>
      </c>
      <c r="D101" s="11">
        <f t="shared" si="86"/>
        <v>14.572141907790501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497.20788841101495</v>
      </c>
      <c r="H101" s="67">
        <f t="shared" si="56"/>
        <v>405.51586315606858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92.49458233028173</v>
      </c>
      <c r="T101" s="59">
        <f t="shared" si="88"/>
        <v>260.65744386159963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12.83147698851822</v>
      </c>
      <c r="AA101" s="21">
        <f>EXP(-LN(2)/25)*AA100+(1-EXP(-LN(2)/25))/(LN(2)/25)*Calculateur!V101*Calculateur!X101*VLOOKUP('Données projet'!$B$9,Paramètres!$A$1:$I$89,3,0)*0.475*44/12</f>
        <v>1.4764194958702876</v>
      </c>
      <c r="AB101" s="21">
        <f>EXP(-LN(2)/2)*AB100+(1-EXP(-LN(2)/2))/(LN(2)/2)*V101*Y101*VLOOKUP('Données projet'!$B$9,Paramètres!$A$1:$I$89,3,0)*0.475*44/12</f>
        <v>3.3344393115489368E-11</v>
      </c>
      <c r="AC101" s="22">
        <f t="shared" si="57"/>
        <v>14.307896484421851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50.34744000000007</v>
      </c>
      <c r="D102" s="11">
        <f t="shared" si="86"/>
        <v>14.703451364283247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502.14723158394139</v>
      </c>
      <c r="H102" s="67">
        <f t="shared" si="56"/>
        <v>406.6303024594601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92.49458233028173</v>
      </c>
      <c r="T102" s="59">
        <f t="shared" si="88"/>
        <v>260.65744386159963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12.579859551201546</v>
      </c>
      <c r="AA102" s="21">
        <f>EXP(-LN(2)/25)*AA101+(1-EXP(-LN(2)/25))/(LN(2)/25)*Calculateur!V102*Calculateur!X102*VLOOKUP('Données projet'!$B$9,Paramètres!$A$1:$I$89,3,0)*0.475*44/12</f>
        <v>1.4360467271141877</v>
      </c>
      <c r="AB102" s="21">
        <f>EXP(-LN(2)/2)*AB101+(1-EXP(-LN(2)/2))/(LN(2)/2)*V102*Y102*VLOOKUP('Données projet'!$B$9,Paramètres!$A$1:$I$89,3,0)*0.475*44/12</f>
        <v>2.3578046486512563E-11</v>
      </c>
      <c r="AC102" s="22">
        <f t="shared" si="57"/>
        <v>14.01590627833931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50.856000000000073</v>
      </c>
      <c r="D103" s="11">
        <f t="shared" si="86"/>
        <v>14.83460652063863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507.0853836680883</v>
      </c>
      <c r="H103" s="67">
        <f t="shared" si="56"/>
        <v>407.74447302344572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92.49458233028173</v>
      </c>
      <c r="T103" s="59">
        <f t="shared" si="88"/>
        <v>260.65744386159963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12.333176178359167</v>
      </c>
      <c r="AA103" s="21">
        <f>EXP(-LN(2)/25)*AA102+(1-EXP(-LN(2)/25))/(LN(2)/25)*Calculateur!V103*Calculateur!X103*VLOOKUP('Données projet'!$B$9,Paramètres!$A$1:$I$89,3,0)*0.475*44/12</f>
        <v>1.3967779538428349</v>
      </c>
      <c r="AB103" s="21">
        <f>EXP(-LN(2)/2)*AB102+(1-EXP(-LN(2)/2))/(LN(2)/2)*V103*Y103*VLOOKUP('Données projet'!$B$9,Paramètres!$A$1:$I$89,3,0)*0.475*44/12</f>
        <v>1.6672196557744684E-11</v>
      </c>
      <c r="AC103" s="22">
        <f t="shared" si="57"/>
        <v>13.729954132218674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51.364560000000075</v>
      </c>
      <c r="D104" s="11">
        <f t="shared" si="86"/>
        <v>14.965609098518881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512.02235795347963</v>
      </c>
      <c r="H104" s="67">
        <f t="shared" si="56"/>
        <v>408.85837784658713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92.49458233028173</v>
      </c>
      <c r="T104" s="59">
        <f t="shared" si="88"/>
        <v>260.65744386159963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12.091330115996229</v>
      </c>
      <c r="AA104" s="21">
        <f>EXP(-LN(2)/25)*AA103+(1-EXP(-LN(2)/25))/(LN(2)/25)*Calculateur!V104*Calculateur!X104*VLOOKUP('Données projet'!$B$9,Paramètres!$A$1:$I$89,3,0)*0.475*44/12</f>
        <v>1.3585829872416424</v>
      </c>
      <c r="AB104" s="21">
        <f>EXP(-LN(2)/2)*AB103+(1-EXP(-LN(2)/2))/(LN(2)/2)*V104*Y104*VLOOKUP('Données projet'!$B$9,Paramètres!$A$1:$I$89,3,0)*0.475*44/12</f>
        <v>1.1789023243256281E-11</v>
      </c>
      <c r="AC104" s="22">
        <f t="shared" si="57"/>
        <v>13.449913103249662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51.873120000000078</v>
      </c>
      <c r="D105" s="11">
        <f t="shared" si="86"/>
        <v>15.096460783528732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516.95816745180139</v>
      </c>
      <c r="H105" s="67">
        <f t="shared" si="56"/>
        <v>409.97201986464597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92.49458233028173</v>
      </c>
      <c r="T105" s="59">
        <f t="shared" si="88"/>
        <v>260.65744386159963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11.854226507404695</v>
      </c>
      <c r="AA105" s="21">
        <f>EXP(-LN(2)/25)*AA104+(1-EXP(-LN(2)/25))/(LN(2)/25)*Calculateur!V105*Calculateur!X105*VLOOKUP('Données projet'!$B$9,Paramètres!$A$1:$I$89,3,0)*0.475*44/12</f>
        <v>1.3214324640107455</v>
      </c>
      <c r="AB105" s="21">
        <f>EXP(-LN(2)/2)*AB104+(1-EXP(-LN(2)/2))/(LN(2)/2)*V105*Y105*VLOOKUP('Données projet'!$B$9,Paramètres!$A$1:$I$89,3,0)*0.475*44/12</f>
        <v>8.336098278872342E-12</v>
      </c>
      <c r="AC105" s="22">
        <f t="shared" si="57"/>
        <v>13.175658971423777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52.381680000000081</v>
      </c>
      <c r="D106" s="11">
        <f t="shared" si="86"/>
        <v>15.227163226316589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521.89282490490064</v>
      </c>
      <c r="H106" s="67">
        <f t="shared" si="56"/>
        <v>411.08540195250151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92.49458233028173</v>
      </c>
      <c r="T106" s="59">
        <f t="shared" si="88"/>
        <v>260.65744386159963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11.621772355958718</v>
      </c>
      <c r="AA106" s="21">
        <f>EXP(-LN(2)/25)*AA105+(1-EXP(-LN(2)/25))/(LN(2)/25)*Calculateur!V106*Calculateur!X106*VLOOKUP('Données projet'!$B$9,Paramètres!$A$1:$I$89,3,0)*0.475*44/12</f>
        <v>1.2852978237912587</v>
      </c>
      <c r="AB106" s="21">
        <f>EXP(-LN(2)/2)*AB105+(1-EXP(-LN(2)/2))/(LN(2)/2)*V106*Y106*VLOOKUP('Données projet'!$B$9,Paramètres!$A$1:$I$89,3,0)*0.475*44/12</f>
        <v>5.8945116216281406E-12</v>
      </c>
      <c r="AC106" s="22">
        <f t="shared" si="57"/>
        <v>12.907070179755872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52.890240000000084</v>
      </c>
      <c r="D107" s="11">
        <f t="shared" si="86"/>
        <v>15.357718043631591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526.82634279294632</v>
      </c>
      <c r="H107" s="67">
        <f t="shared" si="56"/>
        <v>412.19852692599181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92.49458233028173</v>
      </c>
      <c r="T107" s="59">
        <f t="shared" si="88"/>
        <v>260.65744386159963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11.393876488639567</v>
      </c>
      <c r="AA107" s="21">
        <f>EXP(-LN(2)/25)*AA106+(1-EXP(-LN(2)/25))/(LN(2)/25)*Calculateur!V107*Calculateur!X107*VLOOKUP('Données projet'!$B$9,Paramètres!$A$1:$I$89,3,0)*0.475*44/12</f>
        <v>1.2501512872088116</v>
      </c>
      <c r="AB107" s="21">
        <f>EXP(-LN(2)/2)*AB106+(1-EXP(-LN(2)/2))/(LN(2)/2)*V107*Y107*VLOOKUP('Données projet'!$B$9,Paramètres!$A$1:$I$89,3,0)*0.475*44/12</f>
        <v>4.168049139436171E-12</v>
      </c>
      <c r="AC107" s="22">
        <f t="shared" si="57"/>
        <v>12.644027775852546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53.398800000000087</v>
      </c>
      <c r="D108" s="11">
        <f t="shared" si="86"/>
        <v>15.488126819338939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531.75873334226617</v>
      </c>
      <c r="H108" s="67">
        <f t="shared" si="56"/>
        <v>413.31139754368212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92.49458233028173</v>
      </c>
      <c r="T108" s="59">
        <f t="shared" si="88"/>
        <v>260.65744386159963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11.170449520275788</v>
      </c>
      <c r="AA108" s="21">
        <f>EXP(-LN(2)/25)*AA107+(1-EXP(-LN(2)/25))/(LN(2)/25)*Calculateur!V108*Calculateur!X108*VLOOKUP('Données projet'!$B$9,Paramètres!$A$1:$I$89,3,0)*0.475*44/12</f>
        <v>1.2159658345174877</v>
      </c>
      <c r="AB108" s="21">
        <f>EXP(-LN(2)/2)*AB107+(1-EXP(-LN(2)/2))/(LN(2)/2)*V108*Y108*VLOOKUP('Données projet'!$B$9,Paramètres!$A$1:$I$89,3,0)*0.475*44/12</f>
        <v>2.9472558108140703E-12</v>
      </c>
      <c r="AC108" s="22">
        <f t="shared" si="57"/>
        <v>12.386415354796222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53.907360000000089</v>
      </c>
      <c r="D109" s="11">
        <f t="shared" si="86"/>
        <v>15.618391105395395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536.69000853287741</v>
      </c>
      <c r="H109" s="67">
        <f t="shared" si="56"/>
        <v>414.4240165085638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92.49458233028173</v>
      </c>
      <c r="T109" s="59">
        <f t="shared" si="88"/>
        <v>260.65744386159963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10.95140381848463</v>
      </c>
      <c r="AA109" s="21">
        <f>EXP(-LN(2)/25)*AA108+(1-EXP(-LN(2)/25))/(LN(2)/25)*Calculateur!V109*Calculateur!X109*VLOOKUP('Données projet'!$B$9,Paramètres!$A$1:$I$89,3,0)*0.475*44/12</f>
        <v>1.1827151848277428</v>
      </c>
      <c r="AB109" s="21">
        <f>EXP(-LN(2)/2)*AB108+(1-EXP(-LN(2)/2))/(LN(2)/2)*V109*Y109*VLOOKUP('Données projet'!$B$9,Paramètres!$A$1:$I$89,3,0)*0.475*44/12</f>
        <v>2.0840245697180855E-12</v>
      </c>
      <c r="AC109" s="22">
        <f t="shared" si="57"/>
        <v>12.134119003314456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54.415920000000092</v>
      </c>
      <c r="D110" s="11">
        <f t="shared" si="86"/>
        <v>15.748512422786959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541.62018010572467</v>
      </c>
      <c r="H110" s="67">
        <f t="shared" si="56"/>
        <v>415.53638646968744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92.49458233028173</v>
      </c>
      <c r="T110" s="59">
        <f t="shared" si="88"/>
        <v>260.65744386159963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10.736653469300911</v>
      </c>
      <c r="AA110" s="21">
        <f>EXP(-LN(2)/25)*AA109+(1-EXP(-LN(2)/25))/(LN(2)/25)*Calculateur!V110*Calculateur!X110*VLOOKUP('Données projet'!$B$9,Paramètres!$A$1:$I$89,3,0)*0.475*44/12</f>
        <v>1.1503737759023398</v>
      </c>
      <c r="AB110" s="21">
        <f>EXP(-LN(2)/2)*AB109+(1-EXP(-LN(2)/2))/(LN(2)/2)*V110*Y110*VLOOKUP('Données projet'!$B$9,Paramètres!$A$1:$I$89,3,0)*0.475*44/12</f>
        <v>1.4736279054070352E-12</v>
      </c>
      <c r="AC110" s="22">
        <f t="shared" si="57"/>
        <v>11.887027245204726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54.924480000000095</v>
      </c>
      <c r="D111" s="11">
        <f t="shared" si="86"/>
        <v>15.878492262430417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546.54925956963905</v>
      </c>
      <c r="H111" s="67">
        <f t="shared" si="56"/>
        <v>416.64851002373314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92.49458233028173</v>
      </c>
      <c r="T111" s="59">
        <f t="shared" si="88"/>
        <v>260.65744386159963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10.526114243479904</v>
      </c>
      <c r="AA111" s="21">
        <f>EXP(-LN(2)/25)*AA110+(1-EXP(-LN(2)/25))/(LN(2)/25)*Calculateur!V111*Calculateur!X111*VLOOKUP('Données projet'!$B$9,Paramètres!$A$1:$I$89,3,0)*0.475*44/12</f>
        <v>1.1189167445047628</v>
      </c>
      <c r="AB111" s="21">
        <f>EXP(-LN(2)/2)*AB110+(1-EXP(-LN(2)/2))/(LN(2)/2)*V111*Y111*VLOOKUP('Données projet'!$B$9,Paramètres!$A$1:$I$89,3,0)*0.475*44/12</f>
        <v>1.0420122848590428E-12</v>
      </c>
      <c r="AC111" s="22">
        <f t="shared" si="57"/>
        <v>11.645030987985709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55.433040000000098</v>
      </c>
      <c r="D112" s="11">
        <f t="shared" si="86"/>
        <v>16.008332086040603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551.4772582080335</v>
      </c>
      <c r="H112" s="67">
        <f t="shared" si="56"/>
        <v>417.76038971652088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92.49458233028173</v>
      </c>
      <c r="T112" s="59">
        <f t="shared" si="88"/>
        <v>260.65744386159963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10.319703563461001</v>
      </c>
      <c r="AA112" s="21">
        <f>EXP(-LN(2)/25)*AA111+(1-EXP(-LN(2)/25))/(LN(2)/25)*Calculateur!V112*Calculateur!X112*VLOOKUP('Données projet'!$B$9,Paramètres!$A$1:$I$89,3,0)*0.475*44/12</f>
        <v>1.0883199072850058</v>
      </c>
      <c r="AB112" s="21">
        <f>EXP(-LN(2)/2)*AB111+(1-EXP(-LN(2)/2))/(LN(2)/2)*V112*Y112*VLOOKUP('Données projet'!$B$9,Paramètres!$A$1:$I$89,3,0)*0.475*44/12</f>
        <v>7.3681395270351758E-13</v>
      </c>
      <c r="AC112" s="22">
        <f t="shared" si="57"/>
        <v>11.408023470746745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55.941600000000101</v>
      </c>
      <c r="D113" s="11">
        <f t="shared" si="86"/>
        <v>16.138033326964955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556.40418708534423</v>
      </c>
      <c r="H113" s="67">
        <f t="shared" si="56"/>
        <v>418.87202804446412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92.49458233028173</v>
      </c>
      <c r="T113" s="59">
        <f t="shared" si="88"/>
        <v>260.65744386159963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10.117340470979185</v>
      </c>
      <c r="AA113" s="21">
        <f>EXP(-LN(2)/25)*AA112+(1-EXP(-LN(2)/25))/(LN(2)/25)*Calculateur!V113*Calculateur!X113*VLOOKUP('Données projet'!$B$9,Paramètres!$A$1:$I$89,3,0)*0.475*44/12</f>
        <v>1.0585597421880408</v>
      </c>
      <c r="AB113" s="21">
        <f>EXP(-LN(2)/2)*AB112+(1-EXP(-LN(2)/2))/(LN(2)/2)*V113*Y113*VLOOKUP('Données projet'!$B$9,Paramètres!$A$1:$I$89,3,0)*0.475*44/12</f>
        <v>5.2100614242952138E-13</v>
      </c>
      <c r="AC113" s="22">
        <f t="shared" si="57"/>
        <v>11.175900213167747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56.450160000000103</v>
      </c>
      <c r="D114" s="11">
        <f t="shared" si="86"/>
        <v>16.267597390986701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561.33005705323149</v>
      </c>
      <c r="H114" s="67">
        <f t="shared" si="56"/>
        <v>419.98342745596864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92.49458233028173</v>
      </c>
      <c r="T114" s="59">
        <f t="shared" si="88"/>
        <v>260.65744386159963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9.9189455953116372</v>
      </c>
      <c r="AA114" s="21">
        <f>EXP(-LN(2)/25)*AA113+(1-EXP(-LN(2)/25))/(LN(2)/25)*Calculateur!V114*Calculateur!X114*VLOOKUP('Données projet'!$B$9,Paramètres!$A$1:$I$89,3,0)*0.475*44/12</f>
        <v>1.0296133703706714</v>
      </c>
      <c r="AB114" s="21">
        <f>EXP(-LN(2)/2)*AB113+(1-EXP(-LN(2)/2))/(LN(2)/2)*V114*Y114*VLOOKUP('Données projet'!$B$9,Paramètres!$A$1:$I$89,3,0)*0.475*44/12</f>
        <v>3.6840697635175879E-13</v>
      </c>
      <c r="AC114" s="22">
        <f t="shared" si="57"/>
        <v>10.948558965682677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56.958720000000106</v>
      </c>
      <c r="D115" s="11">
        <f t="shared" si="86"/>
        <v>16.397025657098517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566.25487875655074</v>
      </c>
      <c r="H115" s="67">
        <f t="shared" si="56"/>
        <v>421.09459035278007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92.49458233028173</v>
      </c>
      <c r="T115" s="59">
        <f t="shared" si="88"/>
        <v>260.65744386159963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9.724441122147006</v>
      </c>
      <c r="AA115" s="21">
        <f>EXP(-LN(2)/25)*AA114+(1-EXP(-LN(2)/25))/(LN(2)/25)*Calculateur!V115*Calculateur!X115*VLOOKUP('Données projet'!$B$9,Paramètres!$A$1:$I$89,3,0)*0.475*44/12</f>
        <v>1.0014585386128714</v>
      </c>
      <c r="AB115" s="21">
        <f>EXP(-LN(2)/2)*AB114+(1-EXP(-LN(2)/2))/(LN(2)/2)*V115*Y115*VLOOKUP('Données projet'!$B$9,Paramètres!$A$1:$I$89,3,0)*0.475*44/12</f>
        <v>2.6050307121476069E-13</v>
      </c>
      <c r="AC115" s="22">
        <f t="shared" si="57"/>
        <v>10.725899660760138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57.467280000000109</v>
      </c>
      <c r="D116" s="11">
        <f t="shared" si="86"/>
        <v>16.526319478247487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571.17866263910435</v>
      </c>
      <c r="H116" s="67">
        <f t="shared" si="56"/>
        <v>422.20551909128119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92.49458233028173</v>
      </c>
      <c r="T116" s="59">
        <f t="shared" si="88"/>
        <v>260.65744386159963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9.5337507630651182</v>
      </c>
      <c r="AA116" s="21">
        <f>EXP(-LN(2)/25)*AA115+(1-EXP(-LN(2)/25))/(LN(2)/25)*Calculateur!V116*Calculateur!X116*VLOOKUP('Données projet'!$B$9,Paramètres!$A$1:$I$89,3,0)*0.475*44/12</f>
        <v>0.97407360221008676</v>
      </c>
      <c r="AB116" s="21">
        <f>EXP(-LN(2)/2)*AB115+(1-EXP(-LN(2)/2))/(LN(2)/2)*V116*Y116*VLOOKUP('Données projet'!$B$9,Paramètres!$A$1:$I$89,3,0)*0.475*44/12</f>
        <v>1.8420348817587939E-13</v>
      </c>
      <c r="AC116" s="22">
        <f t="shared" si="57"/>
        <v>10.50782436527539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57.975840000000112</v>
      </c>
      <c r="D117" s="11">
        <f t="shared" si="86"/>
        <v>16.655480182053164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576.10141894918308</v>
      </c>
      <c r="H117" s="67">
        <f t="shared" si="56"/>
        <v>423.31621598374272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92.49458233028173</v>
      </c>
      <c r="T117" s="59">
        <f t="shared" si="88"/>
        <v>260.65744386159963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9.3467997256151918</v>
      </c>
      <c r="AA117" s="21">
        <f>EXP(-LN(2)/25)*AA116+(1-EXP(-LN(2)/25))/(LN(2)/25)*Calculateur!V117*Calculateur!X117*VLOOKUP('Données projet'!$B$9,Paramètres!$A$1:$I$89,3,0)*0.475*44/12</f>
        <v>0.9474375083333475</v>
      </c>
      <c r="AB117" s="21">
        <f>EXP(-LN(2)/2)*AB116+(1-EXP(-LN(2)/2))/(LN(2)/2)*V117*Y117*VLOOKUP('Données projet'!$B$9,Paramètres!$A$1:$I$89,3,0)*0.475*44/12</f>
        <v>1.3025153560738034E-13</v>
      </c>
      <c r="AC117" s="22">
        <f t="shared" si="57"/>
        <v>10.294237233948669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58.484400000000115</v>
      </c>
      <c r="D118" s="11">
        <f t="shared" si="86"/>
        <v>16.784509071499606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581.02315774491024</v>
      </c>
      <c r="H118" s="67">
        <f t="shared" si="56"/>
        <v>424.42668329952869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92.49458233028173</v>
      </c>
      <c r="T118" s="59">
        <f t="shared" si="88"/>
        <v>260.65744386159963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9.1635146839807842</v>
      </c>
      <c r="AA118" s="21">
        <f>EXP(-LN(2)/25)*AA117+(1-EXP(-LN(2)/25))/(LN(2)/25)*Calculateur!V118*Calculateur!X118*VLOOKUP('Données projet'!$B$9,Paramètres!$A$1:$I$89,3,0)*0.475*44/12</f>
        <v>0.92152977984439899</v>
      </c>
      <c r="AB118" s="21">
        <f>EXP(-LN(2)/2)*AB117+(1-EXP(-LN(2)/2))/(LN(2)/2)*V118*Y118*VLOOKUP('Données projet'!$B$9,Paramètres!$A$1:$I$89,3,0)*0.475*44/12</f>
        <v>9.2101744087939697E-14</v>
      </c>
      <c r="AC118" s="22">
        <f t="shared" si="57"/>
        <v>10.085044463825275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58.992960000000117</v>
      </c>
      <c r="D119" s="11">
        <f t="shared" si="86"/>
        <v>16.913407425602678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585.94388889939</v>
      </c>
      <c r="H119" s="67">
        <f t="shared" si="56"/>
        <v>425.53692326625821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92.49458233028173</v>
      </c>
      <c r="T119" s="59">
        <f t="shared" si="88"/>
        <v>260.65744386159963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8.983823750219992</v>
      </c>
      <c r="AA119" s="21">
        <f>EXP(-LN(2)/25)*AA118+(1-EXP(-LN(2)/25))/(LN(2)/25)*Calculateur!V119*Calculateur!X119*VLOOKUP('Données projet'!$B$9,Paramètres!$A$1:$I$89,3,0)*0.475*44/12</f>
        <v>0.89633049955340893</v>
      </c>
      <c r="AB119" s="21">
        <f>EXP(-LN(2)/2)*AB118+(1-EXP(-LN(2)/2))/(LN(2)/2)*V119*Y119*VLOOKUP('Données projet'!$B$9,Paramètres!$A$1:$I$89,3,0)*0.475*44/12</f>
        <v>6.5125767803690172E-14</v>
      </c>
      <c r="AC119" s="22">
        <f t="shared" si="57"/>
        <v>9.8801542497734669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59.50152000000012</v>
      </c>
      <c r="D120" s="11">
        <f t="shared" si="86"/>
        <v>17.042176500053646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590.86362210567825</v>
      </c>
      <c r="H120" s="67">
        <f t="shared" si="56"/>
        <v>426.64693807092692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92.49458233028173</v>
      </c>
      <c r="T120" s="59">
        <f t="shared" si="88"/>
        <v>260.65744386159963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8.8076564460696005</v>
      </c>
      <c r="AA120" s="21">
        <f>EXP(-LN(2)/25)*AA119+(1-EXP(-LN(2)/25))/(LN(2)/25)*Calculateur!V120*Calculateur!X120*VLOOKUP('Données projet'!$B$9,Paramètres!$A$1:$I$89,3,0)*0.475*44/12</f>
        <v>0.87182029490714863</v>
      </c>
      <c r="AB120" s="21">
        <f>EXP(-LN(2)/2)*AB119+(1-EXP(-LN(2)/2))/(LN(2)/2)*V120*Y120*VLOOKUP('Données projet'!$B$9,Paramètres!$A$1:$I$89,3,0)*0.475*44/12</f>
        <v>4.6050872043969849E-14</v>
      </c>
      <c r="AC120" s="22">
        <f t="shared" si="57"/>
        <v>9.6794767409767957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60.010080000000123</v>
      </c>
      <c r="D121" s="11">
        <f t="shared" si="86"/>
        <v>17.1708175278402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595.78236688157449</v>
      </c>
      <c r="H121" s="67">
        <f t="shared" si="56"/>
        <v>427.75672986098857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92.49458233028173</v>
      </c>
      <c r="T121" s="59">
        <f t="shared" si="88"/>
        <v>260.65744386159963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8.6349436753021536</v>
      </c>
      <c r="AA121" s="21">
        <f>EXP(-LN(2)/25)*AA120+(1-EXP(-LN(2)/25))/(LN(2)/25)*Calculateur!V121*Calculateur!X121*VLOOKUP('Données projet'!$B$9,Paramètres!$A$1:$I$89,3,0)*0.475*44/12</f>
        <v>0.8479803230958759</v>
      </c>
      <c r="AB121" s="21">
        <f>EXP(-LN(2)/2)*AB120+(1-EXP(-LN(2)/2))/(LN(2)/2)*V121*Y121*VLOOKUP('Données projet'!$B$9,Paramètres!$A$1:$I$89,3,0)*0.475*44/12</f>
        <v>3.2562883901845086E-14</v>
      </c>
      <c r="AC121" s="22">
        <f t="shared" si="57"/>
        <v>9.4829239983980607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60.518640000000126</v>
      </c>
      <c r="D122" s="11">
        <f t="shared" si="86"/>
        <v>17.299331719845775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600.7001325742491</v>
      </c>
      <c r="H122" s="67">
        <f t="shared" si="56"/>
        <v>428.86630074539823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92.49458233028173</v>
      </c>
      <c r="T122" s="59">
        <f t="shared" si="88"/>
        <v>260.65744386159963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8.4656176966250669</v>
      </c>
      <c r="AA122" s="21">
        <f>EXP(-LN(2)/25)*AA121+(1-EXP(-LN(2)/25))/(LN(2)/25)*Calculateur!V122*Calculateur!X122*VLOOKUP('Données projet'!$B$9,Paramètres!$A$1:$I$89,3,0)*0.475*44/12</f>
        <v>0.82479225656747202</v>
      </c>
      <c r="AB122" s="21">
        <f>EXP(-LN(2)/2)*AB121+(1-EXP(-LN(2)/2))/(LN(2)/2)*V122*Y122*VLOOKUP('Données projet'!$B$9,Paramètres!$A$1:$I$89,3,0)*0.475*44/12</f>
        <v>2.3025436021984924E-14</v>
      </c>
      <c r="AC122" s="22">
        <f t="shared" si="57"/>
        <v>9.2904099531925617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61.027200000000128</v>
      </c>
      <c r="D123" s="11">
        <f t="shared" si="86"/>
        <v>17.427720265428214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605.61692836471002</v>
      </c>
      <c r="H123" s="67">
        <f t="shared" si="56"/>
        <v>429.97565279562104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92.49458233028173</v>
      </c>
      <c r="T123" s="59">
        <f t="shared" si="88"/>
        <v>260.65744386159963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8.29961209711119</v>
      </c>
      <c r="AA123" s="21">
        <f>EXP(-LN(2)/25)*AA122+(1-EXP(-LN(2)/25))/(LN(2)/25)*Calculateur!V123*Calculateur!X123*VLOOKUP('Données projet'!$B$9,Paramètres!$A$1:$I$89,3,0)*0.475*44/12</f>
        <v>0.80223826893769479</v>
      </c>
      <c r="AB123" s="21">
        <f>EXP(-LN(2)/2)*AB122+(1-EXP(-LN(2)/2))/(LN(2)/2)*V123*Y123*VLOOKUP('Données projet'!$B$9,Paramètres!$A$1:$I$89,3,0)*0.475*44/12</f>
        <v>1.6281441950922543E-14</v>
      </c>
      <c r="AC123" s="22">
        <f t="shared" si="57"/>
        <v>9.1018503660489003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61.535760000000131</v>
      </c>
      <c r="D124" s="11">
        <f t="shared" si="86"/>
        <v>17.555984332978426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610.53276327211506</v>
      </c>
      <c r="H124" s="67">
        <f t="shared" si="56"/>
        <v>431.08478804660427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92.49458233028173</v>
      </c>
      <c r="T124" s="59">
        <f t="shared" si="88"/>
        <v>260.65744386159963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8.1368617661503624</v>
      </c>
      <c r="AA124" s="21">
        <f>EXP(-LN(2)/25)*AA123+(1-EXP(-LN(2)/25))/(LN(2)/25)*Calculateur!V124*Calculateur!X124*VLOOKUP('Données projet'!$B$9,Paramètres!$A$1:$I$89,3,0)*0.475*44/12</f>
        <v>0.78030102128571655</v>
      </c>
      <c r="AB124" s="21">
        <f>EXP(-LN(2)/2)*AB123+(1-EXP(-LN(2)/2))/(LN(2)/2)*V124*Y124*VLOOKUP('Données projet'!$B$9,Paramètres!$A$1:$I$89,3,0)*0.475*44/12</f>
        <v>1.1512718010992462E-14</v>
      </c>
      <c r="AC124" s="22">
        <f t="shared" si="57"/>
        <v>8.917162787436089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62.044320000000134</v>
      </c>
      <c r="D125" s="11">
        <f t="shared" si="86"/>
        <v>17.684125070460311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615.44764615794031</v>
      </c>
      <c r="H125" s="67">
        <f t="shared" si="56"/>
        <v>432.1937084977186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92.49458233028173</v>
      </c>
      <c r="T125" s="59">
        <f t="shared" si="88"/>
        <v>260.65744386159963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7.9773028699117763</v>
      </c>
      <c r="AA125" s="21">
        <f>EXP(-LN(2)/25)*AA124+(1-EXP(-LN(2)/25))/(LN(2)/25)*Calculateur!V125*Calculateur!X125*VLOOKUP('Données projet'!$B$9,Paramètres!$A$1:$I$89,3,0)*0.475*44/12</f>
        <v>0.75896364882441136</v>
      </c>
      <c r="AB125" s="21">
        <f>EXP(-LN(2)/2)*AB124+(1-EXP(-LN(2)/2))/(LN(2)/2)*V125*Y125*VLOOKUP('Données projet'!$B$9,Paramètres!$A$1:$I$89,3,0)*0.475*44/12</f>
        <v>8.1407209754612715E-15</v>
      </c>
      <c r="AC125" s="22">
        <f t="shared" si="57"/>
        <v>8.7362665187361959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62.552880000000137</v>
      </c>
      <c r="D126" s="11">
        <f t="shared" si="86"/>
        <v>17.812143605932235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620.36158573000432</v>
      </c>
      <c r="H126" s="67">
        <f t="shared" si="56"/>
        <v>433.30241611366557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92.49458233028173</v>
      </c>
      <c r="T126" s="59">
        <f t="shared" si="88"/>
        <v>260.65744386159963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7.8208728263071112</v>
      </c>
      <c r="AA126" s="21">
        <f>EXP(-LN(2)/25)*AA125+(1-EXP(-LN(2)/25))/(LN(2)/25)*Calculateur!V126*Calculateur!X126*VLOOKUP('Données projet'!$B$9,Paramètres!$A$1:$I$89,3,0)*0.475*44/12</f>
        <v>0.73820974793514416</v>
      </c>
      <c r="AB126" s="21">
        <f>EXP(-LN(2)/2)*AB125+(1-EXP(-LN(2)/2))/(LN(2)/2)*V126*Y126*VLOOKUP('Données projet'!$B$9,Paramètres!$A$1:$I$89,3,0)*0.475*44/12</f>
        <v>5.7563590054962311E-15</v>
      </c>
      <c r="AC126" s="22">
        <f t="shared" si="57"/>
        <v>8.5590825742422609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63.06144000000014</v>
      </c>
      <c r="D127" s="11">
        <f t="shared" si="86"/>
        <v>17.94004104805115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625.27459054636086</v>
      </c>
      <c r="H127" s="67">
        <f t="shared" si="56"/>
        <v>434.41091282535598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92.49458233028173</v>
      </c>
      <c r="T127" s="59">
        <f t="shared" si="88"/>
        <v>260.65744386159963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7.6675102804446285</v>
      </c>
      <c r="AA127" s="21">
        <f>EXP(-LN(2)/25)*AA126+(1-EXP(-LN(2)/25))/(LN(2)/25)*Calculateur!V127*Calculateur!X127*VLOOKUP('Données projet'!$B$9,Paramètres!$A$1:$I$89,3,0)*0.475*44/12</f>
        <v>0.71802336355709417</v>
      </c>
      <c r="AB127" s="21">
        <f>EXP(-LN(2)/2)*AB126+(1-EXP(-LN(2)/2))/(LN(2)/2)*V127*Y127*VLOOKUP('Données projet'!$B$9,Paramètres!$A$1:$I$89,3,0)*0.475*44/12</f>
        <v>4.0703604877306358E-15</v>
      </c>
      <c r="AC127" s="22">
        <f t="shared" si="57"/>
        <v>8.3855336440017254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63.570000000000142</v>
      </c>
      <c r="D128" s="11">
        <f t="shared" si="86"/>
        <v>18.067818486560022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630.18666901906101</v>
      </c>
      <c r="H128" s="67">
        <f t="shared" si="56"/>
        <v>435.51920053075889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92.49458233028173</v>
      </c>
      <c r="T128" s="59">
        <f t="shared" si="88"/>
        <v>260.65744386159963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7.517155080564593</v>
      </c>
      <c r="AA128" s="21">
        <f>EXP(-LN(2)/25)*AA127+(1-EXP(-LN(2)/25))/(LN(2)/25)*Calculateur!V128*Calculateur!X128*VLOOKUP('Données projet'!$B$9,Paramètres!$A$1:$I$89,3,0)*0.475*44/12</f>
        <v>0.69838897692141777</v>
      </c>
      <c r="AB128" s="21">
        <f>EXP(-LN(2)/2)*AB127+(1-EXP(-LN(2)/2))/(LN(2)/2)*V128*Y128*VLOOKUP('Données projet'!$B$9,Paramètres!$A$1:$I$89,3,0)*0.475*44/12</f>
        <v>2.8781795027481155E-15</v>
      </c>
      <c r="AC128" s="22">
        <f t="shared" si="57"/>
        <v>8.2155440574860137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64.078560000000138</v>
      </c>
      <c r="D129" s="11">
        <f t="shared" si="86"/>
        <v>18.195476992759176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635.0978294177911</v>
      </c>
      <c r="H129" s="67">
        <f t="shared" si="56"/>
        <v>436.62728109572242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92.49458233028173</v>
      </c>
      <c r="T129" s="59">
        <f t="shared" si="88"/>
        <v>260.65744386159963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7.3697482544465878</v>
      </c>
      <c r="AA129" s="21">
        <f>EXP(-LN(2)/25)*AA128+(1-EXP(-LN(2)/25))/(LN(2)/25)*Calculateur!V129*Calculateur!X129*VLOOKUP('Données projet'!$B$9,Paramètres!$A$1:$I$89,3,0)*0.475*44/12</f>
        <v>0.67929149362082153</v>
      </c>
      <c r="AB129" s="21">
        <f>EXP(-LN(2)/2)*AB128+(1-EXP(-LN(2)/2))/(LN(2)/2)*V129*Y129*VLOOKUP('Données projet'!$B$9,Paramètres!$A$1:$I$89,3,0)*0.475*44/12</f>
        <v>2.0351802438653179E-15</v>
      </c>
      <c r="AC129" s="22">
        <f t="shared" si="57"/>
        <v>8.0490397480674112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64.587120000000141</v>
      </c>
      <c r="D130" s="11">
        <f t="shared" si="86"/>
        <v>18.323017619962208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640.00807987339351</v>
      </c>
      <c r="H130" s="67">
        <f t="shared" si="56"/>
        <v>437.7351563547677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92.49458233028173</v>
      </c>
      <c r="T130" s="59">
        <f t="shared" si="88"/>
        <v>260.65744386159963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7.2252319862794705</v>
      </c>
      <c r="AA130" s="21">
        <f>EXP(-LN(2)/25)*AA129+(1-EXP(-LN(2)/25))/(LN(2)/25)*Calculateur!V130*Calculateur!X130*VLOOKUP('Données projet'!$B$9,Paramètres!$A$1:$I$89,3,0)*0.475*44/12</f>
        <v>0.66071623200537311</v>
      </c>
      <c r="AB130" s="21">
        <f>EXP(-LN(2)/2)*AB129+(1-EXP(-LN(2)/2))/(LN(2)/2)*V130*Y130*VLOOKUP('Données projet'!$B$9,Paramètres!$A$1:$I$89,3,0)*0.475*44/12</f>
        <v>1.4390897513740578E-15</v>
      </c>
      <c r="AC130" s="22">
        <f t="shared" si="57"/>
        <v>7.8859482182848453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65.095680000000144</v>
      </c>
      <c r="D131" s="11">
        <f t="shared" si="86"/>
        <v>18.450441403937241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644.91742838127095</v>
      </c>
      <c r="H131" s="67">
        <f t="shared" si="56"/>
        <v>438.84282811185756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92.49458233028173</v>
      </c>
      <c r="T131" s="59">
        <f t="shared" si="88"/>
        <v>260.65744386159963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7.0835495939848911</v>
      </c>
      <c r="AA131" s="21">
        <f>EXP(-LN(2)/25)*AA130+(1-EXP(-LN(2)/25))/(LN(2)/25)*Calculateur!V131*Calculateur!X131*VLOOKUP('Données projet'!$B$9,Paramètres!$A$1:$I$89,3,0)*0.475*44/12</f>
        <v>0.64264891189562967</v>
      </c>
      <c r="AB131" s="21">
        <f>EXP(-LN(2)/2)*AB130+(1-EXP(-LN(2)/2))/(LN(2)/2)*V131*Y131*VLOOKUP('Données projet'!$B$9,Paramètres!$A$1:$I$89,3,0)*0.475*44/12</f>
        <v>1.0175901219326589E-15</v>
      </c>
      <c r="AC131" s="22">
        <f t="shared" si="57"/>
        <v>7.7261985058805216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65.604240000000146</v>
      </c>
      <c r="D132" s="11">
        <f t="shared" si="86"/>
        <v>18.577749363333876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649.82588280468372</v>
      </c>
      <c r="H132" s="67">
        <f t="shared" ref="H132:H195" si="110">(B132+E132+F132)*44/12+(C132+D132)*0.475*44/12</f>
        <v>439.95029814114008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92.49458233028173</v>
      </c>
      <c r="T132" s="59">
        <f t="shared" si="88"/>
        <v>260.65744386159963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6.9446455069854824</v>
      </c>
      <c r="AA132" s="21">
        <f>EXP(-LN(2)/25)*AA131+(1-EXP(-LN(2)/25))/(LN(2)/25)*Calculateur!V132*Calculateur!X132*VLOOKUP('Données projet'!$B$9,Paramètres!$A$1:$I$89,3,0)*0.475*44/12</f>
        <v>0.62507564360440615</v>
      </c>
      <c r="AB132" s="21">
        <f>EXP(-LN(2)/2)*AB131+(1-EXP(-LN(2)/2))/(LN(2)/2)*V132*Y132*VLOOKUP('Données projet'!$B$9,Paramètres!$A$1:$I$89,3,0)*0.475*44/12</f>
        <v>7.1954487568702889E-16</v>
      </c>
      <c r="AC132" s="22">
        <f t="shared" ref="AC132:AC153" si="111">SUM(Z132:AB132)</f>
        <v>7.5697211505898894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66.112800000000149</v>
      </c>
      <c r="D133" s="11">
        <f t="shared" ref="D133:D196" si="140">IFERROR(EXP(-1.0587+0.8836*LN(C133)+0.284),0)</f>
        <v>18.704942500096582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654.73345087793962</v>
      </c>
      <c r="H133" s="67">
        <f t="shared" si="110"/>
        <v>441.05756818766844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92.49458233028173</v>
      </c>
      <c r="T133" s="59">
        <f t="shared" ref="T133:T196" si="142">$T$3</f>
        <v>260.65744386159963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6.8084652444090041</v>
      </c>
      <c r="AA133" s="21">
        <f>EXP(-LN(2)/25)*AA132+(1-EXP(-LN(2)/25))/(LN(2)/25)*Calculateur!V133*Calculateur!X133*VLOOKUP('Données projet'!$B$9,Paramètres!$A$1:$I$89,3,0)*0.475*44/12</f>
        <v>0.6079829172587442</v>
      </c>
      <c r="AB133" s="21">
        <f>EXP(-LN(2)/2)*AB132+(1-EXP(-LN(2)/2))/(LN(2)/2)*V133*Y133*VLOOKUP('Données projet'!$B$9,Paramètres!$A$1:$I$89,3,0)*0.475*44/12</f>
        <v>5.0879506096632947E-16</v>
      </c>
      <c r="AC133" s="22">
        <f t="shared" si="111"/>
        <v>7.4164481616677493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66.621360000000152</v>
      </c>
      <c r="D134" s="11">
        <f t="shared" si="140"/>
        <v>18.832021799864986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659.64014020948537</v>
      </c>
      <c r="H134" s="67">
        <f t="shared" si="110"/>
        <v>442.16463996809841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92.49458233028173</v>
      </c>
      <c r="T134" s="59">
        <f t="shared" si="142"/>
        <v>260.65744386159963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6.674955393719892</v>
      </c>
      <c r="AA134" s="21">
        <f>EXP(-LN(2)/25)*AA133+(1-EXP(-LN(2)/25))/(LN(2)/25)*Calculateur!V134*Calculateur!X134*VLOOKUP('Données projet'!$B$9,Paramètres!$A$1:$I$89,3,0)*0.475*44/12</f>
        <v>0.59135759241387176</v>
      </c>
      <c r="AB134" s="21">
        <f>EXP(-LN(2)/2)*AB133+(1-EXP(-LN(2)/2))/(LN(2)/2)*V134*Y134*VLOOKUP('Données projet'!$B$9,Paramètres!$A$1:$I$89,3,0)*0.475*44/12</f>
        <v>3.5977243784351444E-16</v>
      </c>
      <c r="AC134" s="22">
        <f t="shared" si="111"/>
        <v>7.2663129861337641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67.129920000000155</v>
      </c>
      <c r="D135" s="11">
        <f t="shared" si="140"/>
        <v>18.958988232361623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664.54595828489801</v>
      </c>
      <c r="H135" s="67">
        <f t="shared" si="110"/>
        <v>443.27151517136338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92.49458233028173</v>
      </c>
      <c r="T135" s="59">
        <f t="shared" si="142"/>
        <v>260.65744386159963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6.5440635897698254</v>
      </c>
      <c r="AA135" s="21">
        <f>EXP(-LN(2)/25)*AA134+(1-EXP(-LN(2)/25))/(LN(2)/25)*Calculateur!V135*Calculateur!X135*VLOOKUP('Données projet'!$B$9,Paramètres!$A$1:$I$89,3,0)*0.475*44/12</f>
        <v>0.57518688795117023</v>
      </c>
      <c r="AB135" s="21">
        <f>EXP(-LN(2)/2)*AB134+(1-EXP(-LN(2)/2))/(LN(2)/2)*V135*Y135*VLOOKUP('Données projet'!$B$9,Paramètres!$A$1:$I$89,3,0)*0.475*44/12</f>
        <v>2.5439753048316474E-16</v>
      </c>
      <c r="AC135" s="22">
        <f t="shared" si="111"/>
        <v>7.1192504777209953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67.638480000000158</v>
      </c>
      <c r="D136" s="11">
        <f t="shared" si="140"/>
        <v>19.085842751767554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669.45091246978586</v>
      </c>
      <c r="H136" s="67">
        <f t="shared" si="110"/>
        <v>444.37819545932871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92.49458233028173</v>
      </c>
      <c r="T136" s="59">
        <f t="shared" si="142"/>
        <v>260.65744386159963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6.4157384942591023</v>
      </c>
      <c r="AA136" s="21">
        <f>EXP(-LN(2)/25)*AA135+(1-EXP(-LN(2)/25))/(LN(2)/25)*Calculateur!V136*Calculateur!X136*VLOOKUP('Données projet'!$B$9,Paramètres!$A$1:$I$89,3,0)*0.475*44/12</f>
        <v>0.55945837225238171</v>
      </c>
      <c r="AB136" s="21">
        <f>EXP(-LN(2)/2)*AB135+(1-EXP(-LN(2)/2))/(LN(2)/2)*V136*Y136*VLOOKUP('Données projet'!$B$9,Paramètres!$A$1:$I$89,3,0)*0.475*44/12</f>
        <v>1.7988621892175722E-16</v>
      </c>
      <c r="AC136" s="22">
        <f t="shared" si="111"/>
        <v>6.9751968665114843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68.14704000000016</v>
      </c>
      <c r="D137" s="11">
        <f t="shared" si="140"/>
        <v>19.212586297086364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674.35501001259775</v>
      </c>
      <c r="H137" s="67">
        <f t="shared" si="110"/>
        <v>445.48468246742561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92.49458233028173</v>
      </c>
      <c r="T137" s="59">
        <f t="shared" si="142"/>
        <v>260.65744386159963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6.2899297756007648</v>
      </c>
      <c r="AA137" s="21">
        <f>EXP(-LN(2)/25)*AA136+(1-EXP(-LN(2)/25))/(LN(2)/25)*Calculateur!V137*Calculateur!X137*VLOOKUP('Données projet'!$B$9,Paramètres!$A$1:$I$89,3,0)*0.475*44/12</f>
        <v>0.54415995364250325</v>
      </c>
      <c r="AB137" s="21">
        <f>EXP(-LN(2)/2)*AB136+(1-EXP(-LN(2)/2))/(LN(2)/2)*V137*Y137*VLOOKUP('Données projet'!$B$9,Paramètres!$A$1:$I$89,3,0)*0.475*44/12</f>
        <v>1.2719876524158237E-16</v>
      </c>
      <c r="AC137" s="22">
        <f t="shared" si="111"/>
        <v>6.8340897292432681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68.655600000000163</v>
      </c>
      <c r="D138" s="11">
        <f t="shared" si="140"/>
        <v>19.339219792497058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679.258258047347</v>
      </c>
      <c r="H138" s="67">
        <f t="shared" si="110"/>
        <v>446.59097780526599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92.49458233028173</v>
      </c>
      <c r="T138" s="59">
        <f t="shared" si="142"/>
        <v>260.65744386159963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6.1665880891795766</v>
      </c>
      <c r="AA138" s="21">
        <f>EXP(-LN(2)/25)*AA137+(1-EXP(-LN(2)/25))/(LN(2)/25)*Calculateur!V138*Calculateur!X138*VLOOKUP('Données projet'!$B$9,Paramètres!$A$1:$I$89,3,0)*0.475*44/12</f>
        <v>0.52927987109402075</v>
      </c>
      <c r="AB138" s="21">
        <f>EXP(-LN(2)/2)*AB137+(1-EXP(-LN(2)/2))/(LN(2)/2)*V138*Y138*VLOOKUP('Données projet'!$B$9,Paramètres!$A$1:$I$89,3,0)*0.475*44/12</f>
        <v>8.9943109460878611E-17</v>
      </c>
      <c r="AC138" s="22">
        <f t="shared" si="111"/>
        <v>6.6958679602735973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69.164160000000166</v>
      </c>
      <c r="D139" s="11">
        <f t="shared" si="140"/>
        <v>19.46574414769605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684.16066359625154</v>
      </c>
      <c r="H139" s="67">
        <f t="shared" si="110"/>
        <v>447.69708305723753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92.49458233028173</v>
      </c>
      <c r="T139" s="59">
        <f t="shared" si="142"/>
        <v>260.65744386159963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6.0456650579981073</v>
      </c>
      <c r="AA139" s="21">
        <f>EXP(-LN(2)/25)*AA138+(1-EXP(-LN(2)/25))/(LN(2)/25)*Calculateur!V139*Calculateur!X139*VLOOKUP('Données projet'!$B$9,Paramètres!$A$1:$I$89,3,0)*0.475*44/12</f>
        <v>0.51480668518533601</v>
      </c>
      <c r="AB139" s="21">
        <f>EXP(-LN(2)/2)*AB138+(1-EXP(-LN(2)/2))/(LN(2)/2)*V139*Y139*VLOOKUP('Données projet'!$B$9,Paramètres!$A$1:$I$89,3,0)*0.475*44/12</f>
        <v>6.3599382620791184E-17</v>
      </c>
      <c r="AC139" s="22">
        <f t="shared" si="111"/>
        <v>6.5604717431834434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69.672720000000169</v>
      </c>
      <c r="D140" s="11">
        <f t="shared" si="140"/>
        <v>19.592160258229011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689.06223357229544</v>
      </c>
      <c r="H140" s="67">
        <f t="shared" si="110"/>
        <v>448.80299978308244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92.49458233028173</v>
      </c>
      <c r="T140" s="59">
        <f t="shared" si="142"/>
        <v>260.65744386159963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5.9271132537023403</v>
      </c>
      <c r="AA140" s="21">
        <f>EXP(-LN(2)/25)*AA139+(1-EXP(-LN(2)/25))/(LN(2)/25)*Calculateur!V140*Calculateur!X140*VLOOKUP('Données projet'!$B$9,Paramètres!$A$1:$I$89,3,0)*0.475*44/12</f>
        <v>0.50072926930643602</v>
      </c>
      <c r="AB140" s="21">
        <f>EXP(-LN(2)/2)*AB139+(1-EXP(-LN(2)/2))/(LN(2)/2)*V140*Y140*VLOOKUP('Données projet'!$B$9,Paramètres!$A$1:$I$89,3,0)*0.475*44/12</f>
        <v>4.4971554730439305E-17</v>
      </c>
      <c r="AC140" s="22">
        <f t="shared" si="111"/>
        <v>6.4278425230087759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70.181280000000172</v>
      </c>
      <c r="D141" s="11">
        <f t="shared" si="140"/>
        <v>19.71846900581253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693.96297478171221</v>
      </c>
      <c r="H141" s="67">
        <f t="shared" si="110"/>
        <v>449.90872951845711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92.49458233028173</v>
      </c>
      <c r="T141" s="59">
        <f t="shared" si="142"/>
        <v>260.65744386159963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5.810886177979353</v>
      </c>
      <c r="AA141" s="21">
        <f>EXP(-LN(2)/25)*AA140+(1-EXP(-LN(2)/25))/(LN(2)/25)*Calculateur!V141*Calculateur!X141*VLOOKUP('Données projet'!$B$9,Paramètres!$A$1:$I$89,3,0)*0.475*44/12</f>
        <v>0.48703680110504366</v>
      </c>
      <c r="AB141" s="21">
        <f>EXP(-LN(2)/2)*AB140+(1-EXP(-LN(2)/2))/(LN(2)/2)*V141*Y141*VLOOKUP('Données projet'!$B$9,Paramètres!$A$1:$I$89,3,0)*0.475*44/12</f>
        <v>3.1799691310395592E-17</v>
      </c>
      <c r="AC141" s="22">
        <f t="shared" si="111"/>
        <v>6.2979229790843965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70.689840000000174</v>
      </c>
      <c r="D142" s="11">
        <f t="shared" si="140"/>
        <v>19.844671258646365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698.86289392639446</v>
      </c>
      <c r="H142" s="67">
        <f t="shared" si="110"/>
        <v>451.01427377547606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92.49458233028173</v>
      </c>
      <c r="T142" s="59">
        <f t="shared" si="142"/>
        <v>260.65744386159963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5.6969382443197771</v>
      </c>
      <c r="AA142" s="21">
        <f>EXP(-LN(2)/25)*AA141+(1-EXP(-LN(2)/25))/(LN(2)/25)*Calculateur!V142*Calculateur!X142*VLOOKUP('Données projet'!$B$9,Paramètres!$A$1:$I$89,3,0)*0.475*44/12</f>
        <v>0.47371875416667403</v>
      </c>
      <c r="AB142" s="21">
        <f>EXP(-LN(2)/2)*AB141+(1-EXP(-LN(2)/2))/(LN(2)/2)*V142*Y142*VLOOKUP('Données projet'!$B$9,Paramètres!$A$1:$I$89,3,0)*0.475*44/12</f>
        <v>2.2485777365219653E-17</v>
      </c>
      <c r="AC142" s="22">
        <f t="shared" si="111"/>
        <v>6.170656998486451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71.198400000000177</v>
      </c>
      <c r="D143" s="11">
        <f t="shared" si="140"/>
        <v>19.970767871716326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703.76199760623274</v>
      </c>
      <c r="H143" s="67">
        <f t="shared" si="110"/>
        <v>452.11963404323956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92.49458233028173</v>
      </c>
      <c r="T143" s="59">
        <f t="shared" si="142"/>
        <v>260.65744386159963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5.5852247601378888</v>
      </c>
      <c r="AA143" s="21">
        <f>EXP(-LN(2)/25)*AA142+(1-EXP(-LN(2)/25))/(LN(2)/25)*Calculateur!V143*Calculateur!X143*VLOOKUP('Données projet'!$B$9,Paramètres!$A$1:$I$89,3,0)*0.475*44/12</f>
        <v>0.46076488992219972</v>
      </c>
      <c r="AB143" s="21">
        <f>EXP(-LN(2)/2)*AB142+(1-EXP(-LN(2)/2))/(LN(2)/2)*V143*Y143*VLOOKUP('Données projet'!$B$9,Paramètres!$A$1:$I$89,3,0)*0.475*44/12</f>
        <v>1.5899845655197796E-17</v>
      </c>
      <c r="AC143" s="22">
        <f t="shared" si="111"/>
        <v>6.0459896500600889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71.70696000000018</v>
      </c>
      <c r="D144" s="11">
        <f t="shared" si="140"/>
        <v>20.096759687088355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708.66029232138533</v>
      </c>
      <c r="H144" s="67">
        <f t="shared" si="110"/>
        <v>453.22481178834585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92.49458233028173</v>
      </c>
      <c r="T144" s="59">
        <f t="shared" si="142"/>
        <v>260.65744386159963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5.4757019092423098</v>
      </c>
      <c r="AA144" s="21">
        <f>EXP(-LN(2)/25)*AA143+(1-EXP(-LN(2)/25))/(LN(2)/25)*Calculateur!V144*Calculateur!X144*VLOOKUP('Données projet'!$B$9,Paramètres!$A$1:$I$89,3,0)*0.475*44/12</f>
        <v>0.44816524977670469</v>
      </c>
      <c r="AB144" s="21">
        <f>EXP(-LN(2)/2)*AB143+(1-EXP(-LN(2)/2))/(LN(2)/2)*V144*Y144*VLOOKUP('Données projet'!$B$9,Paramètres!$A$1:$I$89,3,0)*0.475*44/12</f>
        <v>1.1242888682609826E-17</v>
      </c>
      <c r="AC144" s="22">
        <f t="shared" si="111"/>
        <v>5.9238671590190144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72.215520000000183</v>
      </c>
      <c r="D145" s="11">
        <f t="shared" si="140"/>
        <v>20.222647534193918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713.55778447448074</v>
      </c>
      <c r="H145" s="67">
        <f t="shared" si="110"/>
        <v>454.32980845538805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92.49458233028173</v>
      </c>
      <c r="T145" s="59">
        <f t="shared" si="142"/>
        <v>260.65744386159963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5.3683267346504504</v>
      </c>
      <c r="AA145" s="21">
        <f>EXP(-LN(2)/25)*AA144+(1-EXP(-LN(2)/25))/(LN(2)/25)*Calculateur!V145*Calculateur!X145*VLOOKUP('Données projet'!$B$9,Paramètres!$A$1:$I$89,3,0)*0.475*44/12</f>
        <v>0.43591014745357448</v>
      </c>
      <c r="AB145" s="21">
        <f>EXP(-LN(2)/2)*AB144+(1-EXP(-LN(2)/2))/(LN(2)/2)*V145*Y145*VLOOKUP('Données projet'!$B$9,Paramètres!$A$1:$I$89,3,0)*0.475*44/12</f>
        <v>7.949922827598898E-18</v>
      </c>
      <c r="AC145" s="22">
        <f t="shared" si="111"/>
        <v>5.8042368821040249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72.724080000000185</v>
      </c>
      <c r="D146" s="11">
        <f t="shared" si="140"/>
        <v>20.348432230107203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718.45448037275889</v>
      </c>
      <c r="H146" s="67">
        <f t="shared" si="110"/>
        <v>455.434625467437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92.49458233028173</v>
      </c>
      <c r="T146" s="59">
        <f t="shared" si="142"/>
        <v>260.65744386159963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5.2630571217399478</v>
      </c>
      <c r="AA146" s="21">
        <f>EXP(-LN(2)/25)*AA145+(1-EXP(-LN(2)/25))/(LN(2)/25)*Calculateur!V146*Calculateur!X146*VLOOKUP('Données projet'!$B$9,Paramètres!$A$1:$I$89,3,0)*0.475*44/12</f>
        <v>0.42399016154793812</v>
      </c>
      <c r="AB146" s="21">
        <f>EXP(-LN(2)/2)*AB145+(1-EXP(-LN(2)/2))/(LN(2)/2)*V146*Y146*VLOOKUP('Données projet'!$B$9,Paramètres!$A$1:$I$89,3,0)*0.475*44/12</f>
        <v>5.6214443413049132E-18</v>
      </c>
      <c r="AC146" s="22">
        <f t="shared" si="111"/>
        <v>5.6870472832878862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73.232640000000188</v>
      </c>
      <c r="D147" s="11">
        <f t="shared" si="140"/>
        <v>20.474114579814387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723.35038623014759</v>
      </c>
      <c r="H147" s="67">
        <f t="shared" si="110"/>
        <v>456.53926422651034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92.49458233028173</v>
      </c>
      <c r="T147" s="59">
        <f t="shared" si="142"/>
        <v>260.65744386159963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5.1598517817304961</v>
      </c>
      <c r="AA147" s="21">
        <f>EXP(-LN(2)/25)*AA146+(1-EXP(-LN(2)/25))/(LN(2)/25)*Calculateur!V147*Calculateur!X147*VLOOKUP('Données projet'!$B$9,Paramètres!$A$1:$I$89,3,0)*0.475*44/12</f>
        <v>0.41239612828373617</v>
      </c>
      <c r="AB147" s="21">
        <f>EXP(-LN(2)/2)*AB146+(1-EXP(-LN(2)/2))/(LN(2)/2)*V147*Y147*VLOOKUP('Données projet'!$B$9,Paramètres!$A$1:$I$89,3,0)*0.475*44/12</f>
        <v>3.974961413799449E-18</v>
      </c>
      <c r="AC147" s="22">
        <f t="shared" si="111"/>
        <v>5.5722479100142319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73.741200000000191</v>
      </c>
      <c r="D148" s="11">
        <f t="shared" si="140"/>
        <v>20.599695376475008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728.24550816928229</v>
      </c>
      <c r="H148" s="67">
        <f t="shared" si="110"/>
        <v>457.64372611402757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92.49458233028173</v>
      </c>
      <c r="T148" s="59">
        <f t="shared" si="142"/>
        <v>260.65744386159963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5.0586702354895881</v>
      </c>
      <c r="AA148" s="21">
        <f>EXP(-LN(2)/25)*AA147+(1-EXP(-LN(2)/25))/(LN(2)/25)*Calculateur!V148*Calculateur!X148*VLOOKUP('Données projet'!$B$9,Paramètres!$A$1:$I$89,3,0)*0.475*44/12</f>
        <v>0.40111913446884756</v>
      </c>
      <c r="AB148" s="21">
        <f>EXP(-LN(2)/2)*AB147+(1-EXP(-LN(2)/2))/(LN(2)/2)*V148*Y148*VLOOKUP('Données projet'!$B$9,Paramètres!$A$1:$I$89,3,0)*0.475*44/12</f>
        <v>2.8107221706524566E-18</v>
      </c>
      <c r="AC148" s="22">
        <f t="shared" si="111"/>
        <v>5.4597893699584352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74.249760000000194</v>
      </c>
      <c r="D149" s="11">
        <f t="shared" si="140"/>
        <v>20.725175401676193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733.13985222346685</v>
      </c>
      <c r="H149" s="67">
        <f t="shared" si="110"/>
        <v>458.74801249125301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92.49458233028173</v>
      </c>
      <c r="T149" s="59">
        <f t="shared" si="142"/>
        <v>260.65744386159963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4.9594727976558151</v>
      </c>
      <c r="AA149" s="21">
        <f>EXP(-LN(2)/25)*AA148+(1-EXP(-LN(2)/25))/(LN(2)/25)*Calculateur!V149*Calculateur!X149*VLOOKUP('Données projet'!$B$9,Paramètres!$A$1:$I$89,3,0)*0.475*44/12</f>
        <v>0.39015051064285844</v>
      </c>
      <c r="AB149" s="21">
        <f>EXP(-LN(2)/2)*AB148+(1-EXP(-LN(2)/2))/(LN(2)/2)*V149*Y149*VLOOKUP('Données projet'!$B$9,Paramètres!$A$1:$I$89,3,0)*0.475*44/12</f>
        <v>1.9874807068997245E-18</v>
      </c>
      <c r="AC149" s="22">
        <f t="shared" si="111"/>
        <v>5.3496233082986731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74.758320000000197</v>
      </c>
      <c r="D150" s="11">
        <f t="shared" si="140"/>
        <v>20.850555425679485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738.03342433858006</v>
      </c>
      <c r="H150" s="67">
        <f t="shared" si="110"/>
        <v>459.85212469972544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92.49458233028173</v>
      </c>
      <c r="T150" s="59">
        <f t="shared" si="142"/>
        <v>260.65744386159963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4.8622205610734994</v>
      </c>
      <c r="AA150" s="21">
        <f>EXP(-LN(2)/25)*AA149+(1-EXP(-LN(2)/25))/(LN(2)/25)*Calculateur!V150*Calculateur!X150*VLOOKUP('Données projet'!$B$9,Paramètres!$A$1:$I$89,3,0)*0.475*44/12</f>
        <v>0.37948182441220585</v>
      </c>
      <c r="AB150" s="21">
        <f>EXP(-LN(2)/2)*AB149+(1-EXP(-LN(2)/2))/(LN(2)/2)*V150*Y150*VLOOKUP('Données projet'!$B$9,Paramètres!$A$1:$I$89,3,0)*0.475*44/12</f>
        <v>1.4053610853262283E-18</v>
      </c>
      <c r="AC150" s="22">
        <f t="shared" si="111"/>
        <v>5.2417023854857057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75.266880000000199</v>
      </c>
      <c r="D151" s="11">
        <f t="shared" si="140"/>
        <v>20.975836207660898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742.92623037492774</v>
      </c>
      <c r="H151" s="67">
        <f t="shared" si="110"/>
        <v>460.95606406167639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92.49458233028173</v>
      </c>
      <c r="T151" s="59">
        <f t="shared" si="142"/>
        <v>260.65744386159963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4.7668753815325555</v>
      </c>
      <c r="AA151" s="21">
        <f>EXP(-LN(2)/25)*AA150+(1-EXP(-LN(2)/25))/(LN(2)/25)*Calculateur!V151*Calculateur!X151*VLOOKUP('Données projet'!$B$9,Paramètres!$A$1:$I$89,3,0)*0.475*44/12</f>
        <v>0.36910487396757224</v>
      </c>
      <c r="AB151" s="21">
        <f>EXP(-LN(2)/2)*AB150+(1-EXP(-LN(2)/2))/(LN(2)/2)*V151*Y151*VLOOKUP('Données projet'!$B$9,Paramètres!$A$1:$I$89,3,0)*0.475*44/12</f>
        <v>9.9374035344986225E-19</v>
      </c>
      <c r="AC151" s="22">
        <f t="shared" si="111"/>
        <v>5.1359802555001277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75.775440000000202</v>
      </c>
      <c r="D152" s="11">
        <f t="shared" si="140"/>
        <v>21.101018495944281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747.8182761090452</v>
      </c>
      <c r="H152" s="67">
        <f t="shared" si="110"/>
        <v>462.0598318804366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92.49458233028173</v>
      </c>
      <c r="T152" s="59">
        <f t="shared" si="142"/>
        <v>260.65744386159963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4.6733998628075923</v>
      </c>
      <c r="AA152" s="21">
        <f>EXP(-LN(2)/25)*AA151+(1-EXP(-LN(2)/25))/(LN(2)/25)*Calculateur!V152*Calculateur!X152*VLOOKUP('Données projet'!$B$9,Paramètres!$A$1:$I$89,3,0)*0.475*44/12</f>
        <v>0.35901168177854725</v>
      </c>
      <c r="AB152" s="21">
        <f>EXP(-LN(2)/2)*AB151+(1-EXP(-LN(2)/2))/(LN(2)/2)*V152*Y152*VLOOKUP('Données projet'!$B$9,Paramètres!$A$1:$I$89,3,0)*0.475*44/12</f>
        <v>7.0268054266311415E-19</v>
      </c>
      <c r="AC152" s="22">
        <f t="shared" si="111"/>
        <v>5.0324115445861395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76.284000000000205</v>
      </c>
      <c r="D153" s="11">
        <f t="shared" si="140"/>
        <v>21.226103028228124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752.7095672354468</v>
      </c>
      <c r="H153" s="67">
        <f t="shared" si="110"/>
        <v>463.16342944083101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92.49458233028173</v>
      </c>
      <c r="T153" s="59">
        <f t="shared" si="142"/>
        <v>260.65744386159963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4.5817573419903894</v>
      </c>
      <c r="AA153" s="21">
        <f>EXP(-LN(2)/25)*AA152+(1-EXP(-LN(2)/25))/(LN(2)/25)*Calculateur!V153*Calculateur!X153*VLOOKUP('Données projet'!$B$9,Paramètres!$A$1:$I$89,3,0)*0.475*44/12</f>
        <v>0.34919448846070905</v>
      </c>
      <c r="AB153" s="21">
        <f>EXP(-LN(2)/2)*AB152+(1-EXP(-LN(2)/2))/(LN(2)/2)*V153*Y153*VLOOKUP('Données projet'!$B$9,Paramètres!$A$1:$I$89,3,0)*0.475*44/12</f>
        <v>4.9687017672493112E-19</v>
      </c>
      <c r="AC153" s="22">
        <f t="shared" si="111"/>
        <v>4.9309518304510984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76.792560000000208</v>
      </c>
      <c r="D154" s="11">
        <f t="shared" si="140"/>
        <v>21.351090531806367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757.60010936833157</v>
      </c>
      <c r="H154" s="67">
        <f t="shared" si="110"/>
        <v>464.26685800956307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92.49458233028173</v>
      </c>
      <c r="T154" s="59">
        <f t="shared" si="142"/>
        <v>260.65744386159963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4.4919118751099933</v>
      </c>
      <c r="AA154" s="21">
        <f>EXP(-LN(2)/25)*AA153+(1-EXP(-LN(2)/25))/(LN(2)/25)*Calculateur!V154*Calculateur!X154*VLOOKUP('Données projet'!$B$9,Paramètres!$A$1:$I$89,3,0)*0.475*44/12</f>
        <v>0.33964574681041093</v>
      </c>
      <c r="AB154" s="21">
        <f>EXP(-LN(2)/2)*AB153+(1-EXP(-LN(2)/2))/(LN(2)/2)*V154*Y154*VLOOKUP('Données projet'!$B$9,Paramètres!$A$1:$I$89,3,0)*0.475*44/12</f>
        <v>3.5134027133155707E-19</v>
      </c>
      <c r="AC154" s="22">
        <f t="shared" ref="AC154:AC203" si="163">SUM(Z154:AB154)</f>
        <v>4.8315576219204042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77.301120000000211</v>
      </c>
      <c r="D155" s="11">
        <f t="shared" si="140"/>
        <v>21.47598172378293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762.4899080432383</v>
      </c>
      <c r="H155" s="67">
        <f t="shared" si="110"/>
        <v>465.37011883558898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92.49458233028173</v>
      </c>
      <c r="T155" s="59">
        <f t="shared" si="142"/>
        <v>260.65744386159963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4.4038282230347976</v>
      </c>
      <c r="AA155" s="21">
        <f>EXP(-LN(2)/25)*AA154+(1-EXP(-LN(2)/25))/(LN(2)/25)*Calculateur!V155*Calculateur!X155*VLOOKUP('Données projet'!$B$9,Paramètres!$A$1:$I$89,3,0)*0.475*44/12</f>
        <v>0.33035811600268666</v>
      </c>
      <c r="AB155" s="21">
        <f>EXP(-LN(2)/2)*AB154+(1-EXP(-LN(2)/2))/(LN(2)/2)*V155*Y155*VLOOKUP('Données projet'!$B$9,Paramètres!$A$1:$I$89,3,0)*0.475*44/12</f>
        <v>2.4843508836246556E-19</v>
      </c>
      <c r="AC155" s="22">
        <f t="shared" si="163"/>
        <v>4.7341863390374845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77.809680000000213</v>
      </c>
      <c r="D156" s="11">
        <f t="shared" si="140"/>
        <v>21.600777311280623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767.37896871865905</v>
      </c>
      <c r="H156" s="67">
        <f t="shared" si="110"/>
        <v>466.47321315048077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92.49458233028173</v>
      </c>
      <c r="T156" s="59">
        <f t="shared" si="142"/>
        <v>260.65744386159963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4.3174718376510741</v>
      </c>
      <c r="AA156" s="21">
        <f>EXP(-LN(2)/25)*AA155+(1-EXP(-LN(2)/25))/(LN(2)/25)*Calculateur!V156*Calculateur!X156*VLOOKUP('Données projet'!$B$9,Paramètres!$A$1:$I$89,3,0)*0.475*44/12</f>
        <v>0.32132445594781495</v>
      </c>
      <c r="AB156" s="21">
        <f>EXP(-LN(2)/2)*AB155+(1-EXP(-LN(2)/2))/(LN(2)/2)*V156*Y156*VLOOKUP('Données projet'!$B$9,Paramètres!$A$1:$I$89,3,0)*0.475*44/12</f>
        <v>1.7567013566577854E-19</v>
      </c>
      <c r="AC156" s="22">
        <f t="shared" si="163"/>
        <v>4.6387962935988893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78.318240000000216</v>
      </c>
      <c r="D157" s="11">
        <f t="shared" si="140"/>
        <v>21.7254779916444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772.2672967776075</v>
      </c>
      <c r="H157" s="67">
        <f t="shared" si="110"/>
        <v>467.57614216878102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92.49458233028173</v>
      </c>
      <c r="T157" s="59">
        <f t="shared" si="142"/>
        <v>260.65744386159963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4.2328088483125308</v>
      </c>
      <c r="AA157" s="21">
        <f>EXP(-LN(2)/25)*AA156+(1-EXP(-LN(2)/25))/(LN(2)/25)*Calculateur!V157*Calculateur!X157*VLOOKUP('Données projet'!$B$9,Paramètres!$A$1:$I$89,3,0)*0.475*44/12</f>
        <v>0.31253782180220319</v>
      </c>
      <c r="AB157" s="21">
        <f>EXP(-LN(2)/2)*AB156+(1-EXP(-LN(2)/2))/(LN(2)/2)*V157*Y157*VLOOKUP('Données projet'!$B$9,Paramètres!$A$1:$I$89,3,0)*0.475*44/12</f>
        <v>1.2421754418123278E-19</v>
      </c>
      <c r="AC157" s="22">
        <f t="shared" si="163"/>
        <v>4.5453466701147338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78.826800000000219</v>
      </c>
      <c r="D158" s="11">
        <f t="shared" si="140"/>
        <v>21.850084452639059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777.15489752914539</v>
      </c>
      <c r="H158" s="67">
        <f t="shared" si="110"/>
        <v>468.6789070883467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92.49458233028173</v>
      </c>
      <c r="T158" s="59">
        <f t="shared" si="142"/>
        <v>260.65744386159963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4.1498060485555923</v>
      </c>
      <c r="AA158" s="21">
        <f>EXP(-LN(2)/25)*AA157+(1-EXP(-LN(2)/25))/(LN(2)/25)*Calculateur!V158*Calculateur!X158*VLOOKUP('Données projet'!$B$9,Paramètres!$A$1:$I$89,3,0)*0.475*44/12</f>
        <v>0.30399145862937221</v>
      </c>
      <c r="AB158" s="21">
        <f>EXP(-LN(2)/2)*AB157+(1-EXP(-LN(2)/2))/(LN(2)/2)*V158*Y158*VLOOKUP('Données projet'!$B$9,Paramètres!$A$1:$I$89,3,0)*0.475*44/12</f>
        <v>8.7835067832889268E-20</v>
      </c>
      <c r="AC158" s="22">
        <f t="shared" si="163"/>
        <v>4.4537975071849649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79.335360000000222</v>
      </c>
      <c r="D159" s="11">
        <f t="shared" si="140"/>
        <v>21.974597372641924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782.04177620986923</v>
      </c>
      <c r="H159" s="67">
        <f t="shared" si="110"/>
        <v>469.78150909068506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92.49458233028173</v>
      </c>
      <c r="T159" s="59">
        <f t="shared" si="142"/>
        <v>260.65744386159963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4.0684308830751785</v>
      </c>
      <c r="AA159" s="21">
        <f>EXP(-LN(2)/25)*AA158+(1-EXP(-LN(2)/25))/(LN(2)/25)*Calculateur!V159*Calculateur!X159*VLOOKUP('Données projet'!$B$9,Paramètres!$A$1:$I$89,3,0)*0.475*44/12</f>
        <v>0.29567879620693599</v>
      </c>
      <c r="AB159" s="21">
        <f>EXP(-LN(2)/2)*AB158+(1-EXP(-LN(2)/2))/(LN(2)/2)*V159*Y159*VLOOKUP('Données projet'!$B$9,Paramètres!$A$1:$I$89,3,0)*0.475*44/12</f>
        <v>6.210877209061639E-20</v>
      </c>
      <c r="AC159" s="22">
        <f t="shared" si="163"/>
        <v>4.3641096792821141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79.843920000000224</v>
      </c>
      <c r="D160" s="11">
        <f t="shared" si="140"/>
        <v>22.099017420830219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786.92793798535786</v>
      </c>
      <c r="H160" s="67">
        <f t="shared" si="110"/>
        <v>470.88394934127967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92.49458233028173</v>
      </c>
      <c r="T160" s="59">
        <f t="shared" si="142"/>
        <v>260.65744386159963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3.9886514349558855</v>
      </c>
      <c r="AA160" s="21">
        <f>EXP(-LN(2)/25)*AA159+(1-EXP(-LN(2)/25))/(LN(2)/25)*Calculateur!V160*Calculateur!X160*VLOOKUP('Données projet'!$B$9,Paramètres!$A$1:$I$89,3,0)*0.475*44/12</f>
        <v>0.28759344397558523</v>
      </c>
      <c r="AB160" s="21">
        <f>EXP(-LN(2)/2)*AB159+(1-EXP(-LN(2)/2))/(LN(2)/2)*V160*Y160*VLOOKUP('Données projet'!$B$9,Paramètres!$A$1:$I$89,3,0)*0.475*44/12</f>
        <v>4.3917533916444634E-20</v>
      </c>
      <c r="AC160" s="22">
        <f t="shared" si="163"/>
        <v>4.2762448789314709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80.352480000000227</v>
      </c>
      <c r="D161" s="11">
        <f t="shared" si="140"/>
        <v>22.223345257363622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791.81338795158069</v>
      </c>
      <c r="H161" s="67">
        <f t="shared" si="110"/>
        <v>471.98622898990868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92.49458233028173</v>
      </c>
      <c r="T161" s="59">
        <f t="shared" si="142"/>
        <v>260.65744386159963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3.9104364131535529</v>
      </c>
      <c r="AA161" s="21">
        <f>EXP(-LN(2)/25)*AA160+(1-EXP(-LN(2)/25))/(LN(2)/25)*Calculateur!V161*Calculateur!X161*VLOOKUP('Données projet'!$B$9,Paramètres!$A$1:$I$89,3,0)*0.475*44/12</f>
        <v>0.27972918612619091</v>
      </c>
      <c r="AB161" s="21">
        <f>EXP(-LN(2)/2)*AB160+(1-EXP(-LN(2)/2))/(LN(2)/2)*V161*Y161*VLOOKUP('Données projet'!$B$9,Paramètres!$A$1:$I$89,3,0)*0.475*44/12</f>
        <v>3.1054386045308195E-20</v>
      </c>
      <c r="AC161" s="22">
        <f t="shared" si="163"/>
        <v>4.1901655992797435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80.86104000000023</v>
      </c>
      <c r="D162" s="11">
        <f t="shared" si="140"/>
        <v>22.347581533562153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796.69813113627106</v>
      </c>
      <c r="H162" s="67">
        <f t="shared" si="110"/>
        <v>473.08834917095442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92.49458233028173</v>
      </c>
      <c r="T162" s="59">
        <f t="shared" si="142"/>
        <v>260.65744386159963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3.8337551402223116</v>
      </c>
      <c r="AA162" s="21">
        <f>EXP(-LN(2)/25)*AA161+(1-EXP(-LN(2)/25))/(LN(2)/25)*Calculateur!V162*Calculateur!X162*VLOOKUP('Données projet'!$B$9,Paramètres!$A$1:$I$89,3,0)*0.475*44/12</f>
        <v>0.27207997682125162</v>
      </c>
      <c r="AB162" s="21">
        <f>EXP(-LN(2)/2)*AB161+(1-EXP(-LN(2)/2))/(LN(2)/2)*V162*Y162*VLOOKUP('Données projet'!$B$9,Paramètres!$A$1:$I$89,3,0)*0.475*44/12</f>
        <v>2.1958766958222317E-20</v>
      </c>
      <c r="AC162" s="22">
        <f t="shared" si="163"/>
        <v>4.1058351170435632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81.369600000000233</v>
      </c>
      <c r="D163" s="11">
        <f t="shared" si="140"/>
        <v>22.471726892079285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801.58217250026303</v>
      </c>
      <c r="H163" s="67">
        <f t="shared" si="110"/>
        <v>474.19031100370512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92.49458233028173</v>
      </c>
      <c r="T163" s="59">
        <f t="shared" si="142"/>
        <v>260.65744386159963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3.7585775402822938</v>
      </c>
      <c r="AA163" s="21">
        <f>EXP(-LN(2)/25)*AA162+(1-EXP(-LN(2)/25))/(LN(2)/25)*Calculateur!V163*Calculateur!X163*VLOOKUP('Données projet'!$B$9,Paramètres!$A$1:$I$89,3,0)*0.475*44/12</f>
        <v>0.26463993554701037</v>
      </c>
      <c r="AB163" s="21">
        <f>EXP(-LN(2)/2)*AB162+(1-EXP(-LN(2)/2))/(LN(2)/2)*V163*Y163*VLOOKUP('Données projet'!$B$9,Paramètres!$A$1:$I$89,3,0)*0.475*44/12</f>
        <v>1.5527193022654098E-20</v>
      </c>
      <c r="AC163" s="22">
        <f t="shared" si="163"/>
        <v>4.0232174758293038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81.878160000000236</v>
      </c>
      <c r="D164" s="11">
        <f t="shared" si="140"/>
        <v>22.595781967070696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806.46551693879326</v>
      </c>
      <c r="H164" s="67">
        <f t="shared" si="110"/>
        <v>475.29211559264849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92.49458233028173</v>
      </c>
      <c r="T164" s="59">
        <f t="shared" si="142"/>
        <v>260.65744386159963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3.6848741272232917</v>
      </c>
      <c r="AA164" s="21">
        <f>EXP(-LN(2)/25)*AA163+(1-EXP(-LN(2)/25))/(LN(2)/25)*Calculateur!V164*Calculateur!X164*VLOOKUP('Données projet'!$B$9,Paramètres!$A$1:$I$89,3,0)*0.475*44/12</f>
        <v>0.25740334259266801</v>
      </c>
      <c r="AB164" s="21">
        <f>EXP(-LN(2)/2)*AB163+(1-EXP(-LN(2)/2))/(LN(2)/2)*V164*Y164*VLOOKUP('Données projet'!$B$9,Paramètres!$A$1:$I$89,3,0)*0.475*44/12</f>
        <v>1.0979383479111159E-20</v>
      </c>
      <c r="AC164" s="22">
        <f t="shared" si="163"/>
        <v>3.9422774698159597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82.386720000000238</v>
      </c>
      <c r="D165" s="11">
        <f t="shared" si="140"/>
        <v>22.719747384358772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811.34816928277132</v>
      </c>
      <c r="H165" s="67">
        <f t="shared" si="110"/>
        <v>476.39376402775855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92.49458233028173</v>
      </c>
      <c r="T165" s="59">
        <f t="shared" si="142"/>
        <v>260.65744386159963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3.6126159931397335</v>
      </c>
      <c r="AA165" s="21">
        <f>EXP(-LN(2)/25)*AA164+(1-EXP(-LN(2)/25))/(LN(2)/25)*Calculateur!V165*Calculateur!X165*VLOOKUP('Données projet'!$B$9,Paramètres!$A$1:$I$89,3,0)*0.475*44/12</f>
        <v>0.25036463465321801</v>
      </c>
      <c r="AB165" s="21">
        <f>EXP(-LN(2)/2)*AB164+(1-EXP(-LN(2)/2))/(LN(2)/2)*V165*Y165*VLOOKUP('Données projet'!$B$9,Paramètres!$A$1:$I$89,3,0)*0.475*44/12</f>
        <v>7.7635965113270488E-21</v>
      </c>
      <c r="AC165" s="22">
        <f t="shared" si="163"/>
        <v>3.8629806277929513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82.895280000000241</v>
      </c>
      <c r="D166" s="11">
        <f t="shared" si="140"/>
        <v>22.843623761592784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816.2301343000164</v>
      </c>
      <c r="H166" s="67">
        <f t="shared" si="110"/>
        <v>477.4952573847745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92.49458233028173</v>
      </c>
      <c r="T166" s="59">
        <f t="shared" si="142"/>
        <v>260.65744386159963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3.5417747969924438</v>
      </c>
      <c r="AA166" s="21">
        <f>EXP(-LN(2)/25)*AA165+(1-EXP(-LN(2)/25))/(LN(2)/25)*Calculateur!V166*Calculateur!X166*VLOOKUP('Données projet'!$B$9,Paramètres!$A$1:$I$89,3,0)*0.475*44/12</f>
        <v>0.24351840055252183</v>
      </c>
      <c r="AB166" s="21">
        <f>EXP(-LN(2)/2)*AB165+(1-EXP(-LN(2)/2))/(LN(2)/2)*V166*Y166*VLOOKUP('Données projet'!$B$9,Paramètres!$A$1:$I$89,3,0)*0.475*44/12</f>
        <v>5.4896917395555793E-21</v>
      </c>
      <c r="AC166" s="22">
        <f t="shared" si="163"/>
        <v>3.7852931975449655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83.403840000000244</v>
      </c>
      <c r="D167" s="11">
        <f t="shared" si="140"/>
        <v>22.967411708405145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821.1114166964627</v>
      </c>
      <c r="H167" s="67">
        <f t="shared" si="110"/>
        <v>478.59659672547269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92.49458233028173</v>
      </c>
      <c r="T167" s="59">
        <f t="shared" si="142"/>
        <v>260.65744386159963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3.4723227534927394</v>
      </c>
      <c r="AA167" s="21">
        <f>EXP(-LN(2)/25)*AA166+(1-EXP(-LN(2)/25))/(LN(2)/25)*Calculateur!V167*Calculateur!X167*VLOOKUP('Données projet'!$B$9,Paramètres!$A$1:$I$89,3,0)*0.475*44/12</f>
        <v>0.23685937708333701</v>
      </c>
      <c r="AB167" s="21">
        <f>EXP(-LN(2)/2)*AB166+(1-EXP(-LN(2)/2))/(LN(2)/2)*V167*Y167*VLOOKUP('Données projet'!$B$9,Paramètres!$A$1:$I$89,3,0)*0.475*44/12</f>
        <v>3.8817982556635244E-21</v>
      </c>
      <c r="AC167" s="22">
        <f t="shared" si="163"/>
        <v>3.7091821305760764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83.912400000000247</v>
      </c>
      <c r="D168" s="11">
        <f t="shared" si="140"/>
        <v>23.091111826563672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825.99202111733564</v>
      </c>
      <c r="H168" s="67">
        <f t="shared" si="110"/>
        <v>479.69778309793213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92.49458233028173</v>
      </c>
      <c r="T168" s="59">
        <f t="shared" si="142"/>
        <v>260.65744386159963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3.4042326222045003</v>
      </c>
      <c r="AA168" s="21">
        <f>EXP(-LN(2)/25)*AA167+(1-EXP(-LN(2)/25))/(LN(2)/25)*Calculateur!V168*Calculateur!X168*VLOOKUP('Données projet'!$B$9,Paramètres!$A$1:$I$89,3,0)*0.475*44/12</f>
        <v>0.23038244496109986</v>
      </c>
      <c r="AB168" s="21">
        <f>EXP(-LN(2)/2)*AB167+(1-EXP(-LN(2)/2))/(LN(2)/2)*V168*Y168*VLOOKUP('Données projet'!$B$9,Paramètres!$A$1:$I$89,3,0)*0.475*44/12</f>
        <v>2.7448458697777896E-21</v>
      </c>
      <c r="AC168" s="22">
        <f t="shared" si="163"/>
        <v>3.6346150671656003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84.42096000000025</v>
      </c>
      <c r="D169" s="11">
        <f t="shared" si="140"/>
        <v>23.214724710120091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830.87195214829751</v>
      </c>
      <c r="H169" s="67">
        <f t="shared" si="110"/>
        <v>480.79881753679291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92.49458233028173</v>
      </c>
      <c r="T169" s="59">
        <f t="shared" si="142"/>
        <v>260.65744386159963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3.3374776968599442</v>
      </c>
      <c r="AA169" s="21">
        <f>EXP(-LN(2)/25)*AA168+(1-EXP(-LN(2)/25))/(LN(2)/25)*Calculateur!V169*Calculateur!X169*VLOOKUP('Données projet'!$B$9,Paramètres!$A$1:$I$89,3,0)*0.475*44/12</f>
        <v>0.22408262488835234</v>
      </c>
      <c r="AB169" s="21">
        <f>EXP(-LN(2)/2)*AB168+(1-EXP(-LN(2)/2))/(LN(2)/2)*V169*Y169*VLOOKUP('Données projet'!$B$9,Paramètres!$A$1:$I$89,3,0)*0.475*44/12</f>
        <v>1.9408991278317622E-21</v>
      </c>
      <c r="AC169" s="22">
        <f t="shared" si="163"/>
        <v>3.5615603217482965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84.929520000000252</v>
      </c>
      <c r="D170" s="11">
        <f t="shared" si="140"/>
        <v>23.33825094555484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835.75121431656578</v>
      </c>
      <c r="H170" s="67">
        <f t="shared" si="110"/>
        <v>481.89970106350842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92.49458233028173</v>
      </c>
      <c r="T170" s="59">
        <f t="shared" si="142"/>
        <v>260.65744386159963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3.2720317948849109</v>
      </c>
      <c r="AA170" s="21">
        <f>EXP(-LN(2)/25)*AA169+(1-EXP(-LN(2)/25))/(LN(2)/25)*Calculateur!V170*Calculateur!X170*VLOOKUP('Données projet'!$B$9,Paramètres!$A$1:$I$89,3,0)*0.475*44/12</f>
        <v>0.21795507372678724</v>
      </c>
      <c r="AB170" s="21">
        <f>EXP(-LN(2)/2)*AB169+(1-EXP(-LN(2)/2))/(LN(2)/2)*V170*Y170*VLOOKUP('Données projet'!$B$9,Paramètres!$A$1:$I$89,3,0)*0.475*44/12</f>
        <v>1.3724229348888948E-21</v>
      </c>
      <c r="AC170" s="22">
        <f t="shared" si="163"/>
        <v>3.4899868686116982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85.438080000000255</v>
      </c>
      <c r="D171" s="11">
        <f t="shared" si="140"/>
        <v>23.461691111918345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840.62981209200325</v>
      </c>
      <c r="H171" s="67">
        <f t="shared" si="110"/>
        <v>483.00043468659152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92.49458233028173</v>
      </c>
      <c r="T171" s="59">
        <f t="shared" si="142"/>
        <v>260.65744386159963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3.2078692471295494</v>
      </c>
      <c r="AA171" s="21">
        <f>EXP(-LN(2)/25)*AA170+(1-EXP(-LN(2)/25))/(LN(2)/25)*Calculateur!V171*Calculateur!X171*VLOOKUP('Données projet'!$B$9,Paramètres!$A$1:$I$89,3,0)*0.475*44/12</f>
        <v>0.21199508077396906</v>
      </c>
      <c r="AB171" s="21">
        <f>EXP(-LN(2)/2)*AB170+(1-EXP(-LN(2)/2))/(LN(2)/2)*V171*Y171*VLOOKUP('Données projet'!$B$9,Paramètres!$A$1:$I$89,3,0)*0.475*44/12</f>
        <v>9.704495639158811E-22</v>
      </c>
      <c r="AC171" s="22">
        <f t="shared" si="163"/>
        <v>3.4198643279035186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85.946640000000258</v>
      </c>
      <c r="D172" s="11">
        <f t="shared" si="140"/>
        <v>23.585045780968709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845.50774988818148</v>
      </c>
      <c r="H172" s="67">
        <f t="shared" si="110"/>
        <v>484.10101940185427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92.49458233028173</v>
      </c>
      <c r="T172" s="59">
        <f t="shared" si="142"/>
        <v>260.65744386159963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3.1449648878003806</v>
      </c>
      <c r="AA172" s="21">
        <f>EXP(-LN(2)/25)*AA171+(1-EXP(-LN(2)/25))/(LN(2)/25)*Calculateur!V172*Calculateur!X172*VLOOKUP('Données projet'!$B$9,Paramètres!$A$1:$I$89,3,0)*0.475*44/12</f>
        <v>0.20619806414186809</v>
      </c>
      <c r="AB172" s="21">
        <f>EXP(-LN(2)/2)*AB171+(1-EXP(-LN(2)/2))/(LN(2)/2)*V172*Y172*VLOOKUP('Données projet'!$B$9,Paramètres!$A$1:$I$89,3,0)*0.475*44/12</f>
        <v>6.8621146744444741E-22</v>
      </c>
      <c r="AC172" s="22">
        <f t="shared" si="163"/>
        <v>3.3511629519422486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86.455200000000261</v>
      </c>
      <c r="D173" s="11">
        <f t="shared" si="140"/>
        <v>23.708315517306314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850.3850320634192</v>
      </c>
      <c r="H173" s="67">
        <f t="shared" si="110"/>
        <v>485.20145619264224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92.49458233028173</v>
      </c>
      <c r="T173" s="59">
        <f t="shared" si="142"/>
        <v>260.65744386159963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3.0832940445897865</v>
      </c>
      <c r="AA173" s="21">
        <f>EXP(-LN(2)/25)*AA172+(1-EXP(-LN(2)/25))/(LN(2)/25)*Calculateur!V173*Calculateur!X173*VLOOKUP('Données projet'!$B$9,Paramètres!$A$1:$I$89,3,0)*0.475*44/12</f>
        <v>0.20055956723442378</v>
      </c>
      <c r="AB173" s="21">
        <f>EXP(-LN(2)/2)*AB172+(1-EXP(-LN(2)/2))/(LN(2)/2)*V173*Y173*VLOOKUP('Données projet'!$B$9,Paramètres!$A$1:$I$89,3,0)*0.475*44/12</f>
        <v>4.8522478195794055E-22</v>
      </c>
      <c r="AC173" s="22">
        <f t="shared" si="163"/>
        <v>3.2838536118242101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86.963760000000264</v>
      </c>
      <c r="D174" s="11">
        <f t="shared" si="140"/>
        <v>23.831500878504777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855.26166292179335</v>
      </c>
      <c r="H174" s="67">
        <f t="shared" si="110"/>
        <v>486.30174603006293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92.49458233028173</v>
      </c>
      <c r="T174" s="59">
        <f t="shared" si="142"/>
        <v>260.65744386159963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3.0228325289990519</v>
      </c>
      <c r="AA174" s="21">
        <f>EXP(-LN(2)/25)*AA173+(1-EXP(-LN(2)/25))/(LN(2)/25)*Calculateur!V174*Calculateur!X174*VLOOKUP('Données projet'!$B$9,Paramètres!$A$1:$I$89,3,0)*0.475*44/12</f>
        <v>0.19507525532142922</v>
      </c>
      <c r="AB174" s="21">
        <f>EXP(-LN(2)/2)*AB173+(1-EXP(-LN(2)/2))/(LN(2)/2)*V174*Y174*VLOOKUP('Données projet'!$B$9,Paramètres!$A$1:$I$89,3,0)*0.475*44/12</f>
        <v>3.431057337222237E-22</v>
      </c>
      <c r="AC174" s="22">
        <f t="shared" si="163"/>
        <v>3.2179077843204809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87.472320000000266</v>
      </c>
      <c r="D175" s="11">
        <f t="shared" si="140"/>
        <v>23.954602415239137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860.13764671412866</v>
      </c>
      <c r="H175" s="67">
        <f t="shared" si="110"/>
        <v>487.40188987320857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92.49458233028173</v>
      </c>
      <c r="T175" s="59">
        <f t="shared" si="142"/>
        <v>260.65744386159963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2.9635566268511684</v>
      </c>
      <c r="AA175" s="21">
        <f>EXP(-LN(2)/25)*AA174+(1-EXP(-LN(2)/25))/(LN(2)/25)*Calculateur!V175*Calculateur!X175*VLOOKUP('Données projet'!$B$9,Paramètres!$A$1:$I$89,3,0)*0.475*44/12</f>
        <v>0.18974091220610292</v>
      </c>
      <c r="AB175" s="21">
        <f>EXP(-LN(2)/2)*AB174+(1-EXP(-LN(2)/2))/(LN(2)/2)*V175*Y175*VLOOKUP('Données projet'!$B$9,Paramètres!$A$1:$I$89,3,0)*0.475*44/12</f>
        <v>2.4261239097897028E-22</v>
      </c>
      <c r="AC175" s="22">
        <f t="shared" si="163"/>
        <v>3.1532975390572715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87.980880000000269</v>
      </c>
      <c r="D176" s="11">
        <f t="shared" si="140"/>
        <v>24.077620671410731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865.01298763896204</v>
      </c>
      <c r="H176" s="67">
        <f t="shared" si="110"/>
        <v>488.50188866937413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92.49458233028173</v>
      </c>
      <c r="T176" s="59">
        <f t="shared" si="142"/>
        <v>260.65744386159963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2.9054430889896747</v>
      </c>
      <c r="AA176" s="21">
        <f>EXP(-LN(2)/25)*AA175+(1-EXP(-LN(2)/25))/(LN(2)/25)*Calculateur!V176*Calculateur!X176*VLOOKUP('Données projet'!$B$9,Paramètres!$A$1:$I$89,3,0)*0.475*44/12</f>
        <v>0.18455243698378612</v>
      </c>
      <c r="AB176" s="21">
        <f>EXP(-LN(2)/2)*AB175+(1-EXP(-LN(2)/2))/(LN(2)/2)*V176*Y176*VLOOKUP('Données projet'!$B$9,Paramètres!$A$1:$I$89,3,0)*0.475*44/12</f>
        <v>1.7155286686111185E-22</v>
      </c>
      <c r="AC176" s="22">
        <f t="shared" si="163"/>
        <v>3.0899955259734608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88.489440000000272</v>
      </c>
      <c r="D177" s="11">
        <f t="shared" si="140"/>
        <v>24.200556184269178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869.88768984348337</v>
      </c>
      <c r="H177" s="67">
        <f t="shared" si="110"/>
        <v>489.60174335426927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92.49458233028173</v>
      </c>
      <c r="T177" s="59">
        <f t="shared" si="142"/>
        <v>260.65744386159963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2.8484691221598868</v>
      </c>
      <c r="AA177" s="21">
        <f>EXP(-LN(2)/25)*AA176+(1-EXP(-LN(2)/25))/(LN(2)/25)*Calculateur!V177*Calculateur!X177*VLOOKUP('Données projet'!$B$9,Paramètres!$A$1:$I$89,3,0)*0.475*44/12</f>
        <v>0.17950584088927363</v>
      </c>
      <c r="AB177" s="21">
        <f>EXP(-LN(2)/2)*AB176+(1-EXP(-LN(2)/2))/(LN(2)/2)*V177*Y177*VLOOKUP('Données projet'!$B$9,Paramètres!$A$1:$I$89,3,0)*0.475*44/12</f>
        <v>1.2130619548948514E-22</v>
      </c>
      <c r="AC177" s="22">
        <f t="shared" si="163"/>
        <v>3.0279749630491604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88.998000000000275</v>
      </c>
      <c r="D178" s="11">
        <f t="shared" si="140"/>
        <v>24.323409484531542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874.76175742445605</v>
      </c>
      <c r="H178" s="67">
        <f t="shared" si="110"/>
        <v>490.70145485222622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92.49458233028173</v>
      </c>
      <c r="T178" s="59">
        <f t="shared" si="142"/>
        <v>260.65744386159963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2.7926123800689426</v>
      </c>
      <c r="AA178" s="21">
        <f>EXP(-LN(2)/25)*AA177+(1-EXP(-LN(2)/25))/(LN(2)/25)*Calculateur!V178*Calculateur!X178*VLOOKUP('Données projet'!$B$9,Paramètres!$A$1:$I$89,3,0)*0.475*44/12</f>
        <v>0.17459724423035453</v>
      </c>
      <c r="AB178" s="21">
        <f>EXP(-LN(2)/2)*AB177+(1-EXP(-LN(2)/2))/(LN(2)/2)*V178*Y178*VLOOKUP('Données projet'!$B$9,Paramètres!$A$1:$I$89,3,0)*0.475*44/12</f>
        <v>8.5776433430555926E-23</v>
      </c>
      <c r="AC178" s="22">
        <f t="shared" si="163"/>
        <v>2.9672096242992971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89.506560000000277</v>
      </c>
      <c r="D179" s="11">
        <f t="shared" si="140"/>
        <v>24.446181096498528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879.63519442911365</v>
      </c>
      <c r="H179" s="67">
        <f t="shared" si="110"/>
        <v>491.80102407640209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92.49458233028173</v>
      </c>
      <c r="T179" s="59">
        <f t="shared" si="142"/>
        <v>260.65744386159963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2.7378509546211531</v>
      </c>
      <c r="AA179" s="21">
        <f>EXP(-LN(2)/25)*AA178+(1-EXP(-LN(2)/25))/(LN(2)/25)*Calculateur!V179*Calculateur!X179*VLOOKUP('Données projet'!$B$9,Paramètres!$A$1:$I$89,3,0)*0.475*44/12</f>
        <v>0.16982287340520547</v>
      </c>
      <c r="AB179" s="21">
        <f>EXP(-LN(2)/2)*AB178+(1-EXP(-LN(2)/2))/(LN(2)/2)*V179*Y179*VLOOKUP('Données projet'!$B$9,Paramètres!$A$1:$I$89,3,0)*0.475*44/12</f>
        <v>6.0653097744742569E-23</v>
      </c>
      <c r="AC179" s="22">
        <f t="shared" si="163"/>
        <v>2.9076738280263585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90.01512000000028</v>
      </c>
      <c r="D180" s="11">
        <f t="shared" si="140"/>
        <v>24.568871538168118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884.50800485603668</v>
      </c>
      <c r="H180" s="67">
        <f t="shared" si="110"/>
        <v>492.90045192897657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92.49458233028173</v>
      </c>
      <c r="T180" s="59">
        <f t="shared" si="142"/>
        <v>260.65744386159963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2.6841633673252234</v>
      </c>
      <c r="AA180" s="21">
        <f>EXP(-LN(2)/25)*AA179+(1-EXP(-LN(2)/25))/(LN(2)/25)*Calculateur!V180*Calculateur!X180*VLOOKUP('Données projet'!$B$9,Paramètres!$A$1:$I$89,3,0)*0.475*44/12</f>
        <v>0.16517905800134333</v>
      </c>
      <c r="AB180" s="21">
        <f>EXP(-LN(2)/2)*AB179+(1-EXP(-LN(2)/2))/(LN(2)/2)*V180*Y180*VLOOKUP('Données projet'!$B$9,Paramètres!$A$1:$I$89,3,0)*0.475*44/12</f>
        <v>4.2888216715277963E-23</v>
      </c>
      <c r="AC180" s="22">
        <f t="shared" si="163"/>
        <v>2.8493424253265669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90.523680000000283</v>
      </c>
      <c r="D181" s="11">
        <f t="shared" si="140"/>
        <v>24.691481321346508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889.38019265601042</v>
      </c>
      <c r="H181" s="67">
        <f t="shared" si="110"/>
        <v>493.99973930134564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92.49458233028173</v>
      </c>
      <c r="T181" s="59">
        <f t="shared" si="142"/>
        <v>260.65744386159963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2.6315285608699721</v>
      </c>
      <c r="AA181" s="21">
        <f>EXP(-LN(2)/25)*AA180+(1-EXP(-LN(2)/25))/(LN(2)/25)*Calculateur!V181*Calculateur!X181*VLOOKUP('Données projet'!$B$9,Paramètres!$A$1:$I$89,3,0)*0.475*44/12</f>
        <v>0.16066222797390747</v>
      </c>
      <c r="AB181" s="21">
        <f>EXP(-LN(2)/2)*AB180+(1-EXP(-LN(2)/2))/(LN(2)/2)*V181*Y181*VLOOKUP('Données projet'!$B$9,Paramètres!$A$1:$I$89,3,0)*0.475*44/12</f>
        <v>3.0326548872371284E-23</v>
      </c>
      <c r="AC181" s="22">
        <f t="shared" si="163"/>
        <v>2.7921907888438797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91.032240000000286</v>
      </c>
      <c r="D182" s="11">
        <f t="shared" si="140"/>
        <v>24.814010951756465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894.25176173285934</v>
      </c>
      <c r="H182" s="67">
        <f t="shared" si="110"/>
        <v>495.09888707430969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92.49458233028173</v>
      </c>
      <c r="T182" s="59">
        <f t="shared" si="142"/>
        <v>260.65744386159963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2.5799258908652463</v>
      </c>
      <c r="AA182" s="21">
        <f>EXP(-LN(2)/25)*AA181+(1-EXP(-LN(2)/25))/(LN(2)/25)*Calculateur!V182*Calculateur!X182*VLOOKUP('Données projet'!$B$9,Paramètres!$A$1:$I$89,3,0)*0.475*44/12</f>
        <v>0.15626891090110159</v>
      </c>
      <c r="AB182" s="21">
        <f>EXP(-LN(2)/2)*AB181+(1-EXP(-LN(2)/2))/(LN(2)/2)*V182*Y182*VLOOKUP('Données projet'!$B$9,Paramètres!$A$1:$I$89,3,0)*0.475*44/12</f>
        <v>2.1444108357638982E-23</v>
      </c>
      <c r="AC182" s="22">
        <f t="shared" si="163"/>
        <v>2.7361948017663478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91.540800000000289</v>
      </c>
      <c r="D183" s="11">
        <f t="shared" si="140"/>
        <v>24.93646092914322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899.12271594426568</v>
      </c>
      <c r="H183" s="67">
        <f t="shared" si="110"/>
        <v>496.19789611825826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92.49458233028173</v>
      </c>
      <c r="T183" s="59">
        <f t="shared" si="142"/>
        <v>260.65744386159963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2.5293351177447922</v>
      </c>
      <c r="AA183" s="21">
        <f>EXP(-LN(2)/25)*AA182+(1-EXP(-LN(2)/25))/(LN(2)/25)*Calculateur!V183*Calculateur!X183*VLOOKUP('Données projet'!$B$9,Paramètres!$A$1:$I$89,3,0)*0.475*44/12</f>
        <v>0.15199572931468611</v>
      </c>
      <c r="AB183" s="21">
        <f>EXP(-LN(2)/2)*AB182+(1-EXP(-LN(2)/2))/(LN(2)/2)*V183*Y183*VLOOKUP('Données projet'!$B$9,Paramètres!$A$1:$I$89,3,0)*0.475*44/12</f>
        <v>1.5163274436185642E-23</v>
      </c>
      <c r="AC183" s="22">
        <f t="shared" si="163"/>
        <v>2.6813308470594786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92.049360000000291</v>
      </c>
      <c r="D184" s="11">
        <f t="shared" si="140"/>
        <v>25.058831747377901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903.99305910256851</v>
      </c>
      <c r="H184" s="67">
        <f t="shared" si="110"/>
        <v>497.29676729335029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92.49458233028173</v>
      </c>
      <c r="T184" s="59">
        <f t="shared" si="142"/>
        <v>260.65744386159963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2.4797363988279058</v>
      </c>
      <c r="AA184" s="21">
        <f>EXP(-LN(2)/25)*AA183+(1-EXP(-LN(2)/25))/(LN(2)/25)*Calculateur!V184*Calculateur!X184*VLOOKUP('Données projet'!$B$9,Paramètres!$A$1:$I$89,3,0)*0.475*44/12</f>
        <v>0.14783939810346799</v>
      </c>
      <c r="AB184" s="21">
        <f>EXP(-LN(2)/2)*AB183+(1-EXP(-LN(2)/2))/(LN(2)/2)*V184*Y184*VLOOKUP('Données projet'!$B$9,Paramètres!$A$1:$I$89,3,0)*0.475*44/12</f>
        <v>1.0722054178819491E-23</v>
      </c>
      <c r="AC184" s="22">
        <f t="shared" si="163"/>
        <v>2.6275757969313736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92.557920000000294</v>
      </c>
      <c r="D185" s="11">
        <f t="shared" si="140"/>
        <v>25.181123894558723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908.86279497554335</v>
      </c>
      <c r="H185" s="67">
        <f t="shared" si="110"/>
        <v>498.3955014496903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92.49458233028173</v>
      </c>
      <c r="T185" s="59">
        <f t="shared" si="142"/>
        <v>260.65744386159963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2.4311102805367479</v>
      </c>
      <c r="AA185" s="21">
        <f>EXP(-LN(2)/25)*AA184+(1-EXP(-LN(2)/25))/(LN(2)/25)*Calculateur!V185*Calculateur!X185*VLOOKUP('Données projet'!$B$9,Paramètres!$A$1:$I$89,3,0)*0.475*44/12</f>
        <v>0.14379672198779261</v>
      </c>
      <c r="AB185" s="21">
        <f>EXP(-LN(2)/2)*AB184+(1-EXP(-LN(2)/2))/(LN(2)/2)*V185*Y185*VLOOKUP('Données projet'!$B$9,Paramètres!$A$1:$I$89,3,0)*0.475*44/12</f>
        <v>7.5816372180928211E-24</v>
      </c>
      <c r="AC185" s="22">
        <f t="shared" si="163"/>
        <v>2.5749070025245406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93.066480000000297</v>
      </c>
      <c r="D186" s="11">
        <f t="shared" si="140"/>
        <v>25.303337853109635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913.73192728716458</v>
      </c>
      <c r="H186" s="67">
        <f t="shared" si="110"/>
        <v>499.4940994274998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92.49458233028173</v>
      </c>
      <c r="T186" s="59">
        <f t="shared" si="142"/>
        <v>260.65744386159963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2.383437690766276</v>
      </c>
      <c r="AA186" s="21">
        <f>EXP(-LN(2)/25)*AA185+(1-EXP(-LN(2)/25))/(LN(2)/25)*Calculateur!V186*Calculateur!X186*VLOOKUP('Données projet'!$B$9,Paramètres!$A$1:$I$89,3,0)*0.475*44/12</f>
        <v>0.13986459306309545</v>
      </c>
      <c r="AB186" s="21">
        <f>EXP(-LN(2)/2)*AB185+(1-EXP(-LN(2)/2))/(LN(2)/2)*V186*Y186*VLOOKUP('Données projet'!$B$9,Paramètres!$A$1:$I$89,3,0)*0.475*44/12</f>
        <v>5.3610270894097454E-24</v>
      </c>
      <c r="AC186" s="22">
        <f t="shared" si="163"/>
        <v>2.5233022838293713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93.5750400000003</v>
      </c>
      <c r="D187" s="11">
        <f t="shared" si="140"/>
        <v>25.42547409987715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918.60045971835234</v>
      </c>
      <c r="H187" s="67">
        <f t="shared" si="110"/>
        <v>500.5925620572865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92.49458233028173</v>
      </c>
      <c r="T187" s="59">
        <f t="shared" si="142"/>
        <v>260.65744386159963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2.3366999314037944</v>
      </c>
      <c r="AA187" s="21">
        <f>EXP(-LN(2)/25)*AA186+(1-EXP(-LN(2)/25))/(LN(2)/25)*Calculateur!V187*Calculateur!X187*VLOOKUP('Données projet'!$B$9,Paramètres!$A$1:$I$89,3,0)*0.475*44/12</f>
        <v>0.13603998841062581</v>
      </c>
      <c r="AB187" s="21">
        <f>EXP(-LN(2)/2)*AB186+(1-EXP(-LN(2)/2))/(LN(2)/2)*V187*Y187*VLOOKUP('Données projet'!$B$9,Paramètres!$A$1:$I$89,3,0)*0.475*44/12</f>
        <v>3.7908186090464105E-24</v>
      </c>
      <c r="AC187" s="22">
        <f t="shared" si="163"/>
        <v>2.47273991981442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94.083600000000303</v>
      </c>
      <c r="D188" s="11">
        <f t="shared" si="140"/>
        <v>25.547533106224602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923.46839590770105</v>
      </c>
      <c r="H188" s="67">
        <f t="shared" si="110"/>
        <v>501.69089016000834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92.49458233028173</v>
      </c>
      <c r="T188" s="59">
        <f t="shared" si="142"/>
        <v>260.65744386159963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2.2908786709951929</v>
      </c>
      <c r="AA188" s="21">
        <f>EXP(-LN(2)/25)*AA187+(1-EXP(-LN(2)/25))/(LN(2)/25)*Calculateur!V188*Calculateur!X188*VLOOKUP('Données projet'!$B$9,Paramètres!$A$1:$I$89,3,0)*0.475*44/12</f>
        <v>0.13231996777350519</v>
      </c>
      <c r="AB188" s="21">
        <f>EXP(-LN(2)/2)*AB187+(1-EXP(-LN(2)/2))/(LN(2)/2)*V188*Y188*VLOOKUP('Données projet'!$B$9,Paramètres!$A$1:$I$89,3,0)*0.475*44/12</f>
        <v>2.6805135447048727E-24</v>
      </c>
      <c r="AC188" s="22">
        <f t="shared" si="163"/>
        <v>2.4231986387686981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94.592160000000305</v>
      </c>
      <c r="D189" s="11">
        <f t="shared" si="140"/>
        <v>25.669515338124533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928.33573945219177</v>
      </c>
      <c r="H189" s="67">
        <f t="shared" si="110"/>
        <v>502.78908454723404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92.49458233028173</v>
      </c>
      <c r="T189" s="59">
        <f t="shared" si="142"/>
        <v>260.65744386159963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2.2459559375549949</v>
      </c>
      <c r="AA189" s="21">
        <f>EXP(-LN(2)/25)*AA188+(1-EXP(-LN(2)/25))/(LN(2)/25)*Calculateur!V189*Calculateur!X189*VLOOKUP('Données projet'!$B$9,Paramètres!$A$1:$I$89,3,0)*0.475*44/12</f>
        <v>0.128701671296334</v>
      </c>
      <c r="AB189" s="21">
        <f>EXP(-LN(2)/2)*AB188+(1-EXP(-LN(2)/2))/(LN(2)/2)*V189*Y189*VLOOKUP('Données projet'!$B$9,Paramètres!$A$1:$I$89,3,0)*0.475*44/12</f>
        <v>1.8954093045232053E-24</v>
      </c>
      <c r="AC189" s="22">
        <f t="shared" si="163"/>
        <v>2.3746576088513289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95.100720000000308</v>
      </c>
      <c r="D190" s="11">
        <f t="shared" si="140"/>
        <v>25.791421256249013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933.20249390788956</v>
      </c>
      <c r="H190" s="67">
        <f t="shared" si="110"/>
        <v>503.88714602130085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92.49458233028173</v>
      </c>
      <c r="T190" s="59">
        <f t="shared" si="142"/>
        <v>260.65744386159963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2.201914111517397</v>
      </c>
      <c r="AA190" s="21">
        <f>EXP(-LN(2)/25)*AA189+(1-EXP(-LN(2)/25))/(LN(2)/25)*Calculateur!V190*Calculateur!X190*VLOOKUP('Données projet'!$B$9,Paramètres!$A$1:$I$89,3,0)*0.475*44/12</f>
        <v>0.12518231732660901</v>
      </c>
      <c r="AB190" s="21">
        <f>EXP(-LN(2)/2)*AB189+(1-EXP(-LN(2)/2))/(LN(2)/2)*V190*Y190*VLOOKUP('Données projet'!$B$9,Paramètres!$A$1:$I$89,3,0)*0.475*44/12</f>
        <v>1.3402567723524363E-24</v>
      </c>
      <c r="AC190" s="22">
        <f t="shared" si="163"/>
        <v>2.3270964288440061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95.609280000000311</v>
      </c>
      <c r="D191" s="11">
        <f t="shared" si="140"/>
        <v>25.913251316057998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938.06866279062558</v>
      </c>
      <c r="H191" s="67">
        <f t="shared" si="110"/>
        <v>504.98507537546817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92.49458233028173</v>
      </c>
      <c r="T191" s="59">
        <f t="shared" si="142"/>
        <v>260.65744386159963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2.1587359188255353</v>
      </c>
      <c r="AA191" s="21">
        <f>EXP(-LN(2)/25)*AA190+(1-EXP(-LN(2)/25))/(LN(2)/25)*Calculateur!V191*Calculateur!X191*VLOOKUP('Données projet'!$B$9,Paramètres!$A$1:$I$89,3,0)*0.475*44/12</f>
        <v>0.12175920027626091</v>
      </c>
      <c r="AB191" s="21">
        <f>EXP(-LN(2)/2)*AB190+(1-EXP(-LN(2)/2))/(LN(2)/2)*V191*Y191*VLOOKUP('Données projet'!$B$9,Paramètres!$A$1:$I$89,3,0)*0.475*44/12</f>
        <v>9.4770465226160264E-25</v>
      </c>
      <c r="AC191" s="22">
        <f t="shared" si="163"/>
        <v>2.2804951191017961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96.117840000000314</v>
      </c>
      <c r="D192" s="11">
        <f t="shared" si="140"/>
        <v>26.035005967885567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942.93424957666286</v>
      </c>
      <c r="H192" s="67">
        <f t="shared" si="110"/>
        <v>506.08287339406786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92.49458233028173</v>
      </c>
      <c r="T192" s="59">
        <f t="shared" si="142"/>
        <v>260.65744386159963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2.1164044241562636</v>
      </c>
      <c r="AA192" s="21">
        <f>EXP(-LN(2)/25)*AA191+(1-EXP(-LN(2)/25))/(LN(2)/25)*Calculateur!V192*Calculateur!X192*VLOOKUP('Données projet'!$B$9,Paramètres!$A$1:$I$89,3,0)*0.475*44/12</f>
        <v>0.11842968854166851</v>
      </c>
      <c r="AB192" s="21">
        <f>EXP(-LN(2)/2)*AB191+(1-EXP(-LN(2)/2))/(LN(2)/2)*V192*Y192*VLOOKUP('Données projet'!$B$9,Paramètres!$A$1:$I$89,3,0)*0.475*44/12</f>
        <v>6.7012838617621817E-25</v>
      </c>
      <c r="AC192" s="22">
        <f t="shared" si="163"/>
        <v>2.2348341126979321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96.626400000000316</v>
      </c>
      <c r="D193" s="11">
        <f t="shared" si="140"/>
        <v>26.156685657024486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947.79925770334921</v>
      </c>
      <c r="H193" s="67">
        <f t="shared" si="110"/>
        <v>507.18054085265146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92.49458233028173</v>
      </c>
      <c r="T193" s="59">
        <f t="shared" si="142"/>
        <v>260.65744386159963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2.0749030242777944</v>
      </c>
      <c r="AA193" s="21">
        <f>EXP(-LN(2)/25)*AA192+(1-EXP(-LN(2)/25))/(LN(2)/25)*Calculateur!V193*Calculateur!X193*VLOOKUP('Données projet'!$B$9,Paramètres!$A$1:$I$89,3,0)*0.475*44/12</f>
        <v>0.11519122248054993</v>
      </c>
      <c r="AB193" s="21">
        <f>EXP(-LN(2)/2)*AB192+(1-EXP(-LN(2)/2))/(LN(2)/2)*V193*Y193*VLOOKUP('Données projet'!$B$9,Paramètres!$A$1:$I$89,3,0)*0.475*44/12</f>
        <v>4.7385232613080132E-25</v>
      </c>
      <c r="AC193" s="22">
        <f t="shared" si="163"/>
        <v>2.1900942467583442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97.134960000000319</v>
      </c>
      <c r="D194" s="11">
        <f t="shared" si="140"/>
        <v>26.278290823808955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952.66369056975589</v>
      </c>
      <c r="H194" s="67">
        <f t="shared" si="110"/>
        <v>508.27807851813446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92.49458233028173</v>
      </c>
      <c r="T194" s="59">
        <f t="shared" si="142"/>
        <v>260.65744386159963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2.0342154415375875</v>
      </c>
      <c r="AA194" s="21">
        <f>EXP(-LN(2)/25)*AA193+(1-EXP(-LN(2)/25))/(LN(2)/25)*Calculateur!V194*Calculateur!X194*VLOOKUP('Données projet'!$B$9,Paramètres!$A$1:$I$89,3,0)*0.475*44/12</f>
        <v>0.11204131244417617</v>
      </c>
      <c r="AB194" s="21">
        <f>EXP(-LN(2)/2)*AB193+(1-EXP(-LN(2)/2))/(LN(2)/2)*V194*Y194*VLOOKUP('Données projet'!$B$9,Paramètres!$A$1:$I$89,3,0)*0.475*44/12</f>
        <v>3.3506419308810909E-25</v>
      </c>
      <c r="AC194" s="22">
        <f t="shared" si="163"/>
        <v>2.1462567539817639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97.643520000000322</v>
      </c>
      <c r="D195" s="11">
        <f t="shared" si="140"/>
        <v>26.399821903695369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957.52755153730016</v>
      </c>
      <c r="H195" s="67">
        <f t="shared" si="110"/>
        <v>509.3754871489366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92.49458233028173</v>
      </c>
      <c r="T195" s="59">
        <f t="shared" si="142"/>
        <v>260.65744386159963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1.994325717477941</v>
      </c>
      <c r="AA195" s="21">
        <f>EXP(-LN(2)/25)*AA194+(1-EXP(-LN(2)/25))/(LN(2)/25)*Calculateur!V195*Calculateur!X195*VLOOKUP('Données projet'!$B$9,Paramètres!$A$1:$I$89,3,0)*0.475*44/12</f>
        <v>0.10897753686339362</v>
      </c>
      <c r="AB195" s="21">
        <f>EXP(-LN(2)/2)*AB194+(1-EXP(-LN(2)/2))/(LN(2)/2)*V195*Y195*VLOOKUP('Données projet'!$B$9,Paramètres!$A$1:$I$89,3,0)*0.475*44/12</f>
        <v>2.3692616306540066E-25</v>
      </c>
      <c r="AC195" s="22">
        <f t="shared" si="163"/>
        <v>2.1033032543413346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98.152080000000325</v>
      </c>
      <c r="D196" s="11">
        <f t="shared" si="140"/>
        <v>26.521279327341531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962.39084393035819</v>
      </c>
      <c r="H196" s="67">
        <f t="shared" ref="H196:H203" si="192">(B196+E196+F196)*44/12+(C196+D196)*0.475*44/12</f>
        <v>510.47276749512037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92.49458233028173</v>
      </c>
      <c r="T196" s="59">
        <f t="shared" si="142"/>
        <v>260.65744386159963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1.9552182065767749</v>
      </c>
      <c r="AA196" s="21">
        <f>EXP(-LN(2)/25)*AA195+(1-EXP(-LN(2)/25))/(LN(2)/25)*Calculateur!V196*Calculateur!X196*VLOOKUP('Données projet'!$B$9,Paramètres!$A$1:$I$89,3,0)*0.475*44/12</f>
        <v>0.10599754038698453</v>
      </c>
      <c r="AB196" s="21">
        <f>EXP(-LN(2)/2)*AB195+(1-EXP(-LN(2)/2))/(LN(2)/2)*V196*Y196*VLOOKUP('Données projet'!$B$9,Paramètres!$A$1:$I$89,3,0)*0.475*44/12</f>
        <v>1.6753209654405454E-25</v>
      </c>
      <c r="AC196" s="22">
        <f t="shared" si="163"/>
        <v>2.0612157469637595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98.660640000000328</v>
      </c>
      <c r="D197" s="11">
        <f t="shared" ref="D197:D203" si="202">IFERROR(EXP(-1.0587+0.8836*LN(C197)+0.284),0)</f>
        <v>26.642663520684049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967.2535710368619</v>
      </c>
      <c r="H197" s="67">
        <f t="shared" si="192"/>
        <v>511.56992029852529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92.49458233028173</v>
      </c>
      <c r="T197" s="59">
        <f t="shared" ref="T197:T203" si="204">$T$3</f>
        <v>260.65744386159963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1.9168775701111542</v>
      </c>
      <c r="AA197" s="21">
        <f>EXP(-LN(2)/25)*AA196+(1-EXP(-LN(2)/25))/(LN(2)/25)*Calculateur!V197*Calculateur!X197*VLOOKUP('Données projet'!$B$9,Paramètres!$A$1:$I$89,3,0)*0.475*44/12</f>
        <v>0.10309903207093404</v>
      </c>
      <c r="AB197" s="21">
        <f>EXP(-LN(2)/2)*AB196+(1-EXP(-LN(2)/2))/(LN(2)/2)*V197*Y197*VLOOKUP('Données projet'!$B$9,Paramètres!$A$1:$I$89,3,0)*0.475*44/12</f>
        <v>1.1846308153270033E-25</v>
      </c>
      <c r="AC197" s="22">
        <f t="shared" si="163"/>
        <v>2.0199766021820884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99.16920000000033</v>
      </c>
      <c r="D198" s="11">
        <f t="shared" si="202"/>
        <v>26.763974905014248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972.11573610888456</v>
      </c>
      <c r="H198" s="67">
        <f t="shared" si="192"/>
        <v>512.66694629290032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92.49458233028173</v>
      </c>
      <c r="T198" s="59">
        <f t="shared" si="204"/>
        <v>260.65744386159963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1.8792887701411454</v>
      </c>
      <c r="AA198" s="21">
        <f>EXP(-LN(2)/25)*AA197+(1-EXP(-LN(2)/25))/(LN(2)/25)*Calculateur!V198*Calculateur!X198*VLOOKUP('Données projet'!$B$9,Paramètres!$A$1:$I$89,3,0)*0.475*44/12</f>
        <v>0.10027978361721189</v>
      </c>
      <c r="AB198" s="21">
        <f>EXP(-LN(2)/2)*AB197+(1-EXP(-LN(2)/2))/(LN(2)/2)*V198*Y198*VLOOKUP('Données projet'!$B$9,Paramètres!$A$1:$I$89,3,0)*0.475*44/12</f>
        <v>8.3766048272027271E-26</v>
      </c>
      <c r="AC198" s="22">
        <f t="shared" si="163"/>
        <v>1.9795685537583572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99.677760000000333</v>
      </c>
      <c r="D199" s="11">
        <f t="shared" si="202"/>
        <v>26.885213897052331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976.97734236321367</v>
      </c>
      <c r="H199" s="67">
        <f t="shared" si="192"/>
        <v>513.76384620403337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92.49458233028173</v>
      </c>
      <c r="T199" s="59">
        <f t="shared" si="204"/>
        <v>260.65744386159963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1.8424370636116443</v>
      </c>
      <c r="AA199" s="21">
        <f>EXP(-LN(2)/25)*AA198+(1-EXP(-LN(2)/25))/(LN(2)/25)*Calculateur!V199*Calculateur!X199*VLOOKUP('Données projet'!$B$9,Paramètres!$A$1:$I$89,3,0)*0.475*44/12</f>
        <v>9.753762766071461E-2</v>
      </c>
      <c r="AB199" s="21">
        <f>EXP(-LN(2)/2)*AB198+(1-EXP(-LN(2)/2))/(LN(2)/2)*V199*Y199*VLOOKUP('Données projet'!$B$9,Paramètres!$A$1:$I$89,3,0)*0.475*44/12</f>
        <v>5.9231540766350165E-26</v>
      </c>
      <c r="AC199" s="22">
        <f t="shared" si="163"/>
        <v>1.9399746912723588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100.18632000000034</v>
      </c>
      <c r="D200" s="11">
        <f t="shared" si="202"/>
        <v>27.006380909020105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981.83839298191208</v>
      </c>
      <c r="H200" s="67">
        <f t="shared" si="192"/>
        <v>514.86062074987717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92.49458233028173</v>
      </c>
      <c r="T200" s="59">
        <f t="shared" si="204"/>
        <v>260.65744386159963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1.8063079965698652</v>
      </c>
      <c r="AA200" s="21">
        <f>EXP(-LN(2)/25)*AA199+(1-EXP(-LN(2)/25))/(LN(2)/25)*Calculateur!V200*Calculateur!X200*VLOOKUP('Données projet'!$B$9,Paramètres!$A$1:$I$89,3,0)*0.475*44/12</f>
        <v>9.4870456103051462E-2</v>
      </c>
      <c r="AB200" s="21">
        <f>EXP(-LN(2)/2)*AB199+(1-EXP(-LN(2)/2))/(LN(2)/2)*V200*Y200*VLOOKUP('Données projet'!$B$9,Paramètres!$A$1:$I$89,3,0)*0.475*44/12</f>
        <v>4.1883024136013636E-26</v>
      </c>
      <c r="AC200" s="22">
        <f t="shared" si="163"/>
        <v>1.9011784526729167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100.69488000000034</v>
      </c>
      <c r="D201" s="11">
        <f t="shared" si="202"/>
        <v>27.127476348711948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986.69889111286682</v>
      </c>
      <c r="H201" s="67">
        <f t="shared" si="192"/>
        <v>515.95727064067387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92.49458233028173</v>
      </c>
      <c r="T201" s="59">
        <f t="shared" si="204"/>
        <v>260.65744386159963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1.7708873984962203</v>
      </c>
      <c r="AA201" s="21">
        <f>EXP(-LN(2)/25)*AA200+(1-EXP(-LN(2)/25))/(LN(2)/25)*Calculateur!V201*Calculateur!X201*VLOOKUP('Données projet'!$B$9,Paramètres!$A$1:$I$89,3,0)*0.475*44/12</f>
        <v>9.2276218491893061E-2</v>
      </c>
      <c r="AB201" s="21">
        <f>EXP(-LN(2)/2)*AB200+(1-EXP(-LN(2)/2))/(LN(2)/2)*V201*Y201*VLOOKUP('Données projet'!$B$9,Paramètres!$A$1:$I$89,3,0)*0.475*44/12</f>
        <v>2.9615770383175082E-26</v>
      </c>
      <c r="AC201" s="22">
        <f t="shared" si="163"/>
        <v>1.8631636169881134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101.20344000000034</v>
      </c>
      <c r="D202" s="11">
        <f t="shared" si="202"/>
        <v>27.248500619564698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991.55883987032678</v>
      </c>
      <c r="H202" s="67">
        <f t="shared" si="192"/>
        <v>517.05379657907577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92.49458233028173</v>
      </c>
      <c r="T202" s="59">
        <f t="shared" si="204"/>
        <v>260.65744386159963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1.7361613767463682</v>
      </c>
      <c r="AA202" s="21">
        <f>EXP(-LN(2)/25)*AA201+(1-EXP(-LN(2)/25))/(LN(2)/25)*Calculateur!V202*Calculateur!X202*VLOOKUP('Données projet'!$B$9,Paramètres!$A$1:$I$89,3,0)*0.475*44/12</f>
        <v>8.9752920444636813E-2</v>
      </c>
      <c r="AB202" s="21">
        <f>EXP(-LN(2)/2)*AB201+(1-EXP(-LN(2)/2))/(LN(2)/2)*V202*Y202*VLOOKUP('Données projet'!$B$9,Paramètres!$A$1:$I$89,3,0)*0.475*44/12</f>
        <v>2.0941512068006818E-26</v>
      </c>
      <c r="AC202" s="22">
        <f t="shared" si="163"/>
        <v>1.825914297191005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101.71200000000034</v>
      </c>
      <c r="D203" s="11">
        <f t="shared" si="202"/>
        <v>27.369454120725731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996.41824233542945</v>
      </c>
      <c r="H203" s="67">
        <f t="shared" si="192"/>
        <v>518.15019926026457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92.49458233028173</v>
      </c>
      <c r="T203" s="59">
        <f t="shared" si="204"/>
        <v>260.65744386159963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1.7021163111022486</v>
      </c>
      <c r="AA203" s="21">
        <f>EXP(-LN(2)/25)*AA202+(1-EXP(-LN(2)/25))/(LN(2)/25)*Calculateur!V203*Calculateur!X203*VLOOKUP('Données projet'!$B$9,Paramètres!$A$1:$I$89,3,0)*0.475*44/12</f>
        <v>8.7298622115177263E-2</v>
      </c>
      <c r="AB203" s="21">
        <f>EXP(-LN(2)/2)*AB202+(1-EXP(-LN(2)/2))/(LN(2)/2)*V203*Y203*VLOOKUP('Données projet'!$B$9,Paramètres!$A$1:$I$89,3,0)*0.475*44/12</f>
        <v>1.4807885191587541E-26</v>
      </c>
      <c r="AC203" s="22">
        <f t="shared" si="163"/>
        <v>1.7894149332174258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0.42937043954955023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3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" thickBot="1" x14ac:dyDescent="0.4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3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" thickBot="1" x14ac:dyDescent="0.4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35">
      <c r="A93" s="122" t="s">
        <v>68</v>
      </c>
    </row>
    <row r="94" spans="1:14" x14ac:dyDescent="0.35">
      <c r="A94" s="122" t="s">
        <v>69</v>
      </c>
    </row>
    <row r="95" spans="1:14" x14ac:dyDescent="0.3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Koster</v>
      </c>
      <c r="B6" s="146">
        <f>'Données projet'!D9</f>
        <v>3.2</v>
      </c>
      <c r="C6" s="147">
        <f ca="1">IF(OR('Données projet'!B9="",'Données projet'!C9="",'Données projet'!C9=0%),0,Calculateur!S3)</f>
        <v>92.49458233028173</v>
      </c>
      <c r="D6" s="147">
        <f>IF(OR('Données projet'!B9="",'Données projet'!C9="",'Données projet'!C9=0%),0,Calculateur!T3)</f>
        <v>260.65744386159963</v>
      </c>
      <c r="E6" s="147">
        <f ca="1">MIN(C6,D6)</f>
        <v>92.49458233028173</v>
      </c>
      <c r="F6" s="147">
        <f ca="1">E6*B6</f>
        <v>295.98266345690155</v>
      </c>
      <c r="G6" s="147">
        <f ca="1">F6*(100%-'Données projet'!$C$24)*(100%-'Données projet'!$C$25)*(100%-'Données projet'!$C$26)*(100%-'Données projet'!$C$27)</f>
        <v>266.3843971112114</v>
      </c>
      <c r="H6" s="148">
        <f>IF(OR('Données projet'!B9="",'Données projet'!C9="",'Données projet'!C9=0%),0,AVERAGE(Calculateur!$AC$3:$AC$33)*B6)</f>
        <v>81.023371157746396</v>
      </c>
      <c r="I6" s="149">
        <f>H6*(100%-'Données projet'!$C$24)*(100%-'Données projet'!$C$25)*(100%-'Données projet'!$C$26)*(100%-'Données projet'!$C$27)</f>
        <v>72.921034041971765</v>
      </c>
      <c r="J6" s="150">
        <f>IF(OR('Données projet'!B9="",'Données projet'!C9="",'Données projet'!C9=0%),0,SUM(Calculateur!$V$3:$V$33)*VLOOKUP('Données projet'!$B$9,Paramètres!$A$1:$I$89,9,0)*B6)</f>
        <v>839.44471794871777</v>
      </c>
      <c r="K6" s="151">
        <f>J6*(100%-'Données projet'!$C$24)*(100%-'Données projet'!$C$25)*(100%-'Données projet'!$C$26)*(100%-'Données projet'!$C$27)</f>
        <v>755.50024615384598</v>
      </c>
      <c r="L6" s="152">
        <f ca="1">G6+I6+K6</f>
        <v>1094.8056773070291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295.98266345690155</v>
      </c>
      <c r="G16" s="166">
        <f t="shared" ca="1" si="3"/>
        <v>266.3843971112114</v>
      </c>
      <c r="H16" s="167">
        <f t="shared" si="3"/>
        <v>81.023371157746396</v>
      </c>
      <c r="I16" s="167">
        <f t="shared" si="3"/>
        <v>72.921034041971765</v>
      </c>
      <c r="J16" s="168">
        <f t="shared" si="3"/>
        <v>839.44471794871777</v>
      </c>
      <c r="K16" s="168">
        <f t="shared" si="3"/>
        <v>755.50024615384598</v>
      </c>
      <c r="L16" s="169">
        <f t="shared" ca="1" si="3"/>
        <v>1094.8056773070291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2" zoomScale="80" zoomScaleNormal="80" workbookViewId="0">
      <selection activeCell="C42" sqref="C42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292</v>
      </c>
      <c r="I4" s="258"/>
      <c r="K4" s="300" t="s">
        <v>293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2" t="s">
        <v>294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5217.9880127550759</v>
      </c>
      <c r="U10" s="178">
        <f>'Données projet'!D9</f>
        <v>3.2</v>
      </c>
      <c r="V10" s="177">
        <f>U10*T10</f>
        <v>16697.561640816242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303"/>
      <c r="H16" s="190"/>
      <c r="I16" s="191"/>
      <c r="J16" s="202"/>
      <c r="K16" s="208"/>
      <c r="L16" s="300" t="s">
        <v>311</v>
      </c>
      <c r="M16" s="301"/>
      <c r="N16" s="2">
        <v>20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303"/>
      <c r="J17" s="202"/>
      <c r="K17" s="208"/>
      <c r="L17" s="260" t="s">
        <v>312</v>
      </c>
      <c r="M17" s="262"/>
      <c r="N17" s="175">
        <f>VLOOKUP(N16,Calculateur!$A$2:$H$153,3,0)/VLOOKUP('Scénario référence'!$G$15,Paramètres!A1:I89,3,0)/VLOOKUP('Scénario référence'!$G$15,Paramètres!A1:I89,5,0)</f>
        <v>19.999999999999993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303"/>
      <c r="J18" s="202"/>
      <c r="K18" s="208"/>
      <c r="L18" s="260" t="s">
        <v>308</v>
      </c>
      <c r="M18" s="262"/>
      <c r="N18" s="192">
        <v>20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303"/>
      <c r="H19" s="212" t="s">
        <v>72</v>
      </c>
      <c r="I19" s="212" t="s">
        <v>313</v>
      </c>
      <c r="J19" s="93"/>
      <c r="K19" s="173"/>
      <c r="L19" s="300" t="s">
        <v>314</v>
      </c>
      <c r="M19" s="301"/>
      <c r="N19" s="179">
        <f>N17*N18</f>
        <v>399.99999999999989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303"/>
      <c r="H20" s="190">
        <v>1</v>
      </c>
      <c r="I20" s="191">
        <v>8522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315</v>
      </c>
      <c r="M23" s="302"/>
      <c r="N23" s="302"/>
      <c r="O23" s="23"/>
      <c r="P23" s="23"/>
      <c r="Q23" s="234"/>
      <c r="R23" s="23"/>
      <c r="S23" s="36" t="s">
        <v>316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-9398.5149142076843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530.74286039626804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299">
        <f ca="1">T23-T24</f>
        <v>-9929.2577746039533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5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320</v>
      </c>
      <c r="M26" s="287"/>
      <c r="N26" s="287"/>
      <c r="O26" s="287"/>
      <c r="P26" s="288"/>
      <c r="Q26" s="234"/>
      <c r="R26" s="23"/>
      <c r="S26" s="186" t="s">
        <v>321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6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322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7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8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9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11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12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13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14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15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16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17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18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19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20</v>
      </c>
      <c r="B41" s="181">
        <f>'Données projet'!D54</f>
        <v>254.68589743589735</v>
      </c>
      <c r="C41" s="193">
        <v>50</v>
      </c>
      <c r="D41" s="182">
        <f t="shared" si="2"/>
        <v>12734.294871794868</v>
      </c>
      <c r="E41" s="193">
        <v>150</v>
      </c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17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18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19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20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D85F21-8419-4555-8BC9-19B576D22E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Nesrine Ahmed Tounsi</cp:lastModifiedBy>
  <cp:revision/>
  <dcterms:created xsi:type="dcterms:W3CDTF">2021-02-01T08:22:39Z</dcterms:created>
  <dcterms:modified xsi:type="dcterms:W3CDTF">2025-02-14T15:32:15Z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