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oulven Kersante\Downloads\"/>
    </mc:Choice>
  </mc:AlternateContent>
  <xr:revisionPtr revIDLastSave="0" documentId="13_ncr:1_{98B00310-692D-45F4-AAD9-250EF600D542}" xr6:coauthVersionLast="47" xr6:coauthVersionMax="47" xr10:uidLastSave="{00000000-0000-0000-0000-000000000000}"/>
  <bookViews>
    <workbookView xWindow="28680" yWindow="-120" windowWidth="29040" windowHeight="1584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EA155" i="2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W162" i="2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DH164" i="2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 l="1"/>
  <c r="FS201" i="2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AH19" i="2" a="1"/>
  <c r="AH19" i="2" s="1"/>
  <c r="AH163" i="2" a="1"/>
  <c r="AH163" i="2" s="1"/>
  <c r="CS105" i="2" a="1"/>
  <c r="CS105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AH62" i="2" l="1" a="1"/>
  <c r="AH62" i="2" s="1"/>
  <c r="CS134" i="2" a="1"/>
  <c r="CS134" i="2" s="1"/>
  <c r="CS161" i="2" a="1"/>
  <c r="CS161" i="2" s="1"/>
  <c r="CS52" i="2" a="1"/>
  <c r="CS52" i="2" s="1"/>
  <c r="CS24" i="2" a="1"/>
  <c r="CS24" i="2" s="1"/>
  <c r="CS114" i="2" a="1"/>
  <c r="CS114" i="2" s="1"/>
  <c r="CS120" i="2" a="1"/>
  <c r="CS120" i="2" s="1"/>
  <c r="CS185" i="2" a="1"/>
  <c r="CS185" i="2" s="1"/>
  <c r="CS77" i="2" a="1"/>
  <c r="CS77" i="2" s="1"/>
  <c r="CS72" i="2" a="1"/>
  <c r="CS72" i="2" s="1"/>
  <c r="CS56" i="2" a="1"/>
  <c r="CS56" i="2" s="1"/>
  <c r="CS38" i="2" a="1"/>
  <c r="CS38" i="2" s="1"/>
  <c r="CS116" i="2" a="1"/>
  <c r="CS116" i="2" s="1"/>
  <c r="CS66" i="2" a="1"/>
  <c r="CS66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I203" i="2" s="1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CY108" i="2" l="1"/>
  <c r="CY93" i="2"/>
  <c r="CY151" i="2"/>
  <c r="CY24" i="2"/>
  <c r="CY105" i="2"/>
  <c r="CY78" i="2"/>
  <c r="CY14" i="2"/>
  <c r="CY104" i="2"/>
  <c r="CY46" i="2"/>
  <c r="CY99" i="2"/>
  <c r="CY3" i="2"/>
  <c r="C10" i="4" s="1"/>
  <c r="E10" i="4" s="1"/>
  <c r="F10" i="4" s="1"/>
  <c r="G10" i="4" s="1"/>
  <c r="L10" i="4" s="1"/>
  <c r="CY170" i="2"/>
  <c r="CY95" i="2"/>
  <c r="CY101" i="2"/>
  <c r="CY49" i="2"/>
  <c r="CY18" i="2"/>
  <c r="CY80" i="2"/>
  <c r="CY62" i="2"/>
  <c r="CY163" i="2"/>
  <c r="CY109" i="2"/>
  <c r="CY114" i="2"/>
  <c r="CY153" i="2"/>
  <c r="CY59" i="2"/>
  <c r="CY184" i="2"/>
  <c r="CY22" i="2"/>
  <c r="CY47" i="2"/>
  <c r="CY198" i="2"/>
  <c r="CY201" i="2"/>
  <c r="CY119" i="2"/>
  <c r="CY83" i="2"/>
  <c r="CY124" i="2"/>
  <c r="CY141" i="2"/>
  <c r="CY164" i="2"/>
  <c r="CY67" i="2"/>
  <c r="CY13" i="2"/>
  <c r="CY143" i="2"/>
  <c r="CY200" i="2"/>
  <c r="CY173" i="2"/>
  <c r="CY74" i="2"/>
  <c r="CY61" i="2"/>
  <c r="CY177" i="2"/>
  <c r="CY91" i="2"/>
  <c r="CY159" i="2"/>
  <c r="CY81" i="2"/>
  <c r="CY174" i="2"/>
  <c r="CY181" i="2"/>
  <c r="CY189" i="2"/>
  <c r="CY176" i="2"/>
  <c r="CY12" i="2"/>
  <c r="CY51" i="2"/>
  <c r="CY135" i="2"/>
  <c r="CY134" i="2"/>
  <c r="CY192" i="2"/>
  <c r="CY152" i="2"/>
  <c r="CY87" i="2"/>
  <c r="CY168" i="2"/>
  <c r="CY161" i="2"/>
  <c r="CY139" i="2"/>
  <c r="CY96" i="2"/>
  <c r="CY82" i="2"/>
  <c r="CY36" i="2"/>
  <c r="CY86" i="2"/>
  <c r="CY148" i="2"/>
  <c r="CY100" i="2"/>
  <c r="CY183" i="2"/>
  <c r="CY187" i="2"/>
  <c r="CY30" i="2"/>
  <c r="CY130" i="2"/>
  <c r="CY57" i="2"/>
  <c r="CY7" i="2"/>
  <c r="CY41" i="2"/>
  <c r="CY125" i="2"/>
  <c r="CY68" i="2"/>
  <c r="CY162" i="2"/>
  <c r="CY182" i="2"/>
  <c r="CY115" i="2"/>
  <c r="CY111" i="2"/>
  <c r="CY194" i="2"/>
  <c r="CY6" i="2"/>
  <c r="CY53" i="2"/>
  <c r="CY102" i="2"/>
  <c r="CY147" i="2"/>
  <c r="CY39" i="2"/>
  <c r="CY186" i="2"/>
  <c r="CY107" i="2"/>
  <c r="CY121" i="2"/>
  <c r="CY43" i="2"/>
  <c r="CY31" i="2"/>
  <c r="CY150" i="2"/>
  <c r="CY48" i="2"/>
  <c r="CY9" i="2"/>
  <c r="CY76" i="2"/>
  <c r="CY190" i="2"/>
  <c r="CY142" i="2"/>
  <c r="CY71" i="2"/>
  <c r="CY106" i="2"/>
  <c r="CY133" i="2"/>
  <c r="CY34" i="2"/>
  <c r="CY166" i="2"/>
  <c r="CY126" i="2"/>
  <c r="CY50" i="2"/>
  <c r="CY103" i="2"/>
  <c r="CY123" i="2"/>
  <c r="CY145" i="2"/>
  <c r="CY84" i="2"/>
  <c r="CY75" i="2"/>
  <c r="CY199" i="2"/>
  <c r="CY20" i="2"/>
  <c r="CY90" i="2"/>
  <c r="CY196" i="2"/>
  <c r="CY44" i="2"/>
  <c r="CY202" i="2"/>
  <c r="CY127" i="2"/>
  <c r="CY129" i="2"/>
  <c r="CY23" i="2"/>
  <c r="CY54" i="2"/>
  <c r="CY172" i="2"/>
  <c r="CY140" i="2"/>
  <c r="CY146" i="2"/>
  <c r="CY16" i="2"/>
  <c r="CY58" i="2"/>
  <c r="CY197" i="2"/>
  <c r="CY169" i="2"/>
  <c r="CY113" i="2"/>
  <c r="CY56" i="2"/>
  <c r="CY4" i="2"/>
  <c r="CY98" i="2"/>
  <c r="CY65" i="2"/>
  <c r="CY132" i="2"/>
  <c r="CY131" i="2"/>
  <c r="CY25" i="2"/>
  <c r="CY38" i="2"/>
  <c r="CY33" i="2"/>
  <c r="CY64" i="2"/>
  <c r="CY35" i="2"/>
  <c r="CY156" i="2"/>
  <c r="CY89" i="2"/>
  <c r="CY88" i="2"/>
  <c r="CY128" i="2"/>
  <c r="CY167" i="2"/>
  <c r="CY32" i="2"/>
  <c r="CY136" i="2"/>
  <c r="CY73" i="2"/>
  <c r="CY149" i="2"/>
  <c r="CY79" i="2"/>
  <c r="CY10" i="2"/>
  <c r="CY179" i="2"/>
  <c r="CY8" i="2"/>
  <c r="CY188" i="2"/>
  <c r="CY15" i="2"/>
  <c r="CY175" i="2"/>
  <c r="CY77" i="2"/>
  <c r="CY45" i="2"/>
  <c r="CY70" i="2"/>
  <c r="CY5" i="2"/>
  <c r="CY27" i="2"/>
  <c r="CY60" i="2"/>
  <c r="CY11" i="2"/>
  <c r="CY29" i="2"/>
  <c r="CY157" i="2"/>
  <c r="CY72" i="2"/>
  <c r="CY116" i="2"/>
  <c r="CY52" i="2"/>
  <c r="CY26" i="2"/>
  <c r="CY171" i="2"/>
  <c r="CY191" i="2"/>
  <c r="CY21" i="2"/>
  <c r="CY138" i="2"/>
  <c r="CY193" i="2"/>
  <c r="CY85" i="2"/>
  <c r="CY158" i="2"/>
  <c r="CY19" i="2"/>
  <c r="CY137" i="2"/>
  <c r="CY37" i="2"/>
  <c r="CY117" i="2"/>
  <c r="CY17" i="2"/>
  <c r="CY178" i="2"/>
  <c r="CY69" i="2"/>
  <c r="CY165" i="2"/>
  <c r="CY195" i="2"/>
  <c r="CY63" i="2"/>
  <c r="CY110" i="2"/>
  <c r="CY55" i="2"/>
  <c r="CY185" i="2"/>
  <c r="CY160" i="2"/>
  <c r="CY94" i="2"/>
  <c r="CY154" i="2"/>
  <c r="CY66" i="2"/>
  <c r="CY122" i="2"/>
  <c r="CY92" i="2"/>
  <c r="CY112" i="2"/>
  <c r="CY28" i="2"/>
  <c r="CY180" i="2"/>
  <c r="CY120" i="2"/>
  <c r="CY118" i="2"/>
  <c r="CY97" i="2"/>
  <c r="CY42" i="2"/>
  <c r="CY40" i="2"/>
  <c r="CY144" i="2"/>
  <c r="CY155" i="2"/>
  <c r="CY203" i="2"/>
  <c r="FE166" i="2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<sst xmlns="http://schemas.openxmlformats.org/spreadsheetml/2006/main" count="1179" uniqueCount="326">
  <si>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</si>
  <si>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</si>
  <si>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</si>
  <si>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</si>
  <si>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</si>
  <si>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</si>
  <si>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</si>
  <si>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</si>
  <si>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</si>
  <si>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</si>
  <si>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</si>
  <si>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</si>
  <si>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</si>
  <si>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</si>
  <si>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</si>
  <si>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</si>
  <si>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</si>
  <si>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</si>
  <si>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</si>
  <si>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</si>
  <si>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</si>
  <si>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</si>
  <si>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</si>
  <si>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</si>
  <si>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</si>
  <si>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</si>
  <si>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</si>
  <si>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</si>
  <si>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</si>
  <si>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</si>
  <si>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</si>
  <si>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</si>
  <si>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</si>
  <si>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</si>
  <si>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</si>
  <si>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</si>
  <si>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</si>
  <si>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</si>
  <si>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</si>
  <si>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</si>
  <si>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</si>
  <si>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</si>
  <si>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</si>
  <si>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</si>
  <si>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</si>
  <si>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</si>
  <si>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</si>
  <si>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</si>
  <si>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</si>
  <si>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</si>
  <si>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</si>
  <si>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</si>
  <si>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</si>
  <si>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</si>
  <si>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</si>
  <si>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</si>
  <si>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</si>
  <si>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</si>
  <si>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</si>
  <si>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</si>
  <si>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</si>
  <si>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</si>
  <si>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</si>
  <si>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</si>
  <si>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</si>
  <si>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</si>
  <si>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</si>
  <si>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</si>
  <si>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</si>
  <si>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</si>
  <si>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</si>
  <si>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</si>
  <si>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</si>
  <si>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</si>
  <si>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</si>
  <si>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</si>
  <si>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</si>
  <si>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</si>
  <si>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</si>
  <si>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</si>
  <si>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</si>
  <si>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</si>
  <si>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</si>
  <si>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</si>
  <si>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</si>
  <si>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</si>
  <si>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</si>
  <si>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</si>
  <si>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</si>
  <si>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</si>
  <si>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</si>
  <si>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</si>
  <si>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</si>
  <si>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</si>
  <si>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</si>
  <si>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</si>
  <si>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</si>
  <si>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</si>
  <si>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</si>
  <si>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</si>
  <si>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</si>
  <si>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</si>
  <si>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</si>
  <si>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</si>
  <si>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</si>
  <si>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</si>
  <si>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</si>
  <si>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</si>
  <si>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</si>
  <si>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</si>
  <si>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</si>
  <si>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</si>
  <si>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</si>
  <si>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</si>
  <si>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</si>
  <si>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</si>
  <si>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</si>
  <si>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</si>
  <si>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</si>
  <si>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</si>
  <si>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</si>
  <si>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</si>
  <si>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</si>
  <si>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</si>
  <si>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</si>
  <si>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</si>
  <si>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</si>
  <si>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</si>
  <si>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</si>
  <si>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</si>
  <si>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</si>
  <si>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</si>
  <si>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</si>
  <si>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</si>
  <si>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</si>
  <si>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</si>
  <si>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</si>
  <si>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</si>
  <si>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</si>
  <si>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</si>
  <si>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</si>
  <si>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</si>
  <si>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</si>
  <si>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</si>
  <si>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</si>
  <si>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</si>
  <si>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</si>
  <si>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</si>
  <si>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</si>
  <si>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</si>
  <si>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</si>
  <si>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</si>
  <si>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</si>
  <si>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</si>
  <si>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</si>
  <si>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</si>
  <si>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</si>
  <si>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</si>
  <si>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</si>
  <si>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</si>
  <si>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</si>
  <si>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</si>
  <si>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</si>
  <si>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</si>
  <si>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</si>
  <si>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</si>
  <si>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</si>
  <si>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</si>
  <si>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</si>
  <si>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</si>
  <si>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</si>
  <si>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</si>
  <si>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</si>
  <si>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</si>
  <si>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</si>
  <si>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</si>
  <si>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</si>
  <si>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</si>
  <si>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</si>
  <si>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</si>
  <si>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</si>
  <si>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</si>
  <si>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</si>
  <si>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</si>
  <si>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</si>
  <si>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</si>
  <si>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</si>
  <si>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</si>
  <si>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</si>
  <si>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</si>
  <si>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</si>
  <si>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</si>
  <si>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</si>
  <si>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</si>
  <si>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</si>
  <si>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</si>
  <si>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</si>
  <si>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</si>
  <si>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</si>
  <si>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</si>
  <si>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</si>
  <si>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</si>
  <si>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</si>
  <si>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</si>
  <si>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</si>
  <si>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</si>
  <si>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</si>
  <si>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</si>
  <si>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</si>
  <si>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</si>
  <si>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</si>
  <si>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</si>
  <si>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</si>
  <si>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</si>
  <si>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</si>
  <si>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</si>
  <si>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</si>
  <si>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</si>
  <si>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</si>
  <si>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</si>
  <si>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</si>
  <si>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</si>
  <si>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</si>
  <si>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</si>
  <si>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</si>
  <si>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</si>
  <si>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</si>
  <si>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</si>
  <si>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</si>
  <si>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</si>
  <si>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</si>
  <si>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</si>
  <si>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</si>
  <si>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</si>
  <si>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</si>
  <si>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</si>
  <si>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</si>
  <si>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</si>
  <si>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</si>
  <si>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</si>
  <si>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</si>
  <si>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</si>
  <si>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</si>
  <si>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</si>
  <si>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</si>
  <si>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</si>
  <si>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</si>
  <si>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</si>
  <si>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</si>
  <si>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</si>
  <si>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</si>
  <si>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</si>
  <si>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</si>
  <si>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</si>
  <si>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</si>
  <si>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</si>
  <si>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</si>
  <si>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</si>
  <si>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</si>
  <si>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</si>
  <si>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</si>
  <si>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</si>
  <si>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</si>
  <si>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</si>
  <si>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</si>
  <si>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</si>
  <si>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</si>
  <si>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</si>
  <si>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</si>
  <si>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</si>
  <si>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</si>
  <si>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</si>
  <si>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</si>
  <si>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</si>
  <si>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</si>
  <si>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</si>
  <si>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</si>
  <si>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</si>
  <si>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</si>
  <si>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</si>
  <si>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</si>
  <si>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</si>
  <si>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</si>
  <si>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</si>
  <si>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</si>
  <si>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</si>
  <si>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</si>
  <si>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</si>
  <si>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</si>
  <si>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</si>
  <si>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</si>
  <si>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</si>
  <si>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</si>
  <si>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</si>
  <si>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</si>
  <si>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</si>
  <si>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</si>
  <si>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</si>
  <si>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</si>
  <si>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</si>
  <si>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</si>
  <si>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</si>
  <si>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</si>
  <si>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</si>
  <si>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</si>
  <si>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</si>
  <si>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</si>
  <si>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</si>
  <si>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</si>
  <si>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</si>
  <si>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</si>
  <si>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</si>
  <si>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</si>
  <si>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</si>
  <si>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</si>
  <si>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</si>
  <si>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</si>
  <si>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</si>
  <si>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</si>
  <si>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</si>
  <si>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</si>
  <si>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</si>
  <si>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</si>
  <si>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</si>
  <si>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1/5</t>
  </si>
  <si>
    <t>Classe 2/5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</si>
</sst>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3.1463256798428652</c:v>
                </c:pt>
                <c:pt idx="2">
                  <c:v>4.4332159935494238</c:v>
                </c:pt>
                <c:pt idx="3">
                  <c:v>6.2487139749565381</c:v>
                </c:pt>
                <c:pt idx="4">
                  <c:v>8.8108200015367082</c:v>
                </c:pt>
                <c:pt idx="5">
                  <c:v>12.427771710375517</c:v>
                </c:pt>
                <c:pt idx="6">
                  <c:v>17.535523238916209</c:v>
                </c:pt>
                <c:pt idx="7">
                  <c:v>24.750839551757284</c:v>
                </c:pt>
                <c:pt idx="8">
                  <c:v>34.946529982645565</c:v>
                </c:pt>
                <c:pt idx="9">
                  <c:v>49.358077911135503</c:v>
                </c:pt>
                <c:pt idx="10">
                  <c:v>69.734803600053766</c:v>
                </c:pt>
                <c:pt idx="11">
                  <c:v>90.203304019109893</c:v>
                </c:pt>
                <c:pt idx="12">
                  <c:v>110.55482267025504</c:v>
                </c:pt>
                <c:pt idx="13">
                  <c:v>130.81405145417179</c:v>
                </c:pt>
                <c:pt idx="14">
                  <c:v>150.99733996220459</c:v>
                </c:pt>
                <c:pt idx="15">
                  <c:v>171.1162849602724</c:v>
                </c:pt>
                <c:pt idx="16">
                  <c:v>136.5334356381903</c:v>
                </c:pt>
                <c:pt idx="17">
                  <c:v>158.97616013715958</c:v>
                </c:pt>
                <c:pt idx="18">
                  <c:v>181.34368368345903</c:v>
                </c:pt>
                <c:pt idx="19">
                  <c:v>203.64659563079599</c:v>
                </c:pt>
                <c:pt idx="20">
                  <c:v>225.89297020726829</c:v>
                </c:pt>
                <c:pt idx="21">
                  <c:v>192.69166645650375</c:v>
                </c:pt>
                <c:pt idx="22">
                  <c:v>214.21082329400193</c:v>
                </c:pt>
                <c:pt idx="23">
                  <c:v>235.68019914177421</c:v>
                </c:pt>
                <c:pt idx="24">
                  <c:v>257.10496630927094</c:v>
                </c:pt>
                <c:pt idx="25">
                  <c:v>278.48936400091276</c:v>
                </c:pt>
                <c:pt idx="26">
                  <c:v>240.94637860003544</c:v>
                </c:pt>
                <c:pt idx="27">
                  <c:v>261.61017170872901</c:v>
                </c:pt>
                <c:pt idx="28">
                  <c:v>282.23712370144091</c:v>
                </c:pt>
                <c:pt idx="29">
                  <c:v>302.8303048722828</c:v>
                </c:pt>
                <c:pt idx="30">
                  <c:v>323.39233379750692</c:v>
                </c:pt>
                <c:pt idx="31">
                  <c:v>282.98654127638628</c:v>
                </c:pt>
                <c:pt idx="32">
                  <c:v>302.45616879398887</c:v>
                </c:pt>
                <c:pt idx="33">
                  <c:v>321.89791317588953</c:v>
                </c:pt>
                <c:pt idx="34">
                  <c:v>341.31369475960304</c:v>
                </c:pt>
                <c:pt idx="35">
                  <c:v>360.70519760433922</c:v>
                </c:pt>
                <c:pt idx="36">
                  <c:v>319.28230720978155</c:v>
                </c:pt>
                <c:pt idx="37">
                  <c:v>337.58182519139058</c:v>
                </c:pt>
                <c:pt idx="38">
                  <c:v>355.85951361436696</c:v>
                </c:pt>
                <c:pt idx="39">
                  <c:v>374.11665105684864</c:v>
                </c:pt>
                <c:pt idx="40">
                  <c:v>392.35438115419737</c:v>
                </c:pt>
                <c:pt idx="41">
                  <c:v>351.01238382795663</c:v>
                </c:pt>
                <c:pt idx="42">
                  <c:v>367.41226056988836</c:v>
                </c:pt>
                <c:pt idx="43">
                  <c:v>383.79616295666938</c:v>
                </c:pt>
                <c:pt idx="44">
                  <c:v>400.16486874659699</c:v>
                </c:pt>
                <c:pt idx="45">
                  <c:v>416.51908689232158</c:v>
                </c:pt>
                <c:pt idx="46">
                  <c:v>375.97851488636047</c:v>
                </c:pt>
                <c:pt idx="47">
                  <c:v>391.23832354179859</c:v>
                </c:pt>
                <c:pt idx="48">
                  <c:v>406.48522456571527</c:v>
                </c:pt>
                <c:pt idx="49">
                  <c:v>421.71977019610949</c:v>
                </c:pt>
                <c:pt idx="50">
                  <c:v>436.94246952460452</c:v>
                </c:pt>
                <c:pt idx="51">
                  <c:v>398.67741344442743</c:v>
                </c:pt>
                <c:pt idx="52">
                  <c:v>412.43185413738075</c:v>
                </c:pt>
                <c:pt idx="53">
                  <c:v>426.17639891086469</c:v>
                </c:pt>
                <c:pt idx="54">
                  <c:v>439.91141184608824</c:v>
                </c:pt>
                <c:pt idx="55">
                  <c:v>453.63723243721955</c:v>
                </c:pt>
                <c:pt idx="56">
                  <c:v>417.6336362599788</c:v>
                </c:pt>
                <c:pt idx="57">
                  <c:v>429.88948992506448</c:v>
                </c:pt>
                <c:pt idx="58">
                  <c:v>442.1378364455868</c:v>
                </c:pt>
                <c:pt idx="59">
                  <c:v>454.37891309932888</c:v>
                </c:pt>
                <c:pt idx="60">
                  <c:v>466.61294333655428</c:v>
                </c:pt>
                <c:pt idx="61">
                  <c:v>433.2306823305874</c:v>
                </c:pt>
                <c:pt idx="62">
                  <c:v>444.3640207556935</c:v>
                </c:pt>
                <c:pt idx="63">
                  <c:v>455.49138558575561</c:v>
                </c:pt>
                <c:pt idx="64">
                  <c:v>466.61294333655428</c:v>
                </c:pt>
                <c:pt idx="65">
                  <c:v>477.72885193803239</c:v>
                </c:pt>
                <c:pt idx="66">
                  <c:v>446.96093391901189</c:v>
                </c:pt>
                <c:pt idx="67">
                  <c:v>456.97459194094745</c:v>
                </c:pt>
                <c:pt idx="68">
                  <c:v>466.983563784024</c:v>
                </c:pt>
                <c:pt idx="69">
                  <c:v>476.98796406826068</c:v>
                </c:pt>
                <c:pt idx="70">
                  <c:v>486.98790221252966</c:v>
                </c:pt>
                <c:pt idx="71">
                  <c:v>457.34537744583645</c:v>
                </c:pt>
                <c:pt idx="72">
                  <c:v>466.61294333655451</c:v>
                </c:pt>
                <c:pt idx="73">
                  <c:v>475.87658634735868</c:v>
                </c:pt>
                <c:pt idx="74">
                  <c:v>485.13639362991444</c:v>
                </c:pt>
                <c:pt idx="75">
                  <c:v>494.39244873679655</c:v>
                </c:pt>
                <c:pt idx="76">
                  <c:v>467.35417796108709</c:v>
                </c:pt>
                <c:pt idx="77">
                  <c:v>475.50611484095458</c:v>
                </c:pt>
                <c:pt idx="78">
                  <c:v>483.65507874042197</c:v>
                </c:pt>
                <c:pt idx="79">
                  <c:v>491.8011268325622</c:v>
                </c:pt>
                <c:pt idx="80">
                  <c:v>499.94431424130994</c:v>
                </c:pt>
                <c:pt idx="81">
                  <c:v>475.87658634735857</c:v>
                </c:pt>
                <c:pt idx="82">
                  <c:v>483.28473497109502</c:v>
                </c:pt>
                <c:pt idx="83">
                  <c:v>490.69047175093164</c:v>
                </c:pt>
                <c:pt idx="84">
                  <c:v>498.09383823712568</c:v>
                </c:pt>
                <c:pt idx="85">
                  <c:v>505.49487464351961</c:v>
                </c:pt>
                <c:pt idx="86">
                  <c:v>482.17366746606058</c:v>
                </c:pt>
                <c:pt idx="87">
                  <c:v>488.46900146193275</c:v>
                </c:pt>
                <c:pt idx="88">
                  <c:v>494.76261404078542</c:v>
                </c:pt>
                <c:pt idx="89">
                  <c:v>501.05453020073901</c:v>
                </c:pt>
                <c:pt idx="90">
                  <c:v>507.34477426054747</c:v>
                </c:pt>
                <c:pt idx="91">
                  <c:v>487.35818597735943</c:v>
                </c:pt>
                <c:pt idx="92">
                  <c:v>493.28191755597277</c:v>
                </c:pt>
                <c:pt idx="93">
                  <c:v>499.20414127497389</c:v>
                </c:pt>
                <c:pt idx="94">
                  <c:v>505.12487755644207</c:v>
                </c:pt>
                <c:pt idx="95">
                  <c:v>511.04414630438487</c:v>
                </c:pt>
                <c:pt idx="96">
                  <c:v>492.91172872261944</c:v>
                </c:pt>
                <c:pt idx="97">
                  <c:v>498.83404607906238</c:v>
                </c:pt>
                <c:pt idx="98">
                  <c:v>504.7548747369737</c:v>
                </c:pt>
                <c:pt idx="99">
                  <c:v>510.67423463217045</c:v>
                </c:pt>
                <c:pt idx="100">
                  <c:v>516.59214520035391</c:v>
                </c:pt>
                <c:pt idx="101">
                  <c:v>492.5415339943097</c:v>
                </c:pt>
                <c:pt idx="102">
                  <c:v>492.5415339943097</c:v>
                </c:pt>
                <c:pt idx="103">
                  <c:v>492.5415339943097</c:v>
                </c:pt>
                <c:pt idx="104">
                  <c:v>492.5415339943097</c:v>
                </c:pt>
                <c:pt idx="105">
                  <c:v>492.5415339943097</c:v>
                </c:pt>
                <c:pt idx="106">
                  <c:v>492.5415339943097</c:v>
                </c:pt>
                <c:pt idx="107">
                  <c:v>492.5415339943097</c:v>
                </c:pt>
                <c:pt idx="108">
                  <c:v>492.5415339943097</c:v>
                </c:pt>
                <c:pt idx="109">
                  <c:v>492.5415339943097</c:v>
                </c:pt>
                <c:pt idx="110">
                  <c:v>492.5415339943097</c:v>
                </c:pt>
                <c:pt idx="111">
                  <c:v>492.5415339943097</c:v>
                </c:pt>
                <c:pt idx="112">
                  <c:v>492.5415339943097</c:v>
                </c:pt>
                <c:pt idx="113">
                  <c:v>492.5415339943097</c:v>
                </c:pt>
                <c:pt idx="114">
                  <c:v>492.5415339943097</c:v>
                </c:pt>
                <c:pt idx="115">
                  <c:v>492.5415339943097</c:v>
                </c:pt>
                <c:pt idx="116">
                  <c:v>492.5415339943097</c:v>
                </c:pt>
                <c:pt idx="117">
                  <c:v>492.5415339943097</c:v>
                </c:pt>
                <c:pt idx="118">
                  <c:v>492.5415339943097</c:v>
                </c:pt>
                <c:pt idx="119">
                  <c:v>492.5415339943097</c:v>
                </c:pt>
                <c:pt idx="120">
                  <c:v>492.5415339943097</c:v>
                </c:pt>
                <c:pt idx="121">
                  <c:v>492.5415339943097</c:v>
                </c:pt>
                <c:pt idx="122">
                  <c:v>492.5415339943097</c:v>
                </c:pt>
                <c:pt idx="123">
                  <c:v>492.5415339943097</c:v>
                </c:pt>
                <c:pt idx="124">
                  <c:v>492.5415339943097</c:v>
                </c:pt>
                <c:pt idx="125">
                  <c:v>492.5415339943097</c:v>
                </c:pt>
                <c:pt idx="126">
                  <c:v>492.5415339943097</c:v>
                </c:pt>
                <c:pt idx="127">
                  <c:v>492.5415339943097</c:v>
                </c:pt>
                <c:pt idx="128">
                  <c:v>492.5415339943097</c:v>
                </c:pt>
                <c:pt idx="129">
                  <c:v>492.5415339943097</c:v>
                </c:pt>
                <c:pt idx="130">
                  <c:v>492.5415339943097</c:v>
                </c:pt>
                <c:pt idx="131">
                  <c:v>492.5415339943097</c:v>
                </c:pt>
                <c:pt idx="132">
                  <c:v>492.5415339943097</c:v>
                </c:pt>
                <c:pt idx="133">
                  <c:v>492.5415339943097</c:v>
                </c:pt>
                <c:pt idx="134">
                  <c:v>492.5415339943097</c:v>
                </c:pt>
                <c:pt idx="135">
                  <c:v>492.5415339943097</c:v>
                </c:pt>
                <c:pt idx="136">
                  <c:v>492.5415339943097</c:v>
                </c:pt>
                <c:pt idx="137">
                  <c:v>492.5415339943097</c:v>
                </c:pt>
                <c:pt idx="138">
                  <c:v>492.5415339943097</c:v>
                </c:pt>
                <c:pt idx="139">
                  <c:v>492.5415339943097</c:v>
                </c:pt>
                <c:pt idx="140">
                  <c:v>492.5415339943097</c:v>
                </c:pt>
                <c:pt idx="141">
                  <c:v>492.5415339943097</c:v>
                </c:pt>
                <c:pt idx="142">
                  <c:v>492.5415339943097</c:v>
                </c:pt>
                <c:pt idx="143">
                  <c:v>492.5415339943097</c:v>
                </c:pt>
                <c:pt idx="144">
                  <c:v>492.5415339943097</c:v>
                </c:pt>
                <c:pt idx="145">
                  <c:v>492.5415339943097</c:v>
                </c:pt>
                <c:pt idx="146">
                  <c:v>492.5415339943097</c:v>
                </c:pt>
                <c:pt idx="147">
                  <c:v>492.5415339943097</c:v>
                </c:pt>
                <c:pt idx="148">
                  <c:v>492.5415339943097</c:v>
                </c:pt>
                <c:pt idx="149">
                  <c:v>492.5415339943097</c:v>
                </c:pt>
                <c:pt idx="150">
                  <c:v>492.5415339943097</c:v>
                </c:pt>
                <c:pt idx="151">
                  <c:v>492.5415339943097</c:v>
                </c:pt>
                <c:pt idx="152">
                  <c:v>492.5415339943097</c:v>
                </c:pt>
                <c:pt idx="153">
                  <c:v>492.5415339943097</c:v>
                </c:pt>
                <c:pt idx="154">
                  <c:v>492.5415339943097</c:v>
                </c:pt>
                <c:pt idx="155">
                  <c:v>492.5415339943097</c:v>
                </c:pt>
                <c:pt idx="156">
                  <c:v>492.5415339943097</c:v>
                </c:pt>
                <c:pt idx="157">
                  <c:v>492.5415339943097</c:v>
                </c:pt>
                <c:pt idx="158">
                  <c:v>492.5415339943097</c:v>
                </c:pt>
                <c:pt idx="159">
                  <c:v>492.5415339943097</c:v>
                </c:pt>
                <c:pt idx="160">
                  <c:v>492.5415339943097</c:v>
                </c:pt>
                <c:pt idx="161">
                  <c:v>492.5415339943097</c:v>
                </c:pt>
                <c:pt idx="162">
                  <c:v>492.5415339943097</c:v>
                </c:pt>
                <c:pt idx="163">
                  <c:v>492.5415339943097</c:v>
                </c:pt>
                <c:pt idx="164">
                  <c:v>492.5415339943097</c:v>
                </c:pt>
                <c:pt idx="165">
                  <c:v>492.5415339943097</c:v>
                </c:pt>
                <c:pt idx="166">
                  <c:v>492.5415339943097</c:v>
                </c:pt>
                <c:pt idx="167">
                  <c:v>492.5415339943097</c:v>
                </c:pt>
                <c:pt idx="168">
                  <c:v>492.5415339943097</c:v>
                </c:pt>
                <c:pt idx="169">
                  <c:v>492.5415339943097</c:v>
                </c:pt>
                <c:pt idx="170">
                  <c:v>492.5415339943097</c:v>
                </c:pt>
                <c:pt idx="171">
                  <c:v>492.5415339943097</c:v>
                </c:pt>
                <c:pt idx="172">
                  <c:v>492.5415339943097</c:v>
                </c:pt>
                <c:pt idx="173">
                  <c:v>492.5415339943097</c:v>
                </c:pt>
                <c:pt idx="174">
                  <c:v>492.5415339943097</c:v>
                </c:pt>
                <c:pt idx="175">
                  <c:v>492.5415339943097</c:v>
                </c:pt>
                <c:pt idx="176">
                  <c:v>492.5415339943097</c:v>
                </c:pt>
                <c:pt idx="177">
                  <c:v>492.5415339943097</c:v>
                </c:pt>
                <c:pt idx="178">
                  <c:v>492.5415339943097</c:v>
                </c:pt>
                <c:pt idx="179">
                  <c:v>492.5415339943097</c:v>
                </c:pt>
                <c:pt idx="180">
                  <c:v>492.5415339943097</c:v>
                </c:pt>
                <c:pt idx="181">
                  <c:v>492.5415339943097</c:v>
                </c:pt>
                <c:pt idx="182">
                  <c:v>492.5415339943097</c:v>
                </c:pt>
                <c:pt idx="183">
                  <c:v>492.5415339943097</c:v>
                </c:pt>
                <c:pt idx="184">
                  <c:v>492.5415339943097</c:v>
                </c:pt>
                <c:pt idx="185">
                  <c:v>492.5415339943097</c:v>
                </c:pt>
                <c:pt idx="186">
                  <c:v>492.5415339943097</c:v>
                </c:pt>
                <c:pt idx="187">
                  <c:v>492.5415339943097</c:v>
                </c:pt>
                <c:pt idx="188">
                  <c:v>492.5415339943097</c:v>
                </c:pt>
                <c:pt idx="189">
                  <c:v>492.5415339943097</c:v>
                </c:pt>
                <c:pt idx="190">
                  <c:v>492.5415339943097</c:v>
                </c:pt>
                <c:pt idx="191">
                  <c:v>492.5415339943097</c:v>
                </c:pt>
                <c:pt idx="192">
                  <c:v>492.5415339943097</c:v>
                </c:pt>
                <c:pt idx="193">
                  <c:v>492.5415339943097</c:v>
                </c:pt>
                <c:pt idx="194">
                  <c:v>492.5415339943097</c:v>
                </c:pt>
                <c:pt idx="195">
                  <c:v>492.5415339943097</c:v>
                </c:pt>
                <c:pt idx="196">
                  <c:v>492.5415339943097</c:v>
                </c:pt>
                <c:pt idx="197">
                  <c:v>492.5415339943097</c:v>
                </c:pt>
                <c:pt idx="198">
                  <c:v>492.5415339943097</c:v>
                </c:pt>
                <c:pt idx="199">
                  <c:v>492.5415339943097</c:v>
                </c:pt>
                <c:pt idx="200">
                  <c:v>492.5415339943097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4.5603227029592857</c:v>
                </c:pt>
                <c:pt idx="2">
                  <c:v>9.0132952331201093</c:v>
                </c:pt>
                <c:pt idx="3">
                  <c:v>17.838817144878906</c:v>
                </c:pt>
                <c:pt idx="4">
                  <c:v>35.352605371028027</c:v>
                </c:pt>
                <c:pt idx="5">
                  <c:v>70.149974013263474</c:v>
                </c:pt>
                <c:pt idx="6">
                  <c:v>86.158510470515978</c:v>
                </c:pt>
                <c:pt idx="7">
                  <c:v>114.0010466196989</c:v>
                </c:pt>
                <c:pt idx="8">
                  <c:v>141.67594470663133</c:v>
                </c:pt>
                <c:pt idx="9">
                  <c:v>169.22076873606747</c:v>
                </c:pt>
                <c:pt idx="10">
                  <c:v>196.65973476943884</c:v>
                </c:pt>
                <c:pt idx="11">
                  <c:v>169.22076873606747</c:v>
                </c:pt>
                <c:pt idx="12">
                  <c:v>196.65973476943884</c:v>
                </c:pt>
                <c:pt idx="13">
                  <c:v>224.00971024958213</c:v>
                </c:pt>
                <c:pt idx="14">
                  <c:v>251.28309296155342</c:v>
                </c:pt>
                <c:pt idx="15">
                  <c:v>278.48936400091264</c:v>
                </c:pt>
                <c:pt idx="16">
                  <c:v>257.89618723734617</c:v>
                </c:pt>
                <c:pt idx="17">
                  <c:v>281.98284689642571</c:v>
                </c:pt>
                <c:pt idx="18">
                  <c:v>306.02340630964255</c:v>
                </c:pt>
                <c:pt idx="19">
                  <c:v>330.0219940981396</c:v>
                </c:pt>
                <c:pt idx="20">
                  <c:v>353.98208942867723</c:v>
                </c:pt>
                <c:pt idx="21">
                  <c:v>339.68777684695186</c:v>
                </c:pt>
                <c:pt idx="22">
                  <c:v>360.15946409007756</c:v>
                </c:pt>
                <c:pt idx="23">
                  <c:v>380.6057087655667</c:v>
                </c:pt>
                <c:pt idx="24">
                  <c:v>401.0280691344401</c:v>
                </c:pt>
                <c:pt idx="25">
                  <c:v>421.42793186976093</c:v>
                </c:pt>
                <c:pt idx="26">
                  <c:v>411.03827995947972</c:v>
                </c:pt>
                <c:pt idx="27">
                  <c:v>427.58215058986383</c:v>
                </c:pt>
                <c:pt idx="28">
                  <c:v>444.11226191866245</c:v>
                </c:pt>
                <c:pt idx="29">
                  <c:v>460.62919798538474</c:v>
                </c:pt>
                <c:pt idx="30">
                  <c:v>477.13349754486762</c:v>
                </c:pt>
                <c:pt idx="31">
                  <c:v>469.45861841140714</c:v>
                </c:pt>
                <c:pt idx="32">
                  <c:v>482.88793138455003</c:v>
                </c:pt>
                <c:pt idx="33">
                  <c:v>496.30931275327697</c:v>
                </c:pt>
                <c:pt idx="34">
                  <c:v>509.72300718239177</c:v>
                </c:pt>
                <c:pt idx="35">
                  <c:v>523.12924541243819</c:v>
                </c:pt>
                <c:pt idx="36">
                  <c:v>517.76763064124987</c:v>
                </c:pt>
                <c:pt idx="37">
                  <c:v>529.6382221432558</c:v>
                </c:pt>
                <c:pt idx="38">
                  <c:v>541.50321514452014</c:v>
                </c:pt>
                <c:pt idx="39">
                  <c:v>553.36274958383854</c:v>
                </c:pt>
                <c:pt idx="40">
                  <c:v>565.21695891368074</c:v>
                </c:pt>
                <c:pt idx="41">
                  <c:v>563.30534449457025</c:v>
                </c:pt>
                <c:pt idx="42">
                  <c:v>574.77301329675208</c:v>
                </c:pt>
                <c:pt idx="43">
                  <c:v>586.23590668718805</c:v>
                </c:pt>
                <c:pt idx="44">
                  <c:v>597.6941311815882</c:v>
                </c:pt>
                <c:pt idx="45">
                  <c:v>609.14778887966042</c:v>
                </c:pt>
                <c:pt idx="46">
                  <c:v>595.7847469423931</c:v>
                </c:pt>
                <c:pt idx="47">
                  <c:v>595.7847469423931</c:v>
                </c:pt>
                <c:pt idx="48">
                  <c:v>595.7847469423931</c:v>
                </c:pt>
                <c:pt idx="49">
                  <c:v>595.7847469423931</c:v>
                </c:pt>
                <c:pt idx="50">
                  <c:v>595.7847469423931</c:v>
                </c:pt>
                <c:pt idx="51">
                  <c:v>595.7847469423931</c:v>
                </c:pt>
                <c:pt idx="52">
                  <c:v>595.7847469423931</c:v>
                </c:pt>
                <c:pt idx="53">
                  <c:v>595.7847469423931</c:v>
                </c:pt>
                <c:pt idx="54">
                  <c:v>595.7847469423931</c:v>
                </c:pt>
                <c:pt idx="55">
                  <c:v>595.7847469423931</c:v>
                </c:pt>
                <c:pt idx="56">
                  <c:v>595.7847469423931</c:v>
                </c:pt>
                <c:pt idx="57">
                  <c:v>595.7847469423931</c:v>
                </c:pt>
                <c:pt idx="58">
                  <c:v>595.7847469423931</c:v>
                </c:pt>
                <c:pt idx="59">
                  <c:v>595.7847469423931</c:v>
                </c:pt>
                <c:pt idx="60">
                  <c:v>595.7847469423931</c:v>
                </c:pt>
                <c:pt idx="61">
                  <c:v>595.7847469423931</c:v>
                </c:pt>
                <c:pt idx="62">
                  <c:v>595.7847469423931</c:v>
                </c:pt>
                <c:pt idx="63">
                  <c:v>595.7847469423931</c:v>
                </c:pt>
                <c:pt idx="64">
                  <c:v>595.7847469423931</c:v>
                </c:pt>
                <c:pt idx="65">
                  <c:v>595.7847469423931</c:v>
                </c:pt>
                <c:pt idx="66">
                  <c:v>595.7847469423931</c:v>
                </c:pt>
                <c:pt idx="67">
                  <c:v>595.7847469423931</c:v>
                </c:pt>
                <c:pt idx="68">
                  <c:v>595.7847469423931</c:v>
                </c:pt>
                <c:pt idx="69">
                  <c:v>595.7847469423931</c:v>
                </c:pt>
                <c:pt idx="70">
                  <c:v>595.7847469423931</c:v>
                </c:pt>
                <c:pt idx="71">
                  <c:v>595.7847469423931</c:v>
                </c:pt>
                <c:pt idx="72">
                  <c:v>595.7847469423931</c:v>
                </c:pt>
                <c:pt idx="73">
                  <c:v>595.7847469423931</c:v>
                </c:pt>
                <c:pt idx="74">
                  <c:v>595.7847469423931</c:v>
                </c:pt>
                <c:pt idx="75">
                  <c:v>595.7847469423931</c:v>
                </c:pt>
                <c:pt idx="76">
                  <c:v>595.7847469423931</c:v>
                </c:pt>
                <c:pt idx="77">
                  <c:v>595.7847469423931</c:v>
                </c:pt>
                <c:pt idx="78">
                  <c:v>595.7847469423931</c:v>
                </c:pt>
                <c:pt idx="79">
                  <c:v>595.7847469423931</c:v>
                </c:pt>
                <c:pt idx="80">
                  <c:v>595.7847469423931</c:v>
                </c:pt>
                <c:pt idx="81">
                  <c:v>595.7847469423931</c:v>
                </c:pt>
                <c:pt idx="82">
                  <c:v>595.7847469423931</c:v>
                </c:pt>
                <c:pt idx="83">
                  <c:v>595.7847469423931</c:v>
                </c:pt>
                <c:pt idx="84">
                  <c:v>595.7847469423931</c:v>
                </c:pt>
                <c:pt idx="85">
                  <c:v>595.7847469423931</c:v>
                </c:pt>
                <c:pt idx="86">
                  <c:v>595.7847469423931</c:v>
                </c:pt>
                <c:pt idx="87">
                  <c:v>595.7847469423931</c:v>
                </c:pt>
                <c:pt idx="88">
                  <c:v>595.7847469423931</c:v>
                </c:pt>
                <c:pt idx="89">
                  <c:v>595.7847469423931</c:v>
                </c:pt>
                <c:pt idx="90">
                  <c:v>595.7847469423931</c:v>
                </c:pt>
                <c:pt idx="91">
                  <c:v>595.7847469423931</c:v>
                </c:pt>
                <c:pt idx="92">
                  <c:v>595.7847469423931</c:v>
                </c:pt>
                <c:pt idx="93">
                  <c:v>595.7847469423931</c:v>
                </c:pt>
                <c:pt idx="94">
                  <c:v>595.7847469423931</c:v>
                </c:pt>
                <c:pt idx="95">
                  <c:v>595.7847469423931</c:v>
                </c:pt>
                <c:pt idx="96">
                  <c:v>595.7847469423931</c:v>
                </c:pt>
                <c:pt idx="97">
                  <c:v>595.7847469423931</c:v>
                </c:pt>
                <c:pt idx="98">
                  <c:v>595.7847469423931</c:v>
                </c:pt>
                <c:pt idx="99">
                  <c:v>595.7847469423931</c:v>
                </c:pt>
                <c:pt idx="100">
                  <c:v>595.7847469423931</c:v>
                </c:pt>
                <c:pt idx="101">
                  <c:v>595.7847469423931</c:v>
                </c:pt>
                <c:pt idx="102">
                  <c:v>595.7847469423931</c:v>
                </c:pt>
                <c:pt idx="103">
                  <c:v>595.7847469423931</c:v>
                </c:pt>
                <c:pt idx="104">
                  <c:v>595.7847469423931</c:v>
                </c:pt>
                <c:pt idx="105">
                  <c:v>595.7847469423931</c:v>
                </c:pt>
                <c:pt idx="106">
                  <c:v>595.7847469423931</c:v>
                </c:pt>
                <c:pt idx="107">
                  <c:v>595.7847469423931</c:v>
                </c:pt>
                <c:pt idx="108">
                  <c:v>595.7847469423931</c:v>
                </c:pt>
                <c:pt idx="109">
                  <c:v>595.7847469423931</c:v>
                </c:pt>
                <c:pt idx="110">
                  <c:v>595.7847469423931</c:v>
                </c:pt>
                <c:pt idx="111">
                  <c:v>595.7847469423931</c:v>
                </c:pt>
                <c:pt idx="112">
                  <c:v>595.7847469423931</c:v>
                </c:pt>
                <c:pt idx="113">
                  <c:v>595.7847469423931</c:v>
                </c:pt>
                <c:pt idx="114">
                  <c:v>595.7847469423931</c:v>
                </c:pt>
                <c:pt idx="115">
                  <c:v>595.7847469423931</c:v>
                </c:pt>
                <c:pt idx="116">
                  <c:v>595.7847469423931</c:v>
                </c:pt>
                <c:pt idx="117">
                  <c:v>595.7847469423931</c:v>
                </c:pt>
                <c:pt idx="118">
                  <c:v>595.7847469423931</c:v>
                </c:pt>
                <c:pt idx="119">
                  <c:v>595.7847469423931</c:v>
                </c:pt>
                <c:pt idx="120">
                  <c:v>595.7847469423931</c:v>
                </c:pt>
                <c:pt idx="121">
                  <c:v>595.7847469423931</c:v>
                </c:pt>
                <c:pt idx="122">
                  <c:v>595.7847469423931</c:v>
                </c:pt>
                <c:pt idx="123">
                  <c:v>595.7847469423931</c:v>
                </c:pt>
                <c:pt idx="124">
                  <c:v>595.7847469423931</c:v>
                </c:pt>
                <c:pt idx="125">
                  <c:v>595.7847469423931</c:v>
                </c:pt>
                <c:pt idx="126">
                  <c:v>595.7847469423931</c:v>
                </c:pt>
                <c:pt idx="127">
                  <c:v>595.7847469423931</c:v>
                </c:pt>
                <c:pt idx="128">
                  <c:v>595.7847469423931</c:v>
                </c:pt>
                <c:pt idx="129">
                  <c:v>595.7847469423931</c:v>
                </c:pt>
                <c:pt idx="130">
                  <c:v>595.7847469423931</c:v>
                </c:pt>
                <c:pt idx="131">
                  <c:v>595.7847469423931</c:v>
                </c:pt>
                <c:pt idx="132">
                  <c:v>595.7847469423931</c:v>
                </c:pt>
                <c:pt idx="133">
                  <c:v>595.7847469423931</c:v>
                </c:pt>
                <c:pt idx="134">
                  <c:v>595.7847469423931</c:v>
                </c:pt>
                <c:pt idx="135">
                  <c:v>595.7847469423931</c:v>
                </c:pt>
                <c:pt idx="136">
                  <c:v>595.7847469423931</c:v>
                </c:pt>
                <c:pt idx="137">
                  <c:v>595.7847469423931</c:v>
                </c:pt>
                <c:pt idx="138">
                  <c:v>595.7847469423931</c:v>
                </c:pt>
                <c:pt idx="139">
                  <c:v>595.7847469423931</c:v>
                </c:pt>
                <c:pt idx="140">
                  <c:v>595.7847469423931</c:v>
                </c:pt>
                <c:pt idx="141">
                  <c:v>595.7847469423931</c:v>
                </c:pt>
                <c:pt idx="142">
                  <c:v>595.7847469423931</c:v>
                </c:pt>
                <c:pt idx="143">
                  <c:v>595.7847469423931</c:v>
                </c:pt>
                <c:pt idx="144">
                  <c:v>595.7847469423931</c:v>
                </c:pt>
                <c:pt idx="145">
                  <c:v>595.7847469423931</c:v>
                </c:pt>
                <c:pt idx="146">
                  <c:v>595.7847469423931</c:v>
                </c:pt>
                <c:pt idx="147">
                  <c:v>595.7847469423931</c:v>
                </c:pt>
                <c:pt idx="148">
                  <c:v>595.7847469423931</c:v>
                </c:pt>
                <c:pt idx="149">
                  <c:v>595.7847469423931</c:v>
                </c:pt>
                <c:pt idx="150">
                  <c:v>595.7847469423931</c:v>
                </c:pt>
                <c:pt idx="151">
                  <c:v>595.7847469423931</c:v>
                </c:pt>
                <c:pt idx="152">
                  <c:v>595.7847469423931</c:v>
                </c:pt>
                <c:pt idx="153">
                  <c:v>595.7847469423931</c:v>
                </c:pt>
                <c:pt idx="154">
                  <c:v>595.7847469423931</c:v>
                </c:pt>
                <c:pt idx="155">
                  <c:v>595.7847469423931</c:v>
                </c:pt>
                <c:pt idx="156">
                  <c:v>595.7847469423931</c:v>
                </c:pt>
                <c:pt idx="157">
                  <c:v>595.7847469423931</c:v>
                </c:pt>
                <c:pt idx="158">
                  <c:v>595.7847469423931</c:v>
                </c:pt>
                <c:pt idx="159">
                  <c:v>595.7847469423931</c:v>
                </c:pt>
                <c:pt idx="160">
                  <c:v>595.7847469423931</c:v>
                </c:pt>
                <c:pt idx="161">
                  <c:v>595.7847469423931</c:v>
                </c:pt>
                <c:pt idx="162">
                  <c:v>595.7847469423931</c:v>
                </c:pt>
                <c:pt idx="163">
                  <c:v>595.7847469423931</c:v>
                </c:pt>
                <c:pt idx="164">
                  <c:v>595.7847469423931</c:v>
                </c:pt>
                <c:pt idx="165">
                  <c:v>595.7847469423931</c:v>
                </c:pt>
                <c:pt idx="166">
                  <c:v>595.7847469423931</c:v>
                </c:pt>
                <c:pt idx="167">
                  <c:v>595.7847469423931</c:v>
                </c:pt>
                <c:pt idx="168">
                  <c:v>595.7847469423931</c:v>
                </c:pt>
                <c:pt idx="169">
                  <c:v>595.7847469423931</c:v>
                </c:pt>
                <c:pt idx="170">
                  <c:v>595.7847469423931</c:v>
                </c:pt>
                <c:pt idx="171">
                  <c:v>595.7847469423931</c:v>
                </c:pt>
                <c:pt idx="172">
                  <c:v>595.7847469423931</c:v>
                </c:pt>
                <c:pt idx="173">
                  <c:v>595.7847469423931</c:v>
                </c:pt>
                <c:pt idx="174">
                  <c:v>595.7847469423931</c:v>
                </c:pt>
                <c:pt idx="175">
                  <c:v>595.7847469423931</c:v>
                </c:pt>
                <c:pt idx="176">
                  <c:v>595.7847469423931</c:v>
                </c:pt>
                <c:pt idx="177">
                  <c:v>595.7847469423931</c:v>
                </c:pt>
                <c:pt idx="178">
                  <c:v>595.7847469423931</c:v>
                </c:pt>
                <c:pt idx="179">
                  <c:v>595.7847469423931</c:v>
                </c:pt>
                <c:pt idx="180">
                  <c:v>595.7847469423931</c:v>
                </c:pt>
                <c:pt idx="181">
                  <c:v>595.7847469423931</c:v>
                </c:pt>
                <c:pt idx="182">
                  <c:v>595.7847469423931</c:v>
                </c:pt>
                <c:pt idx="183">
                  <c:v>595.7847469423931</c:v>
                </c:pt>
                <c:pt idx="184">
                  <c:v>595.7847469423931</c:v>
                </c:pt>
                <c:pt idx="185">
                  <c:v>595.7847469423931</c:v>
                </c:pt>
                <c:pt idx="186">
                  <c:v>595.7847469423931</c:v>
                </c:pt>
                <c:pt idx="187">
                  <c:v>595.7847469423931</c:v>
                </c:pt>
                <c:pt idx="188">
                  <c:v>595.7847469423931</c:v>
                </c:pt>
                <c:pt idx="189">
                  <c:v>595.7847469423931</c:v>
                </c:pt>
                <c:pt idx="190">
                  <c:v>595.7847469423931</c:v>
                </c:pt>
                <c:pt idx="191">
                  <c:v>595.7847469423931</c:v>
                </c:pt>
                <c:pt idx="192">
                  <c:v>595.7847469423931</c:v>
                </c:pt>
                <c:pt idx="193">
                  <c:v>595.7847469423931</c:v>
                </c:pt>
                <c:pt idx="194">
                  <c:v>595.7847469423931</c:v>
                </c:pt>
                <c:pt idx="195">
                  <c:v>595.7847469423931</c:v>
                </c:pt>
                <c:pt idx="196">
                  <c:v>595.7847469423931</c:v>
                </c:pt>
                <c:pt idx="197">
                  <c:v>595.7847469423931</c:v>
                </c:pt>
                <c:pt idx="198">
                  <c:v>595.7847469423931</c:v>
                </c:pt>
                <c:pt idx="199">
                  <c:v>595.7847469423931</c:v>
                </c:pt>
                <c:pt idx="200">
                  <c:v>595.7847469423931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1.5523076571459198</c:v>
                </c:pt>
                <c:pt idx="2">
                  <c:v>2.0779536207247533</c:v>
                </c:pt>
                <c:pt idx="3">
                  <c:v>2.7823494380535343</c:v>
                </c:pt>
                <c:pt idx="4">
                  <c:v>3.7265225723573878</c:v>
                </c:pt>
                <c:pt idx="5">
                  <c:v>4.9924134857468951</c:v>
                </c:pt>
                <c:pt idx="6">
                  <c:v>6.6900668077158834</c:v>
                </c:pt>
                <c:pt idx="7">
                  <c:v>8.9673030931831228</c:v>
                </c:pt>
                <c:pt idx="8">
                  <c:v>12.022729322554371</c:v>
                </c:pt>
                <c:pt idx="9">
                  <c:v>16.123243951503657</c:v>
                </c:pt>
                <c:pt idx="10">
                  <c:v>21.62759346198936</c:v>
                </c:pt>
                <c:pt idx="11">
                  <c:v>29.01807805612599</c:v>
                </c:pt>
                <c:pt idx="12">
                  <c:v>38.943233015943342</c:v>
                </c:pt>
                <c:pt idx="13">
                  <c:v>52.275294958704045</c:v>
                </c:pt>
                <c:pt idx="14">
                  <c:v>70.187587315236797</c:v>
                </c:pt>
                <c:pt idx="15">
                  <c:v>94.258746370753514</c:v>
                </c:pt>
                <c:pt idx="16">
                  <c:v>126.61311945173115</c:v>
                </c:pt>
                <c:pt idx="17">
                  <c:v>170.10991806831223</c:v>
                </c:pt>
                <c:pt idx="18">
                  <c:v>198.38786993528757</c:v>
                </c:pt>
                <c:pt idx="19">
                  <c:v>152.48582188713934</c:v>
                </c:pt>
                <c:pt idx="20">
                  <c:v>178.32756322361914</c:v>
                </c:pt>
                <c:pt idx="21">
                  <c:v>204.08140276674328</c:v>
                </c:pt>
                <c:pt idx="22">
                  <c:v>229.76000193373702</c:v>
                </c:pt>
                <c:pt idx="23">
                  <c:v>255.37295359331094</c:v>
                </c:pt>
                <c:pt idx="24">
                  <c:v>280.9277662379219</c:v>
                </c:pt>
                <c:pt idx="25">
                  <c:v>259.5114263850914</c:v>
                </c:pt>
                <c:pt idx="26">
                  <c:v>286.85169500779779</c:v>
                </c:pt>
                <c:pt idx="27">
                  <c:v>314.13366711247392</c:v>
                </c:pt>
                <c:pt idx="28">
                  <c:v>341.36311377244874</c:v>
                </c:pt>
                <c:pt idx="29">
                  <c:v>368.54481018971654</c:v>
                </c:pt>
                <c:pt idx="30">
                  <c:v>395.68276987567407</c:v>
                </c:pt>
                <c:pt idx="31">
                  <c:v>346.39516725476392</c:v>
                </c:pt>
                <c:pt idx="32">
                  <c:v>373.41932374143568</c:v>
                </c:pt>
                <c:pt idx="33">
                  <c:v>400.40086951930101</c:v>
                </c:pt>
                <c:pt idx="34">
                  <c:v>427.34307668167941</c:v>
                </c:pt>
                <c:pt idx="35">
                  <c:v>454.24877135458155</c:v>
                </c:pt>
                <c:pt idx="36">
                  <c:v>481.12041783246809</c:v>
                </c:pt>
                <c:pt idx="37">
                  <c:v>426.90783690279039</c:v>
                </c:pt>
                <c:pt idx="38">
                  <c:v>453.28091482724193</c:v>
                </c:pt>
                <c:pt idx="39">
                  <c:v>479.62120245700811</c:v>
                </c:pt>
                <c:pt idx="40">
                  <c:v>505.93075176073961</c:v>
                </c:pt>
                <c:pt idx="41">
                  <c:v>532.2113840960601</c:v>
                </c:pt>
                <c:pt idx="42">
                  <c:v>558.46472646287214</c:v>
                </c:pt>
                <c:pt idx="43">
                  <c:v>498.47606156235776</c:v>
                </c:pt>
                <c:pt idx="44">
                  <c:v>523.83567697290721</c:v>
                </c:pt>
                <c:pt idx="45">
                  <c:v>549.16943427848048</c:v>
                </c:pt>
                <c:pt idx="46">
                  <c:v>574.47869271224215</c:v>
                </c:pt>
                <c:pt idx="47">
                  <c:v>599.76468211002782</c:v>
                </c:pt>
                <c:pt idx="48">
                  <c:v>625.02852027354447</c:v>
                </c:pt>
                <c:pt idx="49">
                  <c:v>554.46207917715526</c:v>
                </c:pt>
                <c:pt idx="50">
                  <c:v>578.46438337656957</c:v>
                </c:pt>
                <c:pt idx="51">
                  <c:v>602.44591808819234</c:v>
                </c:pt>
                <c:pt idx="52">
                  <c:v>626.40762543893618</c:v>
                </c:pt>
                <c:pt idx="53">
                  <c:v>650.35036968432894</c:v>
                </c:pt>
                <c:pt idx="54">
                  <c:v>674.27494633198023</c:v>
                </c:pt>
                <c:pt idx="55">
                  <c:v>1.0034985732814501</c:v>
                </c:pt>
                <c:pt idx="56">
                  <c:v>1.0034985732814501</c:v>
                </c:pt>
                <c:pt idx="57">
                  <c:v>1.0034985732814501</c:v>
                </c:pt>
                <c:pt idx="58">
                  <c:v>1.0034985732814501</c:v>
                </c:pt>
                <c:pt idx="59">
                  <c:v>1.0034985732814501</c:v>
                </c:pt>
                <c:pt idx="60">
                  <c:v>1.0034985732814501</c:v>
                </c:pt>
                <c:pt idx="61">
                  <c:v>1.0034985732814501</c:v>
                </c:pt>
                <c:pt idx="62">
                  <c:v>1.0034985732814501</c:v>
                </c:pt>
                <c:pt idx="63">
                  <c:v>1.0034985732814501</c:v>
                </c:pt>
                <c:pt idx="64">
                  <c:v>1.0034985732814501</c:v>
                </c:pt>
                <c:pt idx="65">
                  <c:v>1.0034985732814501</c:v>
                </c:pt>
                <c:pt idx="66">
                  <c:v>1.0034985732814501</c:v>
                </c:pt>
                <c:pt idx="67">
                  <c:v>1.0034985732814501</c:v>
                </c:pt>
                <c:pt idx="68">
                  <c:v>1.0034985732814501</c:v>
                </c:pt>
                <c:pt idx="69">
                  <c:v>1.0034985732814501</c:v>
                </c:pt>
                <c:pt idx="70">
                  <c:v>1.0034985732814501</c:v>
                </c:pt>
                <c:pt idx="71">
                  <c:v>1.0034985732814501</c:v>
                </c:pt>
                <c:pt idx="72">
                  <c:v>1.0034985732814501</c:v>
                </c:pt>
                <c:pt idx="73">
                  <c:v>1.0034985732814501</c:v>
                </c:pt>
                <c:pt idx="74">
                  <c:v>1.0034985732814501</c:v>
                </c:pt>
                <c:pt idx="75">
                  <c:v>1.0034985732814501</c:v>
                </c:pt>
                <c:pt idx="76">
                  <c:v>1.0034985732814501</c:v>
                </c:pt>
                <c:pt idx="77">
                  <c:v>1.0034985732814501</c:v>
                </c:pt>
                <c:pt idx="78">
                  <c:v>1.0034985732814501</c:v>
                </c:pt>
                <c:pt idx="79">
                  <c:v>1.0034985732814501</c:v>
                </c:pt>
                <c:pt idx="80">
                  <c:v>1.0034985732814501</c:v>
                </c:pt>
                <c:pt idx="81">
                  <c:v>1.0034985732814501</c:v>
                </c:pt>
                <c:pt idx="82">
                  <c:v>1.0034985732814501</c:v>
                </c:pt>
                <c:pt idx="83">
                  <c:v>1.0034985732814501</c:v>
                </c:pt>
                <c:pt idx="84">
                  <c:v>1.0034985732814501</c:v>
                </c:pt>
                <c:pt idx="85">
                  <c:v>1.0034985732814501</c:v>
                </c:pt>
                <c:pt idx="86">
                  <c:v>1.0034985732814501</c:v>
                </c:pt>
                <c:pt idx="87">
                  <c:v>1.0034985732814501</c:v>
                </c:pt>
                <c:pt idx="88">
                  <c:v>1.0034985732814501</c:v>
                </c:pt>
                <c:pt idx="89">
                  <c:v>1.0034985732814501</c:v>
                </c:pt>
                <c:pt idx="90">
                  <c:v>1.0034985732814501</c:v>
                </c:pt>
                <c:pt idx="91">
                  <c:v>1.0034985732814501</c:v>
                </c:pt>
                <c:pt idx="92">
                  <c:v>1.0034985732814501</c:v>
                </c:pt>
                <c:pt idx="93">
                  <c:v>1.0034985732814501</c:v>
                </c:pt>
                <c:pt idx="94">
                  <c:v>1.0034985732814501</c:v>
                </c:pt>
                <c:pt idx="95">
                  <c:v>1.0034985732814501</c:v>
                </c:pt>
                <c:pt idx="96">
                  <c:v>1.0034985732814501</c:v>
                </c:pt>
                <c:pt idx="97">
                  <c:v>1.0034985732814501</c:v>
                </c:pt>
                <c:pt idx="98">
                  <c:v>1.0034985732814501</c:v>
                </c:pt>
                <c:pt idx="99">
                  <c:v>1.0034985732814501</c:v>
                </c:pt>
                <c:pt idx="100">
                  <c:v>1.0034985732814501</c:v>
                </c:pt>
                <c:pt idx="101">
                  <c:v>1.0034985732814501</c:v>
                </c:pt>
                <c:pt idx="102">
                  <c:v>1.0034985732814501</c:v>
                </c:pt>
                <c:pt idx="103">
                  <c:v>1.0034985732814501</c:v>
                </c:pt>
                <c:pt idx="104">
                  <c:v>1.0034985732814501</c:v>
                </c:pt>
                <c:pt idx="105">
                  <c:v>1.0034985732814501</c:v>
                </c:pt>
                <c:pt idx="106">
                  <c:v>1.0034985732814501</c:v>
                </c:pt>
                <c:pt idx="107">
                  <c:v>1.0034985732814501</c:v>
                </c:pt>
                <c:pt idx="108">
                  <c:v>1.0034985732814501</c:v>
                </c:pt>
                <c:pt idx="109">
                  <c:v>1.0034985732814501</c:v>
                </c:pt>
                <c:pt idx="110">
                  <c:v>1.0034985732814501</c:v>
                </c:pt>
                <c:pt idx="111">
                  <c:v>1.0034985732814501</c:v>
                </c:pt>
                <c:pt idx="112">
                  <c:v>1.0034985732814501</c:v>
                </c:pt>
                <c:pt idx="113">
                  <c:v>1.0034985732814501</c:v>
                </c:pt>
                <c:pt idx="114">
                  <c:v>1.0034985732814501</c:v>
                </c:pt>
                <c:pt idx="115">
                  <c:v>1.0034985732814501</c:v>
                </c:pt>
                <c:pt idx="116">
                  <c:v>1.0034985732814501</c:v>
                </c:pt>
                <c:pt idx="117">
                  <c:v>1.0034985732814501</c:v>
                </c:pt>
                <c:pt idx="118">
                  <c:v>1.0034985732814501</c:v>
                </c:pt>
                <c:pt idx="119">
                  <c:v>1.0034985732814501</c:v>
                </c:pt>
                <c:pt idx="120">
                  <c:v>1.0034985732814501</c:v>
                </c:pt>
                <c:pt idx="121">
                  <c:v>1.0034985732814501</c:v>
                </c:pt>
                <c:pt idx="122">
                  <c:v>1.0034985732814501</c:v>
                </c:pt>
                <c:pt idx="123">
                  <c:v>1.0034985732814501</c:v>
                </c:pt>
                <c:pt idx="124">
                  <c:v>1.0034985732814501</c:v>
                </c:pt>
                <c:pt idx="125">
                  <c:v>1.0034985732814501</c:v>
                </c:pt>
                <c:pt idx="126">
                  <c:v>1.0034985732814501</c:v>
                </c:pt>
                <c:pt idx="127">
                  <c:v>1.0034985732814501</c:v>
                </c:pt>
                <c:pt idx="128">
                  <c:v>1.0034985732814501</c:v>
                </c:pt>
                <c:pt idx="129">
                  <c:v>1.0034985732814501</c:v>
                </c:pt>
                <c:pt idx="130">
                  <c:v>1.0034985732814501</c:v>
                </c:pt>
                <c:pt idx="131">
                  <c:v>1.0034985732814501</c:v>
                </c:pt>
                <c:pt idx="132">
                  <c:v>1.0034985732814501</c:v>
                </c:pt>
                <c:pt idx="133">
                  <c:v>1.0034985732814501</c:v>
                </c:pt>
                <c:pt idx="134">
                  <c:v>1.0034985732814501</c:v>
                </c:pt>
                <c:pt idx="135">
                  <c:v>1.0034985732814501</c:v>
                </c:pt>
                <c:pt idx="136">
                  <c:v>1.0034985732814501</c:v>
                </c:pt>
                <c:pt idx="137">
                  <c:v>1.0034985732814501</c:v>
                </c:pt>
                <c:pt idx="138">
                  <c:v>1.0034985732814501</c:v>
                </c:pt>
                <c:pt idx="139">
                  <c:v>1.0034985732814501</c:v>
                </c:pt>
                <c:pt idx="140">
                  <c:v>1.0034985732814501</c:v>
                </c:pt>
                <c:pt idx="141">
                  <c:v>1.0034985732814501</c:v>
                </c:pt>
                <c:pt idx="142">
                  <c:v>1.0034985732814501</c:v>
                </c:pt>
                <c:pt idx="143">
                  <c:v>1.0034985732814501</c:v>
                </c:pt>
                <c:pt idx="144">
                  <c:v>1.0034985732814501</c:v>
                </c:pt>
                <c:pt idx="145">
                  <c:v>1.0034985732814501</c:v>
                </c:pt>
                <c:pt idx="146">
                  <c:v>1.0034985732814501</c:v>
                </c:pt>
                <c:pt idx="147">
                  <c:v>1.0034985732814501</c:v>
                </c:pt>
                <c:pt idx="148">
                  <c:v>1.0034985732814501</c:v>
                </c:pt>
                <c:pt idx="149">
                  <c:v>1.0034985732814501</c:v>
                </c:pt>
                <c:pt idx="150">
                  <c:v>1.0034985732814501</c:v>
                </c:pt>
                <c:pt idx="151">
                  <c:v>1.0034985732814501</c:v>
                </c:pt>
                <c:pt idx="152">
                  <c:v>1.0034985732814501</c:v>
                </c:pt>
                <c:pt idx="153">
                  <c:v>1.0034985732814501</c:v>
                </c:pt>
                <c:pt idx="154">
                  <c:v>1.0034985732814501</c:v>
                </c:pt>
                <c:pt idx="155">
                  <c:v>1.0034985732814501</c:v>
                </c:pt>
                <c:pt idx="156">
                  <c:v>1.0034985732814501</c:v>
                </c:pt>
                <c:pt idx="157">
                  <c:v>1.0034985732814501</c:v>
                </c:pt>
                <c:pt idx="158">
                  <c:v>1.0034985732814501</c:v>
                </c:pt>
                <c:pt idx="159">
                  <c:v>1.0034985732814501</c:v>
                </c:pt>
                <c:pt idx="160">
                  <c:v>1.0034985732814501</c:v>
                </c:pt>
                <c:pt idx="161">
                  <c:v>1.0034985732814501</c:v>
                </c:pt>
                <c:pt idx="162">
                  <c:v>1.0034985732814501</c:v>
                </c:pt>
                <c:pt idx="163">
                  <c:v>1.0034985732814501</c:v>
                </c:pt>
                <c:pt idx="164">
                  <c:v>1.0034985732814501</c:v>
                </c:pt>
                <c:pt idx="165">
                  <c:v>1.0034985732814501</c:v>
                </c:pt>
                <c:pt idx="166">
                  <c:v>1.0034985732814501</c:v>
                </c:pt>
                <c:pt idx="167">
                  <c:v>1.0034985732814501</c:v>
                </c:pt>
                <c:pt idx="168">
                  <c:v>1.0034985732814501</c:v>
                </c:pt>
                <c:pt idx="169">
                  <c:v>1.0034985732814501</c:v>
                </c:pt>
                <c:pt idx="170">
                  <c:v>1.0034985732814501</c:v>
                </c:pt>
                <c:pt idx="171">
                  <c:v>1.0034985732814501</c:v>
                </c:pt>
                <c:pt idx="172">
                  <c:v>1.0034985732814501</c:v>
                </c:pt>
                <c:pt idx="173">
                  <c:v>1.0034985732814501</c:v>
                </c:pt>
                <c:pt idx="174">
                  <c:v>1.0034985732814501</c:v>
                </c:pt>
                <c:pt idx="175">
                  <c:v>1.0034985732814501</c:v>
                </c:pt>
                <c:pt idx="176">
                  <c:v>1.0034985732814501</c:v>
                </c:pt>
                <c:pt idx="177">
                  <c:v>1.0034985732814501</c:v>
                </c:pt>
                <c:pt idx="178">
                  <c:v>1.0034985732814501</c:v>
                </c:pt>
                <c:pt idx="179">
                  <c:v>1.0034985732814501</c:v>
                </c:pt>
                <c:pt idx="180">
                  <c:v>1.0034985732814501</c:v>
                </c:pt>
                <c:pt idx="181">
                  <c:v>1.0034985732814501</c:v>
                </c:pt>
                <c:pt idx="182">
                  <c:v>1.0034985732814501</c:v>
                </c:pt>
                <c:pt idx="183">
                  <c:v>1.0034985732814501</c:v>
                </c:pt>
                <c:pt idx="184">
                  <c:v>1.0034985732814501</c:v>
                </c:pt>
                <c:pt idx="185">
                  <c:v>1.0034985732814501</c:v>
                </c:pt>
                <c:pt idx="186">
                  <c:v>1.0034985732814501</c:v>
                </c:pt>
                <c:pt idx="187">
                  <c:v>1.0034985732814501</c:v>
                </c:pt>
                <c:pt idx="188">
                  <c:v>1.0034985732814501</c:v>
                </c:pt>
                <c:pt idx="189">
                  <c:v>1.0034985732814501</c:v>
                </c:pt>
                <c:pt idx="190">
                  <c:v>1.0034985732814501</c:v>
                </c:pt>
                <c:pt idx="191">
                  <c:v>1.0034985732814501</c:v>
                </c:pt>
                <c:pt idx="192">
                  <c:v>1.0034985732814501</c:v>
                </c:pt>
                <c:pt idx="193">
                  <c:v>1.0034985732814501</c:v>
                </c:pt>
                <c:pt idx="194">
                  <c:v>1.0034985732814501</c:v>
                </c:pt>
                <c:pt idx="195">
                  <c:v>1.0034985732814501</c:v>
                </c:pt>
                <c:pt idx="196">
                  <c:v>1.0034985732814501</c:v>
                </c:pt>
                <c:pt idx="197">
                  <c:v>1.0034985732814501</c:v>
                </c:pt>
                <c:pt idx="198">
                  <c:v>1.0034985732814501</c:v>
                </c:pt>
                <c:pt idx="199">
                  <c:v>1.0034985732814501</c:v>
                </c:pt>
                <c:pt idx="200">
                  <c:v>1.0034985732814501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2.8300887377079711</c:v>
                </c:pt>
                <c:pt idx="2">
                  <c:v>3.3023042337395179</c:v>
                </c:pt>
                <c:pt idx="3">
                  <c:v>3.8535970165131981</c:v>
                </c:pt>
                <c:pt idx="4">
                  <c:v>4.4972545440769327</c:v>
                </c:pt>
                <c:pt idx="5">
                  <c:v>5.2488040989672156</c:v>
                </c:pt>
                <c:pt idx="6">
                  <c:v>6.1263914656658001</c:v>
                </c:pt>
                <c:pt idx="7">
                  <c:v>7.1512238043191303</c:v>
                </c:pt>
                <c:pt idx="8">
                  <c:v>8.3480876310517598</c:v>
                </c:pt>
                <c:pt idx="9">
                  <c:v>9.7459546736940528</c:v>
                </c:pt>
                <c:pt idx="10">
                  <c:v>11.378690547472175</c:v>
                </c:pt>
                <c:pt idx="11">
                  <c:v>13.285883742428437</c:v>
                </c:pt>
                <c:pt idx="12">
                  <c:v>15.513815396600551</c:v>
                </c:pt>
                <c:pt idx="13">
                  <c:v>18.116593820726411</c:v>
                </c:pt>
                <c:pt idx="14">
                  <c:v>21.15748182865056</c:v>
                </c:pt>
                <c:pt idx="15">
                  <c:v>24.710449714832063</c:v>
                </c:pt>
                <c:pt idx="16">
                  <c:v>28.861992326044312</c:v>
                </c:pt>
                <c:pt idx="17">
                  <c:v>33.713255238692668</c:v>
                </c:pt>
                <c:pt idx="18">
                  <c:v>39.382522740372629</c:v>
                </c:pt>
                <c:pt idx="19">
                  <c:v>46.008129316747045</c:v>
                </c:pt>
                <c:pt idx="20">
                  <c:v>53.751866887941766</c:v>
                </c:pt>
                <c:pt idx="21">
                  <c:v>62.802972386545882</c:v>
                </c:pt>
                <c:pt idx="22">
                  <c:v>73.382794731387975</c:v>
                </c:pt>
                <c:pt idx="23">
                  <c:v>85.75025719011127</c:v>
                </c:pt>
                <c:pt idx="24">
                  <c:v>100.20825096401774</c:v>
                </c:pt>
                <c:pt idx="25">
                  <c:v>117.11111906849764</c:v>
                </c:pt>
                <c:pt idx="26">
                  <c:v>136.87341680492963</c:v>
                </c:pt>
                <c:pt idx="27">
                  <c:v>159.98016700878466</c:v>
                </c:pt>
                <c:pt idx="28">
                  <c:v>186.99886561482674</c:v>
                </c:pt>
                <c:pt idx="29">
                  <c:v>218.59353684249234</c:v>
                </c:pt>
                <c:pt idx="30">
                  <c:v>255.54118857285985</c:v>
                </c:pt>
                <c:pt idx="31">
                  <c:v>287.98065547327218</c:v>
                </c:pt>
                <c:pt idx="32">
                  <c:v>320.33837905864272</c:v>
                </c:pt>
                <c:pt idx="33">
                  <c:v>352.62377071435316</c:v>
                </c:pt>
                <c:pt idx="34">
                  <c:v>384.84437715367989</c:v>
                </c:pt>
                <c:pt idx="35">
                  <c:v>417.00637843031797</c:v>
                </c:pt>
                <c:pt idx="36">
                  <c:v>301.85725124126549</c:v>
                </c:pt>
                <c:pt idx="37">
                  <c:v>328.04252199714483</c:v>
                </c:pt>
                <c:pt idx="38">
                  <c:v>354.18165931083257</c:v>
                </c:pt>
                <c:pt idx="39">
                  <c:v>380.27854362778663</c:v>
                </c:pt>
                <c:pt idx="40">
                  <c:v>406.336479538981</c:v>
                </c:pt>
                <c:pt idx="41">
                  <c:v>432.35831344928664</c:v>
                </c:pt>
                <c:pt idx="42">
                  <c:v>362.77915322530544</c:v>
                </c:pt>
                <c:pt idx="43">
                  <c:v>389.26479174838067</c:v>
                </c:pt>
                <c:pt idx="44">
                  <c:v>415.71133013070335</c:v>
                </c:pt>
                <c:pt idx="45">
                  <c:v>442.12160297089622</c:v>
                </c:pt>
                <c:pt idx="46">
                  <c:v>468.49807884128541</c:v>
                </c:pt>
                <c:pt idx="47">
                  <c:v>494.8429259164688</c:v>
                </c:pt>
                <c:pt idx="48">
                  <c:v>521.15806289757211</c:v>
                </c:pt>
                <c:pt idx="49">
                  <c:v>422.57294598110116</c:v>
                </c:pt>
                <c:pt idx="50">
                  <c:v>447.38105641848318</c:v>
                </c:pt>
                <c:pt idx="51">
                  <c:v>472.15973159082063</c:v>
                </c:pt>
                <c:pt idx="52">
                  <c:v>496.91073188695265</c:v>
                </c:pt>
                <c:pt idx="53">
                  <c:v>521.63562818224045</c:v>
                </c:pt>
                <c:pt idx="54">
                  <c:v>546.335830436788</c:v>
                </c:pt>
                <c:pt idx="55">
                  <c:v>571.0126108547621</c:v>
                </c:pt>
                <c:pt idx="56">
                  <c:v>477.18559168482119</c:v>
                </c:pt>
                <c:pt idx="57">
                  <c:v>500.66860389728407</c:v>
                </c:pt>
                <c:pt idx="58">
                  <c:v>524.1283120147209</c:v>
                </c:pt>
                <c:pt idx="59">
                  <c:v>547.56590477948214</c:v>
                </c:pt>
                <c:pt idx="60">
                  <c:v>570.98246097062588</c:v>
                </c:pt>
                <c:pt idx="61">
                  <c:v>594.37896375893126</c:v>
                </c:pt>
                <c:pt idx="62">
                  <c:v>617.75631268555173</c:v>
                </c:pt>
                <c:pt idx="63">
                  <c:v>641.11533373446866</c:v>
                </c:pt>
                <c:pt idx="64">
                  <c:v>554.92538579248924</c:v>
                </c:pt>
                <c:pt idx="65">
                  <c:v>577.61966152160358</c:v>
                </c:pt>
                <c:pt idx="66">
                  <c:v>600.29533970808632</c:v>
                </c:pt>
                <c:pt idx="67">
                  <c:v>622.95322095327685</c:v>
                </c:pt>
                <c:pt idx="68">
                  <c:v>645.59404293438308</c:v>
                </c:pt>
                <c:pt idx="69">
                  <c:v>668.21848742751797</c:v>
                </c:pt>
                <c:pt idx="70">
                  <c:v>690.82718633097465</c:v>
                </c:pt>
                <c:pt idx="71">
                  <c:v>713.42072685975165</c:v>
                </c:pt>
                <c:pt idx="72">
                  <c:v>631.16812583573221</c:v>
                </c:pt>
                <c:pt idx="73">
                  <c:v>653.24421280565764</c:v>
                </c:pt>
                <c:pt idx="74">
                  <c:v>675.3049295425152</c:v>
                </c:pt>
                <c:pt idx="75">
                  <c:v>697.35084825524393</c:v>
                </c:pt>
                <c:pt idx="76">
                  <c:v>719.38250206584382</c:v>
                </c:pt>
                <c:pt idx="77">
                  <c:v>741.40038881858982</c:v>
                </c:pt>
                <c:pt idx="78">
                  <c:v>763.40497441369291</c:v>
                </c:pt>
                <c:pt idx="79">
                  <c:v>785.39669573704725</c:v>
                </c:pt>
                <c:pt idx="80">
                  <c:v>807.37596324515698</c:v>
                </c:pt>
                <c:pt idx="81">
                  <c:v>709.13882459911702</c:v>
                </c:pt>
                <c:pt idx="82">
                  <c:v>729.96317555896394</c:v>
                </c:pt>
                <c:pt idx="83">
                  <c:v>750.77542282677223</c:v>
                </c:pt>
                <c:pt idx="84">
                  <c:v>771.57594877489225</c:v>
                </c:pt>
                <c:pt idx="85">
                  <c:v>792.36511350333376</c:v>
                </c:pt>
                <c:pt idx="86">
                  <c:v>813.14325669910465</c:v>
                </c:pt>
                <c:pt idx="87">
                  <c:v>833.9106992958483</c:v>
                </c:pt>
                <c:pt idx="88">
                  <c:v>854.66774495976222</c:v>
                </c:pt>
                <c:pt idx="89">
                  <c:v>875.4146814238444</c:v>
                </c:pt>
                <c:pt idx="90">
                  <c:v>766.57568184411605</c:v>
                </c:pt>
                <c:pt idx="91">
                  <c:v>786.44303625759721</c:v>
                </c:pt>
                <c:pt idx="92">
                  <c:v>806.30024130253378</c:v>
                </c:pt>
                <c:pt idx="93">
                  <c:v>826.14758183312381</c:v>
                </c:pt>
                <c:pt idx="94">
                  <c:v>845.98532791786045</c:v>
                </c:pt>
                <c:pt idx="95">
                  <c:v>865.81373594268018</c:v>
                </c:pt>
                <c:pt idx="96">
                  <c:v>885.63304960792505</c:v>
                </c:pt>
                <c:pt idx="97">
                  <c:v>905.44350083153915</c:v>
                </c:pt>
                <c:pt idx="98">
                  <c:v>925.24531056921569</c:v>
                </c:pt>
                <c:pt idx="99">
                  <c:v>945.03868956077565</c:v>
                </c:pt>
                <c:pt idx="100">
                  <c:v>839.01816460713133</c:v>
                </c:pt>
                <c:pt idx="101">
                  <c:v>858.37941066310839</c:v>
                </c:pt>
                <c:pt idx="102">
                  <c:v>877.73190308693063</c:v>
                </c:pt>
                <c:pt idx="103">
                  <c:v>897.07586181987017</c:v>
                </c:pt>
                <c:pt idx="104">
                  <c:v>916.41149655682364</c:v>
                </c:pt>
                <c:pt idx="105">
                  <c:v>935.73900743411639</c:v>
                </c:pt>
                <c:pt idx="106">
                  <c:v>955.05858565760354</c:v>
                </c:pt>
                <c:pt idx="107">
                  <c:v>974.37041407737581</c:v>
                </c:pt>
                <c:pt idx="108">
                  <c:v>993.67466771459976</c:v>
                </c:pt>
                <c:pt idx="109">
                  <c:v>1012.971514245346</c:v>
                </c:pt>
                <c:pt idx="110">
                  <c:v>898.48783549856989</c:v>
                </c:pt>
                <c:pt idx="111">
                  <c:v>917.20975424343681</c:v>
                </c:pt>
                <c:pt idx="112">
                  <c:v>935.92406388700135</c:v>
                </c:pt>
                <c:pt idx="113">
                  <c:v>954.63093780956694</c:v>
                </c:pt>
                <c:pt idx="114">
                  <c:v>973.3305420514298</c:v>
                </c:pt>
                <c:pt idx="115">
                  <c:v>992.02303576149086</c:v>
                </c:pt>
                <c:pt idx="116">
                  <c:v>1010.7085716103497</c:v>
                </c:pt>
                <c:pt idx="117">
                  <c:v>1029.3872961713043</c:v>
                </c:pt>
                <c:pt idx="118">
                  <c:v>1048.0593502722984</c:v>
                </c:pt>
                <c:pt idx="119">
                  <c:v>1066.7248693215251</c:v>
                </c:pt>
                <c:pt idx="120">
                  <c:v>674.41858222026156</c:v>
                </c:pt>
                <c:pt idx="121">
                  <c:v>673.67242948113892</c:v>
                </c:pt>
                <c:pt idx="122">
                  <c:v>672.92625976010697</c:v>
                </c:pt>
                <c:pt idx="123">
                  <c:v>672.18007303566412</c:v>
                </c:pt>
                <c:pt idx="124">
                  <c:v>470.34988425072794</c:v>
                </c:pt>
                <c:pt idx="125">
                  <c:v>470.74848142732253</c:v>
                </c:pt>
                <c:pt idx="126">
                  <c:v>471.14707141491613</c:v>
                </c:pt>
                <c:pt idx="127">
                  <c:v>471.54565422045795</c:v>
                </c:pt>
                <c:pt idx="128">
                  <c:v>340.08785846318278</c:v>
                </c:pt>
                <c:pt idx="129">
                  <c:v>340.28602122419534</c:v>
                </c:pt>
                <c:pt idx="130">
                  <c:v>340.48418144622576</c:v>
                </c:pt>
                <c:pt idx="131">
                  <c:v>340.68233913096401</c:v>
                </c:pt>
                <c:pt idx="132">
                  <c:v>43.582452684375909</c:v>
                </c:pt>
                <c:pt idx="133">
                  <c:v>43.582452684375909</c:v>
                </c:pt>
                <c:pt idx="134">
                  <c:v>43.582452684375909</c:v>
                </c:pt>
                <c:pt idx="135">
                  <c:v>43.582452684375909</c:v>
                </c:pt>
                <c:pt idx="136">
                  <c:v>43.582452684375909</c:v>
                </c:pt>
                <c:pt idx="137">
                  <c:v>43.582452684375909</c:v>
                </c:pt>
                <c:pt idx="138">
                  <c:v>43.582452684375909</c:v>
                </c:pt>
                <c:pt idx="139">
                  <c:v>43.582452684375909</c:v>
                </c:pt>
                <c:pt idx="140">
                  <c:v>43.582452684375909</c:v>
                </c:pt>
                <c:pt idx="141">
                  <c:v>43.582452684375909</c:v>
                </c:pt>
                <c:pt idx="142">
                  <c:v>43.582452684375909</c:v>
                </c:pt>
                <c:pt idx="143">
                  <c:v>43.582452684375909</c:v>
                </c:pt>
                <c:pt idx="144">
                  <c:v>43.582452684375909</c:v>
                </c:pt>
                <c:pt idx="145">
                  <c:v>43.582452684375909</c:v>
                </c:pt>
                <c:pt idx="146">
                  <c:v>43.582452684375909</c:v>
                </c:pt>
                <c:pt idx="147">
                  <c:v>43.582452684375909</c:v>
                </c:pt>
                <c:pt idx="148">
                  <c:v>43.582452684375909</c:v>
                </c:pt>
                <c:pt idx="149">
                  <c:v>43.582452684375909</c:v>
                </c:pt>
                <c:pt idx="150">
                  <c:v>43.582452684375909</c:v>
                </c:pt>
                <c:pt idx="151">
                  <c:v>43.582452684375909</c:v>
                </c:pt>
                <c:pt idx="152">
                  <c:v>43.582452684375909</c:v>
                </c:pt>
                <c:pt idx="153">
                  <c:v>43.582452684375909</c:v>
                </c:pt>
                <c:pt idx="154">
                  <c:v>43.582452684375909</c:v>
                </c:pt>
                <c:pt idx="155">
                  <c:v>43.582452684375909</c:v>
                </c:pt>
                <c:pt idx="156">
                  <c:v>43.582452684375909</c:v>
                </c:pt>
                <c:pt idx="157">
                  <c:v>43.582452684375909</c:v>
                </c:pt>
                <c:pt idx="158">
                  <c:v>43.582452684375909</c:v>
                </c:pt>
                <c:pt idx="159">
                  <c:v>43.582452684375909</c:v>
                </c:pt>
                <c:pt idx="160">
                  <c:v>43.582452684375909</c:v>
                </c:pt>
                <c:pt idx="161">
                  <c:v>43.582452684375909</c:v>
                </c:pt>
                <c:pt idx="162">
                  <c:v>43.582452684375909</c:v>
                </c:pt>
                <c:pt idx="163">
                  <c:v>43.582452684375909</c:v>
                </c:pt>
                <c:pt idx="164">
                  <c:v>43.582452684375909</c:v>
                </c:pt>
                <c:pt idx="165">
                  <c:v>43.582452684375909</c:v>
                </c:pt>
                <c:pt idx="166">
                  <c:v>43.582452684375909</c:v>
                </c:pt>
                <c:pt idx="167">
                  <c:v>43.582452684375909</c:v>
                </c:pt>
                <c:pt idx="168">
                  <c:v>43.582452684375909</c:v>
                </c:pt>
                <c:pt idx="169">
                  <c:v>43.582452684375909</c:v>
                </c:pt>
                <c:pt idx="170">
                  <c:v>43.582452684375909</c:v>
                </c:pt>
                <c:pt idx="171">
                  <c:v>43.582452684375909</c:v>
                </c:pt>
                <c:pt idx="172">
                  <c:v>43.582452684375909</c:v>
                </c:pt>
                <c:pt idx="173">
                  <c:v>43.582452684375909</c:v>
                </c:pt>
                <c:pt idx="174">
                  <c:v>43.582452684375909</c:v>
                </c:pt>
                <c:pt idx="175">
                  <c:v>43.582452684375909</c:v>
                </c:pt>
                <c:pt idx="176">
                  <c:v>43.582452684375909</c:v>
                </c:pt>
                <c:pt idx="177">
                  <c:v>43.582452684375909</c:v>
                </c:pt>
                <c:pt idx="178">
                  <c:v>43.582452684375909</c:v>
                </c:pt>
                <c:pt idx="179">
                  <c:v>43.582452684375909</c:v>
                </c:pt>
                <c:pt idx="180">
                  <c:v>43.582452684375909</c:v>
                </c:pt>
                <c:pt idx="181">
                  <c:v>43.582452684375909</c:v>
                </c:pt>
                <c:pt idx="182">
                  <c:v>43.582452684375909</c:v>
                </c:pt>
                <c:pt idx="183">
                  <c:v>43.582452684375909</c:v>
                </c:pt>
                <c:pt idx="184">
                  <c:v>43.582452684375909</c:v>
                </c:pt>
                <c:pt idx="185">
                  <c:v>43.582452684375909</c:v>
                </c:pt>
                <c:pt idx="186">
                  <c:v>43.582452684375909</c:v>
                </c:pt>
                <c:pt idx="187">
                  <c:v>43.582452684375909</c:v>
                </c:pt>
                <c:pt idx="188">
                  <c:v>43.582452684375909</c:v>
                </c:pt>
                <c:pt idx="189">
                  <c:v>43.582452684375909</c:v>
                </c:pt>
                <c:pt idx="190">
                  <c:v>43.582452684375909</c:v>
                </c:pt>
                <c:pt idx="191">
                  <c:v>43.582452684375909</c:v>
                </c:pt>
                <c:pt idx="192">
                  <c:v>43.582452684375909</c:v>
                </c:pt>
                <c:pt idx="193">
                  <c:v>43.582452684375909</c:v>
                </c:pt>
                <c:pt idx="194">
                  <c:v>43.582452684375909</c:v>
                </c:pt>
                <c:pt idx="195">
                  <c:v>43.582452684375909</c:v>
                </c:pt>
                <c:pt idx="196">
                  <c:v>43.582452684375909</c:v>
                </c:pt>
                <c:pt idx="197">
                  <c:v>43.582452684375909</c:v>
                </c:pt>
                <c:pt idx="198">
                  <c:v>43.582452684375909</c:v>
                </c:pt>
                <c:pt idx="199">
                  <c:v>43.582452684375909</c:v>
                </c:pt>
                <c:pt idx="200">
                  <c:v>43.582452684375909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2.2881336243779393</c:v>
                </c:pt>
                <c:pt idx="2">
                  <c:v>3.1650169817499965</c:v>
                </c:pt>
                <c:pt idx="3">
                  <c:v>4.3793873766688254</c:v>
                </c:pt>
                <c:pt idx="4">
                  <c:v>6.0616545047089643</c:v>
                </c:pt>
                <c:pt idx="5">
                  <c:v>8.392807887196037</c:v>
                </c:pt>
                <c:pt idx="6">
                  <c:v>11.624101814260646</c:v>
                </c:pt>
                <c:pt idx="7">
                  <c:v>16.104425492496834</c:v>
                </c:pt>
                <c:pt idx="8">
                  <c:v>22.318367374056834</c:v>
                </c:pt>
                <c:pt idx="9">
                  <c:v>30.939163798212203</c:v>
                </c:pt>
                <c:pt idx="10">
                  <c:v>42.902367967140272</c:v>
                </c:pt>
                <c:pt idx="11">
                  <c:v>55.501426856815328</c:v>
                </c:pt>
                <c:pt idx="12">
                  <c:v>68.025011369312452</c:v>
                </c:pt>
                <c:pt idx="13">
                  <c:v>80.489071942086085</c:v>
                </c:pt>
                <c:pt idx="14">
                  <c:v>92.90416441214235</c:v>
                </c:pt>
                <c:pt idx="15">
                  <c:v>105.27777328534678</c:v>
                </c:pt>
                <c:pt idx="16">
                  <c:v>120.97465483621151</c:v>
                </c:pt>
                <c:pt idx="17">
                  <c:v>136.62190390444178</c:v>
                </c:pt>
                <c:pt idx="18">
                  <c:v>152.22601311475293</c:v>
                </c:pt>
                <c:pt idx="19">
                  <c:v>167.79203137630657</c:v>
                </c:pt>
                <c:pt idx="20">
                  <c:v>183.32399225800421</c:v>
                </c:pt>
                <c:pt idx="21">
                  <c:v>122.37364016752581</c:v>
                </c:pt>
                <c:pt idx="22">
                  <c:v>136.62190390444178</c:v>
                </c:pt>
                <c:pt idx="23">
                  <c:v>150.83440412130653</c:v>
                </c:pt>
                <c:pt idx="24">
                  <c:v>165.01498831962564</c:v>
                </c:pt>
                <c:pt idx="25">
                  <c:v>179.16678741707778</c:v>
                </c:pt>
                <c:pt idx="26">
                  <c:v>156.67714111279562</c:v>
                </c:pt>
                <c:pt idx="27">
                  <c:v>170.29044260840411</c:v>
                </c:pt>
                <c:pt idx="28">
                  <c:v>183.87811844934708</c:v>
                </c:pt>
                <c:pt idx="29">
                  <c:v>197.4423300434845</c:v>
                </c:pt>
                <c:pt idx="30">
                  <c:v>210.9849172240738</c:v>
                </c:pt>
                <c:pt idx="31">
                  <c:v>186.3712050392503</c:v>
                </c:pt>
                <c:pt idx="32">
                  <c:v>199.10173381956614</c:v>
                </c:pt>
                <c:pt idx="33">
                  <c:v>211.81338924071954</c:v>
                </c:pt>
                <c:pt idx="34">
                  <c:v>224.50746411723344</c:v>
                </c:pt>
                <c:pt idx="35">
                  <c:v>237.18509300501151</c:v>
                </c:pt>
                <c:pt idx="36">
                  <c:v>212.08952995865158</c:v>
                </c:pt>
                <c:pt idx="37">
                  <c:v>224.23168469882569</c:v>
                </c:pt>
                <c:pt idx="38">
                  <c:v>236.3587720882521</c:v>
                </c:pt>
                <c:pt idx="39">
                  <c:v>248.4716745286153</c:v>
                </c:pt>
                <c:pt idx="40">
                  <c:v>260.57118130257919</c:v>
                </c:pt>
                <c:pt idx="41">
                  <c:v>234.43043318750142</c:v>
                </c:pt>
                <c:pt idx="42">
                  <c:v>245.44473414197429</c:v>
                </c:pt>
                <c:pt idx="43">
                  <c:v>256.44780875667237</c:v>
                </c:pt>
                <c:pt idx="44">
                  <c:v>267.44020689106782</c:v>
                </c:pt>
                <c:pt idx="45">
                  <c:v>278.42242948129473</c:v>
                </c:pt>
                <c:pt idx="46">
                  <c:v>252.87300616506943</c:v>
                </c:pt>
                <c:pt idx="47">
                  <c:v>263.04449573588096</c:v>
                </c:pt>
                <c:pt idx="48">
                  <c:v>273.2071125399271</c:v>
                </c:pt>
                <c:pt idx="49">
                  <c:v>283.36123337871362</c:v>
                </c:pt>
                <c:pt idx="50">
                  <c:v>293.50720582421621</c:v>
                </c:pt>
                <c:pt idx="51">
                  <c:v>269.63745021083264</c:v>
                </c:pt>
                <c:pt idx="52">
                  <c:v>278.69685871751233</c:v>
                </c:pt>
                <c:pt idx="53">
                  <c:v>287.74966146535672</c:v>
                </c:pt>
                <c:pt idx="54">
                  <c:v>296.7960957527909</c:v>
                </c:pt>
                <c:pt idx="55">
                  <c:v>305.83638321950082</c:v>
                </c:pt>
                <c:pt idx="56">
                  <c:v>282.53823433014594</c:v>
                </c:pt>
                <c:pt idx="57">
                  <c:v>290.76583591551019</c:v>
                </c:pt>
                <c:pt idx="58">
                  <c:v>298.98823692337123</c:v>
                </c:pt>
                <c:pt idx="59">
                  <c:v>307.20560067683328</c:v>
                </c:pt>
                <c:pt idx="60">
                  <c:v>315.41808104045475</c:v>
                </c:pt>
                <c:pt idx="61">
                  <c:v>294.3295050597672</c:v>
                </c:pt>
                <c:pt idx="62">
                  <c:v>302.00184684630864</c:v>
                </c:pt>
                <c:pt idx="63">
                  <c:v>309.66985077448419</c:v>
                </c:pt>
                <c:pt idx="64">
                  <c:v>317.33363951404203</c:v>
                </c:pt>
                <c:pt idx="65">
                  <c:v>324.99332932034093</c:v>
                </c:pt>
                <c:pt idx="66">
                  <c:v>304.46702943717872</c:v>
                </c:pt>
                <c:pt idx="67">
                  <c:v>311.31244201324165</c:v>
                </c:pt>
                <c:pt idx="68">
                  <c:v>318.15451462800144</c:v>
                </c:pt>
                <c:pt idx="69">
                  <c:v>324.99332932034093</c:v>
                </c:pt>
                <c:pt idx="70">
                  <c:v>331.82896439100062</c:v>
                </c:pt>
                <c:pt idx="71">
                  <c:v>313.22855541340397</c:v>
                </c:pt>
                <c:pt idx="72">
                  <c:v>319.24894183323727</c:v>
                </c:pt>
                <c:pt idx="73">
                  <c:v>325.26681526290184</c:v>
                </c:pt>
                <c:pt idx="74">
                  <c:v>331.28222881219443</c:v>
                </c:pt>
                <c:pt idx="75">
                  <c:v>337.29523350250412</c:v>
                </c:pt>
                <c:pt idx="76">
                  <c:v>320.89042698979466</c:v>
                </c:pt>
                <c:pt idx="77">
                  <c:v>326.36070826153559</c:v>
                </c:pt>
                <c:pt idx="78">
                  <c:v>331.82896439100074</c:v>
                </c:pt>
                <c:pt idx="79">
                  <c:v>337.29523350250412</c:v>
                </c:pt>
                <c:pt idx="80">
                  <c:v>342.75955238227749</c:v>
                </c:pt>
                <c:pt idx="81">
                  <c:v>327.1810748365312</c:v>
                </c:pt>
                <c:pt idx="82">
                  <c:v>332.10232472716143</c:v>
                </c:pt>
                <c:pt idx="83">
                  <c:v>337.02196666546217</c:v>
                </c:pt>
                <c:pt idx="84">
                  <c:v>341.94002746741921</c:v>
                </c:pt>
                <c:pt idx="85">
                  <c:v>346.8565331136702</c:v>
                </c:pt>
                <c:pt idx="86">
                  <c:v>331.82896439100062</c:v>
                </c:pt>
                <c:pt idx="87">
                  <c:v>335.9288504736034</c:v>
                </c:pt>
                <c:pt idx="88">
                  <c:v>340.02763447259463</c:v>
                </c:pt>
                <c:pt idx="89">
                  <c:v>344.12533156754643</c:v>
                </c:pt>
                <c:pt idx="90">
                  <c:v>348.22195654649892</c:v>
                </c:pt>
                <c:pt idx="91">
                  <c:v>335.9288504736034</c:v>
                </c:pt>
                <c:pt idx="92">
                  <c:v>340.02763447259463</c:v>
                </c:pt>
                <c:pt idx="93">
                  <c:v>344.12533156754643</c:v>
                </c:pt>
                <c:pt idx="94">
                  <c:v>348.22195654649892</c:v>
                </c:pt>
                <c:pt idx="95">
                  <c:v>352.31752382065224</c:v>
                </c:pt>
                <c:pt idx="96">
                  <c:v>340.02763447259463</c:v>
                </c:pt>
                <c:pt idx="97">
                  <c:v>344.12533156754643</c:v>
                </c:pt>
                <c:pt idx="98">
                  <c:v>348.22195654649892</c:v>
                </c:pt>
                <c:pt idx="99">
                  <c:v>352.31752382065224</c:v>
                </c:pt>
                <c:pt idx="100">
                  <c:v>356.41204743833867</c:v>
                </c:pt>
                <c:pt idx="101">
                  <c:v>340.02763447259463</c:v>
                </c:pt>
                <c:pt idx="102">
                  <c:v>340.02763447259463</c:v>
                </c:pt>
                <c:pt idx="103">
                  <c:v>340.02763447259463</c:v>
                </c:pt>
                <c:pt idx="104">
                  <c:v>340.02763447259463</c:v>
                </c:pt>
                <c:pt idx="105">
                  <c:v>340.02763447259463</c:v>
                </c:pt>
                <c:pt idx="106">
                  <c:v>340.02763447259463</c:v>
                </c:pt>
                <c:pt idx="107">
                  <c:v>340.02763447259463</c:v>
                </c:pt>
                <c:pt idx="108">
                  <c:v>340.02763447259463</c:v>
                </c:pt>
                <c:pt idx="109">
                  <c:v>340.02763447259463</c:v>
                </c:pt>
                <c:pt idx="110">
                  <c:v>340.02763447259463</c:v>
                </c:pt>
                <c:pt idx="111">
                  <c:v>340.02763447259463</c:v>
                </c:pt>
                <c:pt idx="112">
                  <c:v>340.02763447259463</c:v>
                </c:pt>
                <c:pt idx="113">
                  <c:v>340.02763447259463</c:v>
                </c:pt>
                <c:pt idx="114">
                  <c:v>340.02763447259463</c:v>
                </c:pt>
                <c:pt idx="115">
                  <c:v>340.02763447259463</c:v>
                </c:pt>
                <c:pt idx="116">
                  <c:v>340.02763447259463</c:v>
                </c:pt>
                <c:pt idx="117">
                  <c:v>340.02763447259463</c:v>
                </c:pt>
                <c:pt idx="118">
                  <c:v>340.02763447259463</c:v>
                </c:pt>
                <c:pt idx="119">
                  <c:v>340.02763447259463</c:v>
                </c:pt>
                <c:pt idx="120">
                  <c:v>340.02763447259463</c:v>
                </c:pt>
                <c:pt idx="121">
                  <c:v>340.02763447259463</c:v>
                </c:pt>
                <c:pt idx="122">
                  <c:v>340.02763447259463</c:v>
                </c:pt>
                <c:pt idx="123">
                  <c:v>340.02763447259463</c:v>
                </c:pt>
                <c:pt idx="124">
                  <c:v>340.02763447259463</c:v>
                </c:pt>
                <c:pt idx="125">
                  <c:v>340.02763447259463</c:v>
                </c:pt>
                <c:pt idx="126">
                  <c:v>340.02763447259463</c:v>
                </c:pt>
                <c:pt idx="127">
                  <c:v>340.02763447259463</c:v>
                </c:pt>
                <c:pt idx="128">
                  <c:v>340.02763447259463</c:v>
                </c:pt>
                <c:pt idx="129">
                  <c:v>340.02763447259463</c:v>
                </c:pt>
                <c:pt idx="130">
                  <c:v>340.02763447259463</c:v>
                </c:pt>
                <c:pt idx="131">
                  <c:v>340.02763447259463</c:v>
                </c:pt>
                <c:pt idx="132">
                  <c:v>340.02763447259463</c:v>
                </c:pt>
                <c:pt idx="133">
                  <c:v>340.02763447259463</c:v>
                </c:pt>
                <c:pt idx="134">
                  <c:v>340.02763447259463</c:v>
                </c:pt>
                <c:pt idx="135">
                  <c:v>340.02763447259463</c:v>
                </c:pt>
                <c:pt idx="136">
                  <c:v>340.02763447259463</c:v>
                </c:pt>
                <c:pt idx="137">
                  <c:v>340.02763447259463</c:v>
                </c:pt>
                <c:pt idx="138">
                  <c:v>340.02763447259463</c:v>
                </c:pt>
                <c:pt idx="139">
                  <c:v>340.02763447259463</c:v>
                </c:pt>
                <c:pt idx="140">
                  <c:v>340.02763447259463</c:v>
                </c:pt>
                <c:pt idx="141">
                  <c:v>340.02763447259463</c:v>
                </c:pt>
                <c:pt idx="142">
                  <c:v>340.02763447259463</c:v>
                </c:pt>
                <c:pt idx="143">
                  <c:v>340.02763447259463</c:v>
                </c:pt>
                <c:pt idx="144">
                  <c:v>340.02763447259463</c:v>
                </c:pt>
                <c:pt idx="145">
                  <c:v>340.02763447259463</c:v>
                </c:pt>
                <c:pt idx="146">
                  <c:v>340.02763447259463</c:v>
                </c:pt>
                <c:pt idx="147">
                  <c:v>340.02763447259463</c:v>
                </c:pt>
                <c:pt idx="148">
                  <c:v>340.02763447259463</c:v>
                </c:pt>
                <c:pt idx="149">
                  <c:v>340.02763447259463</c:v>
                </c:pt>
                <c:pt idx="150">
                  <c:v>340.02763447259463</c:v>
                </c:pt>
                <c:pt idx="151">
                  <c:v>340.02763447259463</c:v>
                </c:pt>
                <c:pt idx="152">
                  <c:v>340.02763447259463</c:v>
                </c:pt>
                <c:pt idx="153">
                  <c:v>340.02763447259463</c:v>
                </c:pt>
                <c:pt idx="154">
                  <c:v>340.02763447259463</c:v>
                </c:pt>
                <c:pt idx="155">
                  <c:v>340.02763447259463</c:v>
                </c:pt>
                <c:pt idx="156">
                  <c:v>340.02763447259463</c:v>
                </c:pt>
                <c:pt idx="157">
                  <c:v>340.02763447259463</c:v>
                </c:pt>
                <c:pt idx="158">
                  <c:v>340.02763447259463</c:v>
                </c:pt>
                <c:pt idx="159">
                  <c:v>340.02763447259463</c:v>
                </c:pt>
                <c:pt idx="160">
                  <c:v>340.02763447259463</c:v>
                </c:pt>
                <c:pt idx="161">
                  <c:v>340.02763447259463</c:v>
                </c:pt>
                <c:pt idx="162">
                  <c:v>340.02763447259463</c:v>
                </c:pt>
                <c:pt idx="163">
                  <c:v>340.02763447259463</c:v>
                </c:pt>
                <c:pt idx="164">
                  <c:v>340.02763447259463</c:v>
                </c:pt>
                <c:pt idx="165">
                  <c:v>340.02763447259463</c:v>
                </c:pt>
                <c:pt idx="166">
                  <c:v>340.02763447259463</c:v>
                </c:pt>
                <c:pt idx="167">
                  <c:v>340.02763447259463</c:v>
                </c:pt>
                <c:pt idx="168">
                  <c:v>340.02763447259463</c:v>
                </c:pt>
                <c:pt idx="169">
                  <c:v>340.02763447259463</c:v>
                </c:pt>
                <c:pt idx="170">
                  <c:v>340.02763447259463</c:v>
                </c:pt>
                <c:pt idx="171">
                  <c:v>340.02763447259463</c:v>
                </c:pt>
                <c:pt idx="172">
                  <c:v>340.02763447259463</c:v>
                </c:pt>
                <c:pt idx="173">
                  <c:v>340.02763447259463</c:v>
                </c:pt>
                <c:pt idx="174">
                  <c:v>340.02763447259463</c:v>
                </c:pt>
                <c:pt idx="175">
                  <c:v>340.02763447259463</c:v>
                </c:pt>
                <c:pt idx="176">
                  <c:v>340.02763447259463</c:v>
                </c:pt>
                <c:pt idx="177">
                  <c:v>340.02763447259463</c:v>
                </c:pt>
                <c:pt idx="178">
                  <c:v>340.02763447259463</c:v>
                </c:pt>
                <c:pt idx="179">
                  <c:v>340.02763447259463</c:v>
                </c:pt>
                <c:pt idx="180">
                  <c:v>340.02763447259463</c:v>
                </c:pt>
                <c:pt idx="181">
                  <c:v>340.02763447259463</c:v>
                </c:pt>
                <c:pt idx="182">
                  <c:v>340.02763447259463</c:v>
                </c:pt>
                <c:pt idx="183">
                  <c:v>340.02763447259463</c:v>
                </c:pt>
                <c:pt idx="184">
                  <c:v>340.02763447259463</c:v>
                </c:pt>
                <c:pt idx="185">
                  <c:v>340.02763447259463</c:v>
                </c:pt>
                <c:pt idx="186">
                  <c:v>340.02763447259463</c:v>
                </c:pt>
                <c:pt idx="187">
                  <c:v>340.02763447259463</c:v>
                </c:pt>
                <c:pt idx="188">
                  <c:v>340.02763447259463</c:v>
                </c:pt>
                <c:pt idx="189">
                  <c:v>340.02763447259463</c:v>
                </c:pt>
                <c:pt idx="190">
                  <c:v>340.02763447259463</c:v>
                </c:pt>
                <c:pt idx="191">
                  <c:v>340.02763447259463</c:v>
                </c:pt>
                <c:pt idx="192">
                  <c:v>340.02763447259463</c:v>
                </c:pt>
                <c:pt idx="193">
                  <c:v>340.02763447259463</c:v>
                </c:pt>
                <c:pt idx="194">
                  <c:v>340.02763447259463</c:v>
                </c:pt>
                <c:pt idx="195">
                  <c:v>340.02763447259463</c:v>
                </c:pt>
                <c:pt idx="196">
                  <c:v>340.02763447259463</c:v>
                </c:pt>
                <c:pt idx="197">
                  <c:v>340.02763447259463</c:v>
                </c:pt>
                <c:pt idx="198">
                  <c:v>340.02763447259463</c:v>
                </c:pt>
                <c:pt idx="199">
                  <c:v>340.02763447259463</c:v>
                </c:pt>
                <c:pt idx="200">
                  <c:v>340.02763447259463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5" x14ac:dyDescent="0.35"/>
  <cols>
    <col min="1" max="1" width="6.6328125" customWidth="1"/>
    <col min="2" max="13" width="15.81640625" customWidth="1"/>
  </cols>
  <sheetData>
    <row r="12" spans="2:13" ht="15" customHeight="1" x14ac:dyDescent="0.35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5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5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5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5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5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5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5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5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5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5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5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5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5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5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5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5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5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5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8" zoomScale="80" zoomScaleNormal="80" workbookViewId="0">
      <selection activeCell="C16" sqref="C16"/>
    </sheetView>
  </sheetViews>
  <sheetFormatPr baseColWidth="10" defaultColWidth="11.453125" defaultRowHeight="14.5" x14ac:dyDescent="0.35"/>
  <cols>
    <col min="1" max="1" width="13.6328125" style="23" customWidth="1"/>
    <col min="2" max="2" width="36.08984375" style="23" customWidth="1"/>
    <col min="3" max="3" width="14.81640625" style="23" bestFit="1" customWidth="1"/>
    <col min="4" max="4" width="16.453125" style="23" customWidth="1"/>
    <col min="5" max="5" width="23.36328125" style="23" customWidth="1"/>
    <col min="6" max="6" width="28.81640625" style="23" bestFit="1" customWidth="1"/>
    <col min="7" max="8" width="14.63281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7" t="s">
        <v>231</v>
      </c>
      <c r="B5" s="277"/>
      <c r="C5" s="24">
        <v>2.2000000000000002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263" t="s">
        <v>13</v>
      </c>
      <c r="C9" s="264">
        <v>0.6502</v>
      </c>
      <c r="D9" s="33">
        <f t="shared" ref="D9:D18" si="0">C9*$C$5</f>
        <v>1.4304400000000002</v>
      </c>
      <c r="E9" s="265">
        <v>100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263" t="s">
        <v>44</v>
      </c>
      <c r="C10" s="264">
        <v>0.27990999999999999</v>
      </c>
      <c r="D10" s="33">
        <f t="shared" si="0"/>
        <v>0.61580200000000007</v>
      </c>
      <c r="E10" s="265">
        <v>45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325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263" t="s">
        <v>156</v>
      </c>
      <c r="C11" s="264">
        <v>3.9010000000000003E-2</v>
      </c>
      <c r="D11" s="33">
        <f t="shared" si="0"/>
        <v>8.5822000000000009E-2</v>
      </c>
      <c r="E11" s="265">
        <v>54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324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263" t="s">
        <v>6</v>
      </c>
      <c r="C12" s="264">
        <v>1.5599999999999999E-2</v>
      </c>
      <c r="D12" s="33">
        <f t="shared" si="0"/>
        <v>3.4320000000000003E-2</v>
      </c>
      <c r="E12" s="265">
        <v>131</v>
      </c>
      <c r="F12" s="35" t="str">
        <f t="array" ref="F12">IF(E12="","",IF(INDEX(A:A,MAX(IF(ISNUMBER($A$114:$A$133),ROW($A$114:$A$133),"")))&lt;&gt;E12,"Corrigez : révolution incorrecte","OK"))</f>
        <v>OK</v>
      </c>
      <c r="G12" s="23" t="s">
        <v>324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 t="s">
        <v>321</v>
      </c>
      <c r="C13" s="32">
        <v>1.528E-2</v>
      </c>
      <c r="D13" s="33">
        <f t="shared" si="0"/>
        <v>3.3616E-2</v>
      </c>
      <c r="E13" s="34">
        <v>100</v>
      </c>
      <c r="F13" s="35" t="str">
        <f t="array" ref="F13">IF(E13="","",IF(INDEX(A:A,MAX(IF(ISNUMBER($A$140:$A$159),ROW($A$140:$A$159),"")))&lt;&gt;E13,"Corrigez : révolution incorrecte","OK"))</f>
        <v>OK</v>
      </c>
      <c r="G13" s="23" t="s">
        <v>325</v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7"/>
      <c r="B19" s="36" t="s">
        <v>175</v>
      </c>
      <c r="C19" s="37">
        <f>SUM(C9:C18)</f>
        <v>0.99999999999999989</v>
      </c>
      <c r="D19" s="38">
        <f>SUM(D9:D18)</f>
        <v>2.2000000000000002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Chêne rouge d'Amérique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259">
        <v>10</v>
      </c>
      <c r="B36" s="259">
        <v>35</v>
      </c>
      <c r="C36" s="259"/>
      <c r="D36" s="259">
        <v>0</v>
      </c>
      <c r="E36" s="260"/>
      <c r="F36" s="260"/>
      <c r="G36" s="260"/>
      <c r="H36" s="260"/>
      <c r="I36" s="49">
        <f>IFERROR(B36/A36,"")</f>
        <v>3.5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259">
        <v>15</v>
      </c>
      <c r="B37" s="259">
        <v>88</v>
      </c>
      <c r="C37" s="259">
        <v>1</v>
      </c>
      <c r="D37" s="259">
        <v>30</v>
      </c>
      <c r="E37" s="260"/>
      <c r="F37" s="260"/>
      <c r="G37" s="260"/>
      <c r="H37" s="260">
        <v>1</v>
      </c>
      <c r="I37" s="53">
        <f t="shared" ref="I37:I55" si="1">IF(A37&lt;&gt;0,(B37-(B36-D36))/(A37-A36),"")</f>
        <v>10.6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259">
        <v>20</v>
      </c>
      <c r="B38" s="259">
        <v>117</v>
      </c>
      <c r="C38" s="259">
        <v>2</v>
      </c>
      <c r="D38" s="259">
        <v>29</v>
      </c>
      <c r="E38" s="260"/>
      <c r="F38" s="260"/>
      <c r="G38" s="260"/>
      <c r="H38" s="260">
        <v>1</v>
      </c>
      <c r="I38" s="53">
        <f t="shared" si="1"/>
        <v>11.8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259">
        <v>25</v>
      </c>
      <c r="B39" s="259">
        <v>145</v>
      </c>
      <c r="C39" s="259">
        <v>3</v>
      </c>
      <c r="D39" s="259">
        <v>31</v>
      </c>
      <c r="E39" s="260"/>
      <c r="F39" s="260"/>
      <c r="G39" s="260"/>
      <c r="H39" s="260">
        <v>1</v>
      </c>
      <c r="I39" s="49">
        <f t="shared" si="1"/>
        <v>11.4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259">
        <v>30</v>
      </c>
      <c r="B40" s="259">
        <v>169</v>
      </c>
      <c r="C40" s="259">
        <v>4</v>
      </c>
      <c r="D40" s="259">
        <v>32</v>
      </c>
      <c r="E40" s="260"/>
      <c r="F40" s="260"/>
      <c r="G40" s="260"/>
      <c r="H40" s="260">
        <v>1</v>
      </c>
      <c r="I40" s="49">
        <f t="shared" si="1"/>
        <v>11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259">
        <v>35</v>
      </c>
      <c r="B41" s="259">
        <v>189</v>
      </c>
      <c r="C41" s="259">
        <v>5</v>
      </c>
      <c r="D41" s="259">
        <v>32</v>
      </c>
      <c r="E41" s="260">
        <v>1</v>
      </c>
      <c r="F41" s="260"/>
      <c r="G41" s="260"/>
      <c r="H41" s="260"/>
      <c r="I41" s="53">
        <f t="shared" si="1"/>
        <v>10.4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259">
        <v>40</v>
      </c>
      <c r="B42" s="259">
        <v>206</v>
      </c>
      <c r="C42" s="259">
        <v>6</v>
      </c>
      <c r="D42" s="259">
        <v>31</v>
      </c>
      <c r="E42" s="260">
        <v>1</v>
      </c>
      <c r="F42" s="260"/>
      <c r="G42" s="260"/>
      <c r="H42" s="260"/>
      <c r="I42" s="53">
        <f t="shared" si="1"/>
        <v>9.8000000000000007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259">
        <v>45</v>
      </c>
      <c r="B43" s="259">
        <v>219</v>
      </c>
      <c r="C43" s="259">
        <v>7</v>
      </c>
      <c r="D43" s="259">
        <v>30</v>
      </c>
      <c r="E43" s="260">
        <v>1</v>
      </c>
      <c r="F43" s="260"/>
      <c r="G43" s="260"/>
      <c r="H43" s="260"/>
      <c r="I43" s="49">
        <f t="shared" si="1"/>
        <v>8.8000000000000007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259">
        <v>50</v>
      </c>
      <c r="B44" s="259">
        <v>230</v>
      </c>
      <c r="C44" s="259">
        <v>8</v>
      </c>
      <c r="D44" s="259">
        <v>28</v>
      </c>
      <c r="E44" s="260">
        <v>1</v>
      </c>
      <c r="F44" s="260"/>
      <c r="G44" s="260"/>
      <c r="H44" s="260"/>
      <c r="I44" s="49">
        <f t="shared" si="1"/>
        <v>8.1999999999999993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259">
        <v>55</v>
      </c>
      <c r="B45" s="261">
        <v>239</v>
      </c>
      <c r="C45" s="259">
        <v>9</v>
      </c>
      <c r="D45" s="261">
        <v>26</v>
      </c>
      <c r="E45" s="260">
        <v>1</v>
      </c>
      <c r="F45" s="260"/>
      <c r="G45" s="260"/>
      <c r="H45" s="260"/>
      <c r="I45" s="49">
        <f t="shared" si="1"/>
        <v>7.4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259">
        <v>60</v>
      </c>
      <c r="B46" s="262">
        <v>246</v>
      </c>
      <c r="C46" s="259">
        <v>10</v>
      </c>
      <c r="D46" s="262">
        <v>24</v>
      </c>
      <c r="E46" s="260">
        <v>1</v>
      </c>
      <c r="F46" s="260"/>
      <c r="G46" s="260"/>
      <c r="H46" s="260"/>
      <c r="I46" s="49">
        <f t="shared" si="1"/>
        <v>6.6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259">
        <v>65</v>
      </c>
      <c r="B47" s="261">
        <v>252</v>
      </c>
      <c r="C47" s="259">
        <v>11</v>
      </c>
      <c r="D47" s="261">
        <v>22</v>
      </c>
      <c r="E47" s="260">
        <v>1</v>
      </c>
      <c r="F47" s="260"/>
      <c r="G47" s="260"/>
      <c r="H47" s="260"/>
      <c r="I47" s="49">
        <f t="shared" si="1"/>
        <v>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259">
        <v>70</v>
      </c>
      <c r="B48" s="261">
        <v>257</v>
      </c>
      <c r="C48" s="259">
        <v>12</v>
      </c>
      <c r="D48" s="261">
        <v>21</v>
      </c>
      <c r="E48" s="260">
        <v>1</v>
      </c>
      <c r="F48" s="260"/>
      <c r="G48" s="260"/>
      <c r="H48" s="260"/>
      <c r="I48" s="49">
        <f t="shared" si="1"/>
        <v>5.4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259">
        <v>75</v>
      </c>
      <c r="B49" s="261">
        <v>261</v>
      </c>
      <c r="C49" s="259">
        <v>13</v>
      </c>
      <c r="D49" s="261">
        <v>19</v>
      </c>
      <c r="E49" s="260">
        <v>1</v>
      </c>
      <c r="F49" s="260"/>
      <c r="G49" s="260"/>
      <c r="H49" s="260"/>
      <c r="I49" s="49">
        <f t="shared" si="1"/>
        <v>5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261">
        <v>80</v>
      </c>
      <c r="B50" s="261">
        <v>264</v>
      </c>
      <c r="C50" s="261">
        <v>14</v>
      </c>
      <c r="D50" s="261">
        <v>17</v>
      </c>
      <c r="E50" s="260">
        <v>1</v>
      </c>
      <c r="F50" s="260"/>
      <c r="G50" s="260"/>
      <c r="H50" s="260"/>
      <c r="I50" s="49">
        <f t="shared" si="1"/>
        <v>4.4000000000000004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261">
        <v>85</v>
      </c>
      <c r="B51" s="261">
        <v>267</v>
      </c>
      <c r="C51" s="261">
        <v>15</v>
      </c>
      <c r="D51" s="261">
        <v>16</v>
      </c>
      <c r="E51" s="260">
        <v>1</v>
      </c>
      <c r="F51" s="260"/>
      <c r="G51" s="260"/>
      <c r="H51" s="260"/>
      <c r="I51" s="49">
        <f t="shared" si="1"/>
        <v>4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261">
        <v>90</v>
      </c>
      <c r="B52" s="261">
        <v>268</v>
      </c>
      <c r="C52" s="261">
        <v>16</v>
      </c>
      <c r="D52" s="261">
        <v>14</v>
      </c>
      <c r="E52" s="260">
        <v>1</v>
      </c>
      <c r="F52" s="260"/>
      <c r="G52" s="260"/>
      <c r="H52" s="260"/>
      <c r="I52" s="49">
        <f t="shared" si="1"/>
        <v>3.4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261">
        <v>95</v>
      </c>
      <c r="B53" s="261">
        <v>270</v>
      </c>
      <c r="C53" s="261">
        <v>17</v>
      </c>
      <c r="D53" s="261">
        <v>13</v>
      </c>
      <c r="E53" s="260">
        <v>1</v>
      </c>
      <c r="F53" s="260"/>
      <c r="G53" s="260"/>
      <c r="H53" s="260"/>
      <c r="I53" s="49">
        <f t="shared" si="1"/>
        <v>3.2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261">
        <v>100</v>
      </c>
      <c r="B54" s="261">
        <v>273</v>
      </c>
      <c r="C54" s="261">
        <v>18</v>
      </c>
      <c r="D54" s="261">
        <v>13</v>
      </c>
      <c r="E54" s="260">
        <v>1</v>
      </c>
      <c r="F54" s="260"/>
      <c r="G54" s="260"/>
      <c r="H54" s="260"/>
      <c r="I54" s="49">
        <f t="shared" si="1"/>
        <v>3.2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261"/>
      <c r="B55" s="261"/>
      <c r="C55" s="261"/>
      <c r="D55" s="261"/>
      <c r="E55" s="260"/>
      <c r="F55" s="260"/>
      <c r="G55" s="260"/>
      <c r="H55" s="260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Robinier faux-acacia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261">
        <v>5</v>
      </c>
      <c r="B62" s="261">
        <v>34</v>
      </c>
      <c r="C62" s="261">
        <v>1</v>
      </c>
      <c r="D62" s="261">
        <v>6</v>
      </c>
      <c r="E62" s="260"/>
      <c r="F62" s="260"/>
      <c r="G62" s="260"/>
      <c r="H62" s="260">
        <v>1</v>
      </c>
      <c r="I62" s="53">
        <f>IFERROR(B62/A62,"")</f>
        <v>6.8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261">
        <v>10</v>
      </c>
      <c r="B63" s="261">
        <v>98</v>
      </c>
      <c r="C63" s="261">
        <v>2</v>
      </c>
      <c r="D63" s="261">
        <v>28</v>
      </c>
      <c r="E63" s="260"/>
      <c r="F63" s="260"/>
      <c r="G63" s="260"/>
      <c r="H63" s="260">
        <v>1</v>
      </c>
      <c r="I63" s="49">
        <f>IF(A63&lt;&gt;0,(B63-(B62-D62))/(A63-A62),"")</f>
        <v>14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261">
        <v>15</v>
      </c>
      <c r="B64" s="261">
        <v>140</v>
      </c>
      <c r="C64" s="261">
        <v>3</v>
      </c>
      <c r="D64" s="261">
        <v>23</v>
      </c>
      <c r="E64" s="260"/>
      <c r="F64" s="260"/>
      <c r="G64" s="260"/>
      <c r="H64" s="260">
        <v>1</v>
      </c>
      <c r="I64" s="49">
        <f>IF(A64&lt;&gt;0,(B64-(B63-D63))/(A64-A63),"")</f>
        <v>14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261">
        <v>20</v>
      </c>
      <c r="B65" s="261">
        <v>179</v>
      </c>
      <c r="C65" s="261">
        <v>4</v>
      </c>
      <c r="D65" s="261">
        <v>18</v>
      </c>
      <c r="E65" s="260"/>
      <c r="F65" s="260"/>
      <c r="G65" s="260"/>
      <c r="H65" s="260">
        <v>1</v>
      </c>
      <c r="I65" s="49">
        <f>IF(A65&lt;&gt;0,(B65-(B64-D64))/(A65-A64),"")</f>
        <v>12.4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261">
        <v>25</v>
      </c>
      <c r="B66" s="261">
        <v>214</v>
      </c>
      <c r="C66" s="261">
        <v>5</v>
      </c>
      <c r="D66" s="261">
        <v>14</v>
      </c>
      <c r="E66" s="260"/>
      <c r="F66" s="260"/>
      <c r="G66" s="260"/>
      <c r="H66" s="260">
        <v>1</v>
      </c>
      <c r="I66" s="49">
        <f t="shared" ref="I66:I81" si="2">IF(A66&lt;&gt;0,(B66-(B65-D65))/(A66-A65),"")</f>
        <v>10.6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261">
        <v>30</v>
      </c>
      <c r="B67" s="261">
        <v>243</v>
      </c>
      <c r="C67" s="261">
        <v>6</v>
      </c>
      <c r="D67" s="261">
        <v>11</v>
      </c>
      <c r="E67" s="260"/>
      <c r="F67" s="260"/>
      <c r="G67" s="260"/>
      <c r="H67" s="260">
        <v>1</v>
      </c>
      <c r="I67" s="49">
        <f t="shared" si="2"/>
        <v>8.6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261">
        <v>35</v>
      </c>
      <c r="B68" s="261">
        <v>267</v>
      </c>
      <c r="C68" s="261">
        <v>7</v>
      </c>
      <c r="D68" s="261">
        <v>9</v>
      </c>
      <c r="E68" s="260">
        <v>1</v>
      </c>
      <c r="F68" s="260"/>
      <c r="G68" s="260"/>
      <c r="H68" s="260"/>
      <c r="I68" s="49">
        <f t="shared" si="2"/>
        <v>7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261">
        <v>40</v>
      </c>
      <c r="B69" s="261">
        <v>289</v>
      </c>
      <c r="C69" s="261">
        <v>8</v>
      </c>
      <c r="D69" s="261">
        <v>7</v>
      </c>
      <c r="E69" s="260">
        <v>1</v>
      </c>
      <c r="F69" s="260"/>
      <c r="G69" s="260"/>
      <c r="H69" s="260"/>
      <c r="I69" s="49">
        <f t="shared" si="2"/>
        <v>6.2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261">
        <v>45</v>
      </c>
      <c r="B70" s="261">
        <v>312</v>
      </c>
      <c r="C70" s="261">
        <v>9</v>
      </c>
      <c r="D70" s="261">
        <v>7</v>
      </c>
      <c r="E70" s="260">
        <v>1</v>
      </c>
      <c r="F70" s="260"/>
      <c r="G70" s="260"/>
      <c r="H70" s="260"/>
      <c r="I70" s="49">
        <f t="shared" si="2"/>
        <v>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261"/>
      <c r="B71" s="261"/>
      <c r="C71" s="261"/>
      <c r="D71" s="261"/>
      <c r="E71" s="260"/>
      <c r="F71" s="260"/>
      <c r="G71" s="260"/>
      <c r="H71" s="260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261"/>
      <c r="B72" s="261"/>
      <c r="C72" s="261"/>
      <c r="D72" s="261"/>
      <c r="E72" s="260"/>
      <c r="F72" s="260"/>
      <c r="G72" s="260"/>
      <c r="H72" s="260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261"/>
      <c r="B73" s="261"/>
      <c r="C73" s="261"/>
      <c r="D73" s="261"/>
      <c r="E73" s="260"/>
      <c r="F73" s="260"/>
      <c r="G73" s="260"/>
      <c r="H73" s="260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261"/>
      <c r="B74" s="261"/>
      <c r="C74" s="261"/>
      <c r="D74" s="261"/>
      <c r="E74" s="260"/>
      <c r="F74" s="260"/>
      <c r="G74" s="260"/>
      <c r="H74" s="260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261"/>
      <c r="B75" s="261"/>
      <c r="C75" s="261"/>
      <c r="D75" s="261"/>
      <c r="E75" s="260"/>
      <c r="F75" s="260"/>
      <c r="G75" s="260"/>
      <c r="H75" s="260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261"/>
      <c r="B76" s="261"/>
      <c r="C76" s="261"/>
      <c r="D76" s="261"/>
      <c r="E76" s="260"/>
      <c r="F76" s="260"/>
      <c r="G76" s="260"/>
      <c r="H76" s="260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>Séquoia toujours vert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261">
        <v>17</v>
      </c>
      <c r="B88" s="261">
        <v>172.88</v>
      </c>
      <c r="C88" s="261"/>
      <c r="D88" s="261"/>
      <c r="E88" s="260"/>
      <c r="F88" s="260"/>
      <c r="G88" s="260"/>
      <c r="H88" s="260"/>
      <c r="I88" s="53">
        <f>IFERROR(B88/A88,"")</f>
        <v>10.169411764705883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261">
        <v>18</v>
      </c>
      <c r="B89" s="261">
        <v>202.42</v>
      </c>
      <c r="C89" s="261">
        <v>1</v>
      </c>
      <c r="D89" s="261">
        <v>74.819999999999993</v>
      </c>
      <c r="E89" s="260"/>
      <c r="F89" s="260"/>
      <c r="G89" s="260">
        <v>1</v>
      </c>
      <c r="H89" s="260"/>
      <c r="I89" s="53">
        <f t="shared" ref="I89:I107" si="3">IF(A89&lt;&gt;0,(B89-(B88-D88))/(A89-A88),"")</f>
        <v>29.539999999999992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261">
        <v>24</v>
      </c>
      <c r="B90" s="261">
        <v>289.16000000000003</v>
      </c>
      <c r="C90" s="261">
        <v>2</v>
      </c>
      <c r="D90" s="261">
        <v>51.39</v>
      </c>
      <c r="E90" s="260"/>
      <c r="F90" s="260">
        <v>1</v>
      </c>
      <c r="G90" s="260"/>
      <c r="H90" s="260"/>
      <c r="I90" s="53">
        <f t="shared" si="3"/>
        <v>26.926666666666673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261">
        <v>30</v>
      </c>
      <c r="B91" s="261">
        <v>410.69</v>
      </c>
      <c r="C91" s="261">
        <v>3</v>
      </c>
      <c r="D91" s="261">
        <v>80.97</v>
      </c>
      <c r="E91" s="260"/>
      <c r="F91" s="260">
        <v>1</v>
      </c>
      <c r="G91" s="260"/>
      <c r="H91" s="260"/>
      <c r="I91" s="53">
        <f t="shared" si="3"/>
        <v>28.819999999999993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261">
        <v>36</v>
      </c>
      <c r="B92" s="261">
        <v>501.69</v>
      </c>
      <c r="C92" s="261">
        <v>4</v>
      </c>
      <c r="D92" s="261">
        <v>85.88</v>
      </c>
      <c r="E92" s="260">
        <v>1</v>
      </c>
      <c r="F92" s="260"/>
      <c r="G92" s="260"/>
      <c r="H92" s="260"/>
      <c r="I92" s="53">
        <f t="shared" si="3"/>
        <v>28.661666666666662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261">
        <v>42</v>
      </c>
      <c r="B93" s="261">
        <v>584.37</v>
      </c>
      <c r="C93" s="261">
        <v>5</v>
      </c>
      <c r="D93" s="261">
        <v>91.25</v>
      </c>
      <c r="E93" s="260">
        <v>1</v>
      </c>
      <c r="F93" s="260"/>
      <c r="G93" s="260"/>
      <c r="H93" s="260"/>
      <c r="I93" s="53">
        <f t="shared" si="3"/>
        <v>28.093333333333334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261">
        <v>48</v>
      </c>
      <c r="B94" s="261">
        <v>655.72</v>
      </c>
      <c r="C94" s="261">
        <v>6</v>
      </c>
      <c r="D94" s="261">
        <v>101.34</v>
      </c>
      <c r="E94" s="260">
        <v>1</v>
      </c>
      <c r="F94" s="260"/>
      <c r="G94" s="260"/>
      <c r="H94" s="260"/>
      <c r="I94" s="53">
        <f t="shared" si="3"/>
        <v>27.100000000000005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261">
        <v>54</v>
      </c>
      <c r="B95" s="261">
        <v>708.61</v>
      </c>
      <c r="C95" s="261">
        <v>7</v>
      </c>
      <c r="D95" s="261">
        <v>707.75</v>
      </c>
      <c r="E95" s="260">
        <v>1</v>
      </c>
      <c r="F95" s="260"/>
      <c r="G95" s="260"/>
      <c r="H95" s="260"/>
      <c r="I95" s="53">
        <f t="shared" si="3"/>
        <v>25.705000000000002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261"/>
      <c r="B96" s="261"/>
      <c r="C96" s="261"/>
      <c r="D96" s="261"/>
      <c r="E96" s="260"/>
      <c r="F96" s="260"/>
      <c r="G96" s="260"/>
      <c r="H96" s="260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261"/>
      <c r="B97" s="261"/>
      <c r="C97" s="261"/>
      <c r="D97" s="261"/>
      <c r="E97" s="260"/>
      <c r="F97" s="260"/>
      <c r="G97" s="260"/>
      <c r="H97" s="260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261"/>
      <c r="B98" s="261"/>
      <c r="C98" s="261"/>
      <c r="D98" s="261"/>
      <c r="E98" s="260"/>
      <c r="F98" s="260"/>
      <c r="G98" s="260"/>
      <c r="H98" s="260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261"/>
      <c r="B99" s="261"/>
      <c r="C99" s="261"/>
      <c r="D99" s="261"/>
      <c r="E99" s="260"/>
      <c r="F99" s="260"/>
      <c r="G99" s="260"/>
      <c r="H99" s="260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261"/>
      <c r="B100" s="261"/>
      <c r="C100" s="261"/>
      <c r="D100" s="261"/>
      <c r="E100" s="260"/>
      <c r="F100" s="260"/>
      <c r="G100" s="260"/>
      <c r="H100" s="260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261"/>
      <c r="B101" s="261"/>
      <c r="C101" s="261"/>
      <c r="D101" s="261"/>
      <c r="E101" s="260"/>
      <c r="F101" s="260"/>
      <c r="G101" s="260"/>
      <c r="H101" s="260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>Charme</v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261">
        <v>30</v>
      </c>
      <c r="B114" s="261">
        <v>121.88461538461537</v>
      </c>
      <c r="C114" s="261"/>
      <c r="D114" s="261"/>
      <c r="E114" s="260"/>
      <c r="F114" s="260"/>
      <c r="G114" s="260"/>
      <c r="H114" s="260"/>
      <c r="I114" s="53">
        <f>IFERROR(B114/A114,"")</f>
        <v>4.0628205128205126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261">
        <v>35</v>
      </c>
      <c r="B115" s="261">
        <v>201.29</v>
      </c>
      <c r="C115" s="261">
        <v>1</v>
      </c>
      <c r="D115" s="261">
        <v>69.58</v>
      </c>
      <c r="E115" s="260">
        <v>1</v>
      </c>
      <c r="F115" s="260"/>
      <c r="G115" s="260"/>
      <c r="H115" s="260"/>
      <c r="I115" s="53">
        <f t="shared" ref="I115:I133" si="4">IF(A115&lt;&gt;0,(B115-(B114-D114))/(A115-A114),"")</f>
        <v>15.881076923076924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261">
        <v>41</v>
      </c>
      <c r="B116" s="261">
        <v>208.88</v>
      </c>
      <c r="C116" s="261">
        <v>2</v>
      </c>
      <c r="D116" s="261">
        <v>47.41</v>
      </c>
      <c r="E116" s="260">
        <v>1</v>
      </c>
      <c r="F116" s="260"/>
      <c r="G116" s="260"/>
      <c r="H116" s="260"/>
      <c r="I116" s="53">
        <f t="shared" si="4"/>
        <v>12.86166666666667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261">
        <v>48</v>
      </c>
      <c r="B117" s="261">
        <v>252.89</v>
      </c>
      <c r="C117" s="261">
        <v>3</v>
      </c>
      <c r="D117" s="261">
        <v>61.12</v>
      </c>
      <c r="E117" s="260">
        <v>1</v>
      </c>
      <c r="F117" s="260"/>
      <c r="G117" s="260"/>
      <c r="H117" s="260"/>
      <c r="I117" s="53">
        <f t="shared" si="4"/>
        <v>13.059999999999999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261">
        <v>55</v>
      </c>
      <c r="B118" s="261">
        <v>277.67</v>
      </c>
      <c r="C118" s="261">
        <v>4</v>
      </c>
      <c r="D118" s="261">
        <v>58.24</v>
      </c>
      <c r="E118" s="260">
        <v>1</v>
      </c>
      <c r="F118" s="260"/>
      <c r="G118" s="260"/>
      <c r="H118" s="260"/>
      <c r="I118" s="53">
        <f t="shared" si="4"/>
        <v>12.271428571428576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261">
        <v>63</v>
      </c>
      <c r="B119" s="261">
        <v>312.58999999999997</v>
      </c>
      <c r="C119" s="261">
        <v>5</v>
      </c>
      <c r="D119" s="261">
        <v>54.21</v>
      </c>
      <c r="E119" s="260">
        <v>1</v>
      </c>
      <c r="F119" s="260"/>
      <c r="G119" s="260"/>
      <c r="H119" s="260"/>
      <c r="I119" s="53">
        <f t="shared" si="4"/>
        <v>11.644999999999996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261">
        <v>71</v>
      </c>
      <c r="B120" s="261">
        <v>348.69</v>
      </c>
      <c r="C120" s="261">
        <v>6</v>
      </c>
      <c r="D120" s="261">
        <v>52.07</v>
      </c>
      <c r="E120" s="260">
        <v>1</v>
      </c>
      <c r="F120" s="260"/>
      <c r="G120" s="260"/>
      <c r="H120" s="260"/>
      <c r="I120" s="53">
        <f t="shared" si="4"/>
        <v>11.28875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261">
        <v>80</v>
      </c>
      <c r="B121" s="261">
        <v>395.71</v>
      </c>
      <c r="C121" s="261">
        <v>7</v>
      </c>
      <c r="D121" s="261">
        <v>59.57</v>
      </c>
      <c r="E121" s="260">
        <v>1</v>
      </c>
      <c r="F121" s="260"/>
      <c r="G121" s="260"/>
      <c r="H121" s="260"/>
      <c r="I121" s="53">
        <f t="shared" si="4"/>
        <v>11.009999999999998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261">
        <v>89</v>
      </c>
      <c r="B122" s="261">
        <v>429.83</v>
      </c>
      <c r="C122" s="261">
        <v>8</v>
      </c>
      <c r="D122" s="261">
        <v>64.5</v>
      </c>
      <c r="E122" s="260">
        <v>1</v>
      </c>
      <c r="F122" s="260"/>
      <c r="G122" s="260"/>
      <c r="H122" s="260"/>
      <c r="I122" s="53">
        <f t="shared" si="4"/>
        <v>10.41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261">
        <v>99</v>
      </c>
      <c r="B123" s="261">
        <v>464.8</v>
      </c>
      <c r="C123" s="261">
        <v>9</v>
      </c>
      <c r="D123" s="261">
        <v>62.94</v>
      </c>
      <c r="E123" s="260">
        <v>1</v>
      </c>
      <c r="F123" s="260"/>
      <c r="G123" s="260"/>
      <c r="H123" s="260"/>
      <c r="I123" s="53">
        <f t="shared" si="4"/>
        <v>9.9470000000000027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261">
        <v>109</v>
      </c>
      <c r="B124" s="261">
        <v>498.97</v>
      </c>
      <c r="C124" s="261">
        <v>10</v>
      </c>
      <c r="D124" s="261">
        <v>66.959999999999994</v>
      </c>
      <c r="E124" s="260">
        <v>1</v>
      </c>
      <c r="F124" s="260"/>
      <c r="G124" s="260"/>
      <c r="H124" s="260"/>
      <c r="I124" s="53">
        <f t="shared" si="4"/>
        <v>9.7110000000000021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261">
        <v>119</v>
      </c>
      <c r="B125" s="261">
        <v>526.04</v>
      </c>
      <c r="C125" s="261">
        <v>11</v>
      </c>
      <c r="D125" s="261">
        <v>196.46</v>
      </c>
      <c r="E125" s="260">
        <v>1</v>
      </c>
      <c r="F125" s="260"/>
      <c r="G125" s="260"/>
      <c r="H125" s="260"/>
      <c r="I125" s="53">
        <f t="shared" si="4"/>
        <v>9.4029999999999916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261">
        <v>123</v>
      </c>
      <c r="B126" s="261">
        <v>328.09</v>
      </c>
      <c r="C126" s="261">
        <v>12</v>
      </c>
      <c r="D126" s="261">
        <v>100.6</v>
      </c>
      <c r="E126" s="260">
        <v>1</v>
      </c>
      <c r="F126" s="260"/>
      <c r="G126" s="260"/>
      <c r="H126" s="260"/>
      <c r="I126" s="53">
        <f t="shared" si="4"/>
        <v>-0.37249999999998806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261">
        <v>127</v>
      </c>
      <c r="B127" s="261">
        <v>228.28</v>
      </c>
      <c r="C127" s="261">
        <v>13</v>
      </c>
      <c r="D127" s="261">
        <v>65.02</v>
      </c>
      <c r="E127" s="260">
        <v>1</v>
      </c>
      <c r="F127" s="260"/>
      <c r="G127" s="260"/>
      <c r="H127" s="260"/>
      <c r="I127" s="53">
        <f t="shared" si="4"/>
        <v>0.19750000000000512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261">
        <v>131</v>
      </c>
      <c r="B128" s="261">
        <v>163.65</v>
      </c>
      <c r="C128" s="261">
        <v>14</v>
      </c>
      <c r="D128" s="261">
        <v>143.84</v>
      </c>
      <c r="E128" s="260">
        <v>1</v>
      </c>
      <c r="F128" s="260"/>
      <c r="G128" s="260"/>
      <c r="H128" s="260"/>
      <c r="I128" s="53">
        <f t="shared" si="4"/>
        <v>9.7500000000003695E-2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>Tulipier de Virginie</v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>
        <v>10</v>
      </c>
      <c r="B140" s="60">
        <v>29</v>
      </c>
      <c r="C140" s="50"/>
      <c r="D140" s="60">
        <v>0</v>
      </c>
      <c r="E140" s="51"/>
      <c r="F140" s="51"/>
      <c r="G140" s="51"/>
      <c r="H140" s="51"/>
      <c r="I140" s="57">
        <f>IFERROR(B140/A140,"")</f>
        <v>2.9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>
        <v>15</v>
      </c>
      <c r="B141" s="60">
        <v>73</v>
      </c>
      <c r="C141" s="50"/>
      <c r="D141" s="60">
        <v>0</v>
      </c>
      <c r="E141" s="51"/>
      <c r="F141" s="51"/>
      <c r="G141" s="51"/>
      <c r="H141" s="51"/>
      <c r="I141" s="57">
        <f t="shared" ref="I141:I159" si="5">IF(A141&lt;&gt;0,(B141-(B140-D140))/(A141-A140),"")</f>
        <v>8.8000000000000007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>
        <v>20</v>
      </c>
      <c r="B142" s="60">
        <v>129</v>
      </c>
      <c r="C142" s="50">
        <v>1</v>
      </c>
      <c r="D142" s="60">
        <v>54</v>
      </c>
      <c r="E142" s="51"/>
      <c r="F142" s="51"/>
      <c r="G142" s="51"/>
      <c r="H142" s="51">
        <v>1</v>
      </c>
      <c r="I142" s="57">
        <f t="shared" si="5"/>
        <v>11.2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>
        <v>25</v>
      </c>
      <c r="B143" s="60">
        <v>126</v>
      </c>
      <c r="C143" s="50">
        <v>2</v>
      </c>
      <c r="D143" s="60">
        <v>26</v>
      </c>
      <c r="E143" s="51"/>
      <c r="F143" s="51"/>
      <c r="G143" s="51"/>
      <c r="H143" s="51">
        <v>1</v>
      </c>
      <c r="I143" s="57">
        <f t="shared" si="5"/>
        <v>10.199999999999999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>
        <v>30</v>
      </c>
      <c r="B144" s="60">
        <v>149</v>
      </c>
      <c r="C144" s="50">
        <v>3</v>
      </c>
      <c r="D144" s="60">
        <v>27</v>
      </c>
      <c r="E144" s="51"/>
      <c r="F144" s="51"/>
      <c r="G144" s="51"/>
      <c r="H144" s="51">
        <v>1</v>
      </c>
      <c r="I144" s="57">
        <f t="shared" si="5"/>
        <v>9.8000000000000007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>
        <v>35</v>
      </c>
      <c r="B145" s="60">
        <v>168</v>
      </c>
      <c r="C145" s="50">
        <v>4</v>
      </c>
      <c r="D145" s="60">
        <v>27</v>
      </c>
      <c r="E145" s="51">
        <v>1</v>
      </c>
      <c r="F145" s="51"/>
      <c r="G145" s="51"/>
      <c r="H145" s="51"/>
      <c r="I145" s="57">
        <f t="shared" si="5"/>
        <v>9.1999999999999993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>
        <v>40</v>
      </c>
      <c r="B146" s="60">
        <v>185</v>
      </c>
      <c r="C146" s="50">
        <v>5</v>
      </c>
      <c r="D146" s="60">
        <v>27</v>
      </c>
      <c r="E146" s="51">
        <v>1</v>
      </c>
      <c r="F146" s="51"/>
      <c r="G146" s="51"/>
      <c r="H146" s="51"/>
      <c r="I146" s="57">
        <f t="shared" si="5"/>
        <v>8.8000000000000007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>
        <v>45</v>
      </c>
      <c r="B147" s="60">
        <v>198</v>
      </c>
      <c r="C147" s="50">
        <v>6</v>
      </c>
      <c r="D147" s="60">
        <v>26</v>
      </c>
      <c r="E147" s="51">
        <v>1</v>
      </c>
      <c r="F147" s="51"/>
      <c r="G147" s="51"/>
      <c r="H147" s="51"/>
      <c r="I147" s="57">
        <f>IF(A147&lt;&gt;0,(B147-(B146-D146))/(A147-A146),"")</f>
        <v>8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>
        <v>50</v>
      </c>
      <c r="B148" s="60">
        <v>209</v>
      </c>
      <c r="C148" s="50">
        <v>7</v>
      </c>
      <c r="D148" s="60">
        <v>24</v>
      </c>
      <c r="E148" s="51">
        <v>1</v>
      </c>
      <c r="F148" s="51"/>
      <c r="G148" s="51"/>
      <c r="H148" s="51"/>
      <c r="I148" s="57">
        <f t="shared" si="5"/>
        <v>7.4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>
        <v>55</v>
      </c>
      <c r="B149" s="60">
        <v>218</v>
      </c>
      <c r="C149" s="50">
        <v>8</v>
      </c>
      <c r="D149" s="60">
        <v>23</v>
      </c>
      <c r="E149" s="51">
        <v>1</v>
      </c>
      <c r="F149" s="51"/>
      <c r="G149" s="51"/>
      <c r="H149" s="51"/>
      <c r="I149" s="57">
        <f t="shared" si="5"/>
        <v>6.6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>
        <v>60</v>
      </c>
      <c r="B150" s="60">
        <v>225</v>
      </c>
      <c r="C150" s="50">
        <v>9</v>
      </c>
      <c r="D150" s="60">
        <v>21</v>
      </c>
      <c r="E150" s="51">
        <v>1</v>
      </c>
      <c r="F150" s="51"/>
      <c r="G150" s="51"/>
      <c r="H150" s="51"/>
      <c r="I150" s="57">
        <f t="shared" si="5"/>
        <v>6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>
        <v>65</v>
      </c>
      <c r="B151" s="60">
        <v>232</v>
      </c>
      <c r="C151" s="50">
        <v>10</v>
      </c>
      <c r="D151" s="60">
        <v>20</v>
      </c>
      <c r="E151" s="51">
        <v>1</v>
      </c>
      <c r="F151" s="51"/>
      <c r="G151" s="51"/>
      <c r="H151" s="51"/>
      <c r="I151" s="57">
        <f t="shared" si="5"/>
        <v>5.6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>
        <v>70</v>
      </c>
      <c r="B152" s="60">
        <v>237</v>
      </c>
      <c r="C152" s="50">
        <v>11</v>
      </c>
      <c r="D152" s="60">
        <v>18</v>
      </c>
      <c r="E152" s="54">
        <v>1</v>
      </c>
      <c r="F152" s="54"/>
      <c r="G152" s="54"/>
      <c r="H152" s="54"/>
      <c r="I152" s="57">
        <f t="shared" si="5"/>
        <v>5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>
        <v>75</v>
      </c>
      <c r="B153" s="60">
        <v>241</v>
      </c>
      <c r="C153" s="50">
        <v>12</v>
      </c>
      <c r="D153" s="60">
        <v>16</v>
      </c>
      <c r="E153" s="54">
        <v>1</v>
      </c>
      <c r="F153" s="54"/>
      <c r="G153" s="54"/>
      <c r="H153" s="54"/>
      <c r="I153" s="57">
        <f t="shared" si="5"/>
        <v>4.4000000000000004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>
        <v>80</v>
      </c>
      <c r="B154" s="56">
        <v>245</v>
      </c>
      <c r="C154" s="50">
        <v>13</v>
      </c>
      <c r="D154" s="50">
        <v>15</v>
      </c>
      <c r="E154" s="54">
        <v>1</v>
      </c>
      <c r="F154" s="54"/>
      <c r="G154" s="54"/>
      <c r="H154" s="54"/>
      <c r="I154" s="57">
        <f t="shared" si="5"/>
        <v>4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>
        <v>85</v>
      </c>
      <c r="B155" s="56">
        <v>248</v>
      </c>
      <c r="C155" s="50">
        <v>14</v>
      </c>
      <c r="D155" s="50">
        <v>14</v>
      </c>
      <c r="E155" s="54">
        <v>1</v>
      </c>
      <c r="F155" s="54"/>
      <c r="G155" s="54"/>
      <c r="H155" s="54"/>
      <c r="I155" s="57">
        <f t="shared" si="5"/>
        <v>3.6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>
        <v>90</v>
      </c>
      <c r="B156" s="56">
        <v>249</v>
      </c>
      <c r="C156" s="50">
        <v>15</v>
      </c>
      <c r="D156" s="50">
        <v>12</v>
      </c>
      <c r="E156" s="54">
        <v>1</v>
      </c>
      <c r="F156" s="54"/>
      <c r="G156" s="54"/>
      <c r="H156" s="54"/>
      <c r="I156" s="57">
        <f t="shared" si="5"/>
        <v>3</v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>
        <v>95</v>
      </c>
      <c r="B157" s="56">
        <v>252</v>
      </c>
      <c r="C157" s="50">
        <v>16</v>
      </c>
      <c r="D157" s="50">
        <v>12</v>
      </c>
      <c r="E157" s="54">
        <v>1</v>
      </c>
      <c r="F157" s="54"/>
      <c r="G157" s="54"/>
      <c r="H157" s="54"/>
      <c r="I157" s="57">
        <f t="shared" si="5"/>
        <v>3</v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>
        <v>100</v>
      </c>
      <c r="B158" s="56">
        <v>255</v>
      </c>
      <c r="C158" s="50">
        <v>17</v>
      </c>
      <c r="D158" s="50">
        <v>12</v>
      </c>
      <c r="E158" s="54">
        <v>1</v>
      </c>
      <c r="F158" s="54"/>
      <c r="G158" s="54"/>
      <c r="H158" s="54"/>
      <c r="I158" s="57">
        <f t="shared" si="5"/>
        <v>3</v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18" sqref="B18"/>
    </sheetView>
  </sheetViews>
  <sheetFormatPr baseColWidth="10" defaultColWidth="11.453125" defaultRowHeight="14.5" x14ac:dyDescent="0.35"/>
  <cols>
    <col min="1" max="1" width="5.81640625" style="1" customWidth="1"/>
    <col min="2" max="2" width="14.08984375" style="1" customWidth="1"/>
    <col min="3" max="3" width="62.08984375" style="1" customWidth="1"/>
    <col min="4" max="5" width="4.36328125" style="1" customWidth="1"/>
    <col min="6" max="6" width="14.36328125" style="1" customWidth="1"/>
    <col min="7" max="7" width="73.36328125" style="1" bestFit="1" customWidth="1"/>
    <col min="8" max="10" width="11.453125" style="1"/>
    <col min="11" max="11" width="12.45312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5">
      <c r="A8" s="103">
        <v>1</v>
      </c>
      <c r="B8" s="61">
        <v>1</v>
      </c>
      <c r="C8" s="49" t="s">
        <v>177</v>
      </c>
      <c r="D8" s="23"/>
      <c r="E8" s="103">
        <v>4</v>
      </c>
      <c r="F8" s="61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5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1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4">
        <f>SUM(B16:B18)</f>
        <v>1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453125" style="4" customWidth="1"/>
    <col min="6" max="7" width="11.453125" style="4"/>
    <col min="8" max="8" width="10.6328125" style="4" customWidth="1"/>
    <col min="9" max="9" width="9.453125" style="4" customWidth="1"/>
    <col min="10" max="11" width="10.45312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6328125" style="4" bestFit="1" customWidth="1"/>
    <col min="25" max="25" width="14.453125" style="4" bestFit="1" customWidth="1"/>
    <col min="26" max="26" width="12.453125" style="4" bestFit="1" customWidth="1"/>
    <col min="27" max="27" width="9.63281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453125" style="4" bestFit="1" customWidth="1"/>
    <col min="36" max="36" width="9.453125" style="4" bestFit="1" customWidth="1"/>
    <col min="37" max="38" width="10.453125" style="4" bestFit="1" customWidth="1"/>
    <col min="39" max="41" width="10.453125" style="4" customWidth="1"/>
    <col min="42" max="42" width="9" style="4" bestFit="1" customWidth="1"/>
    <col min="43" max="43" width="10.453125" style="4" bestFit="1" customWidth="1"/>
    <col min="44" max="44" width="9.36328125" style="4" bestFit="1" customWidth="1"/>
    <col min="45" max="45" width="11.6328125" style="4" bestFit="1" customWidth="1"/>
    <col min="46" max="46" width="8.453125" style="4" bestFit="1" customWidth="1"/>
    <col min="47" max="47" width="9.453125" style="4" bestFit="1" customWidth="1"/>
    <col min="48" max="48" width="9.63281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453125" style="4" bestFit="1" customWidth="1"/>
    <col min="54" max="54" width="14.36328125" style="4" customWidth="1"/>
    <col min="55" max="55" width="14" style="4" customWidth="1"/>
    <col min="56" max="56" width="10.453125" style="4" bestFit="1" customWidth="1"/>
    <col min="57" max="57" width="9.453125" style="4" bestFit="1" customWidth="1"/>
    <col min="58" max="59" width="10.453125" style="4" bestFit="1" customWidth="1"/>
    <col min="60" max="62" width="10.453125" style="4" customWidth="1"/>
    <col min="63" max="63" width="9" style="4" bestFit="1" customWidth="1"/>
    <col min="64" max="64" width="10.453125" style="4" bestFit="1" customWidth="1"/>
    <col min="65" max="65" width="9.36328125" style="4" bestFit="1" customWidth="1"/>
    <col min="66" max="66" width="11.6328125" style="4" bestFit="1" customWidth="1"/>
    <col min="67" max="67" width="8.453125" style="4" bestFit="1" customWidth="1"/>
    <col min="68" max="68" width="9.453125" style="4" bestFit="1" customWidth="1"/>
    <col min="69" max="69" width="9.63281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453125" style="4" bestFit="1" customWidth="1"/>
    <col min="75" max="75" width="14" style="4" bestFit="1" customWidth="1"/>
    <col min="76" max="76" width="13.81640625" style="4" customWidth="1"/>
    <col min="77" max="77" width="10.453125" style="4" bestFit="1" customWidth="1"/>
    <col min="78" max="78" width="9.453125" style="4" bestFit="1" customWidth="1"/>
    <col min="79" max="80" width="10.453125" style="4" bestFit="1" customWidth="1"/>
    <col min="81" max="83" width="10.453125" style="4" customWidth="1"/>
    <col min="84" max="84" width="11.453125" style="4"/>
    <col min="85" max="85" width="10.453125" style="4" bestFit="1" customWidth="1"/>
    <col min="86" max="86" width="9.36328125" style="4" bestFit="1" customWidth="1"/>
    <col min="87" max="87" width="11.6328125" style="4" bestFit="1" customWidth="1"/>
    <col min="88" max="88" width="8.453125" style="4" bestFit="1" customWidth="1"/>
    <col min="89" max="89" width="9.453125" style="4" bestFit="1" customWidth="1"/>
    <col min="90" max="90" width="9.63281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453125" style="4" bestFit="1" customWidth="1"/>
    <col min="99" max="99" width="9.453125" style="4" bestFit="1" customWidth="1"/>
    <col min="100" max="101" width="10.453125" style="4" bestFit="1" customWidth="1"/>
    <col min="102" max="104" width="10.453125" style="4" customWidth="1"/>
    <col min="105" max="105" width="9" style="4" bestFit="1" customWidth="1"/>
    <col min="106" max="106" width="10.453125" style="4" bestFit="1" customWidth="1"/>
    <col min="107" max="107" width="9.36328125" style="4" bestFit="1" customWidth="1"/>
    <col min="108" max="108" width="11.6328125" style="4" bestFit="1" customWidth="1"/>
    <col min="109" max="109" width="8.453125" style="4" bestFit="1" customWidth="1"/>
    <col min="110" max="110" width="9.453125" style="4" bestFit="1" customWidth="1"/>
    <col min="111" max="111" width="9.63281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453125" style="4" bestFit="1" customWidth="1"/>
    <col min="117" max="117" width="14.36328125" style="4" customWidth="1"/>
    <col min="118" max="118" width="14" style="4" bestFit="1" customWidth="1"/>
    <col min="119" max="119" width="10.453125" style="4" bestFit="1" customWidth="1"/>
    <col min="120" max="120" width="9.453125" style="4" bestFit="1" customWidth="1"/>
    <col min="121" max="122" width="10.453125" style="4" bestFit="1" customWidth="1"/>
    <col min="123" max="125" width="10.453125" style="4" customWidth="1"/>
    <col min="126" max="126" width="9" style="4" bestFit="1" customWidth="1"/>
    <col min="127" max="127" width="10.453125" style="4" bestFit="1" customWidth="1"/>
    <col min="128" max="128" width="9.36328125" style="4" bestFit="1" customWidth="1"/>
    <col min="129" max="129" width="11.6328125" style="4" bestFit="1" customWidth="1"/>
    <col min="130" max="130" width="8.453125" style="4" bestFit="1" customWidth="1"/>
    <col min="131" max="131" width="9.453125" style="4" bestFit="1" customWidth="1"/>
    <col min="132" max="132" width="9.63281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453125" style="4" bestFit="1" customWidth="1"/>
    <col min="138" max="139" width="14" style="4" customWidth="1"/>
    <col min="140" max="140" width="10.453125" style="4" bestFit="1" customWidth="1"/>
    <col min="141" max="141" width="9.453125" style="4" bestFit="1" customWidth="1"/>
    <col min="142" max="143" width="10.453125" style="4" bestFit="1" customWidth="1"/>
    <col min="144" max="146" width="10.453125" style="4" customWidth="1"/>
    <col min="147" max="147" width="9" style="4" bestFit="1" customWidth="1"/>
    <col min="148" max="148" width="10.453125" style="4" bestFit="1" customWidth="1"/>
    <col min="149" max="149" width="9.36328125" style="4" bestFit="1" customWidth="1"/>
    <col min="150" max="150" width="11.6328125" style="4" bestFit="1" customWidth="1"/>
    <col min="151" max="151" width="8.453125" style="4" bestFit="1" customWidth="1"/>
    <col min="152" max="152" width="9.453125" style="4" bestFit="1" customWidth="1"/>
    <col min="153" max="153" width="9.63281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453125" style="4" bestFit="1" customWidth="1"/>
    <col min="162" max="162" width="9.453125" style="4" bestFit="1" customWidth="1"/>
    <col min="163" max="164" width="10.453125" style="4" bestFit="1" customWidth="1"/>
    <col min="165" max="167" width="10.453125" style="4" customWidth="1"/>
    <col min="168" max="168" width="9" style="4" bestFit="1" customWidth="1"/>
    <col min="169" max="169" width="10.453125" style="4" bestFit="1" customWidth="1"/>
    <col min="170" max="170" width="9.36328125" style="4" bestFit="1" customWidth="1"/>
    <col min="171" max="171" width="11.6328125" style="4" bestFit="1" customWidth="1"/>
    <col min="172" max="172" width="8.08984375" style="4" bestFit="1" customWidth="1"/>
    <col min="173" max="173" width="9.453125" style="4" bestFit="1" customWidth="1"/>
    <col min="174" max="174" width="9.63281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453125" style="4" bestFit="1" customWidth="1"/>
    <col min="180" max="181" width="14" style="4" bestFit="1" customWidth="1"/>
    <col min="182" max="182" width="10.453125" style="4" bestFit="1" customWidth="1"/>
    <col min="183" max="183" width="9.453125" style="4" bestFit="1" customWidth="1"/>
    <col min="184" max="185" width="10.453125" style="4" bestFit="1" customWidth="1"/>
    <col min="186" max="188" width="10.453125" style="4" customWidth="1"/>
    <col min="189" max="189" width="9" style="4" bestFit="1" customWidth="1"/>
    <col min="190" max="190" width="10.453125" style="4" bestFit="1" customWidth="1"/>
    <col min="191" max="191" width="9.36328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63281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453125" style="4" bestFit="1" customWidth="1"/>
    <col min="201" max="201" width="14" style="4" customWidth="1"/>
    <col min="202" max="202" width="14.36328125" style="4" customWidth="1"/>
    <col min="203" max="203" width="10.453125" style="4" bestFit="1" customWidth="1"/>
    <col min="204" max="204" width="9.453125" style="4" bestFit="1" customWidth="1"/>
    <col min="205" max="206" width="10.453125" style="4" bestFit="1" customWidth="1"/>
    <col min="207" max="209" width="10.453125" style="4" customWidth="1"/>
    <col min="210" max="210" width="9" style="4" bestFit="1" customWidth="1"/>
    <col min="211" max="211" width="10.453125" style="4" bestFit="1" customWidth="1"/>
    <col min="212" max="212" width="9.36328125" style="4" bestFit="1" customWidth="1"/>
    <col min="213" max="213" width="11.6328125" style="4" bestFit="1" customWidth="1"/>
    <col min="214" max="214" width="8.453125" style="4" bestFit="1" customWidth="1"/>
    <col min="215" max="215" width="9.453125" style="4" bestFit="1" customWidth="1"/>
    <col min="216" max="216" width="9.63281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Chêne rouge d'Amérique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Robinier faux-acacia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>Séquoia toujours vert</v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>Charme</v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>Tulipier de Virginie</v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5" thickBot="1" x14ac:dyDescent="0.4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256.66666666666669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381.72225529388083</v>
      </c>
      <c r="T3" s="59">
        <f>IF('Données projet'!E9&gt;30,$R$33-$H$33,LOOKUP('Données projet'!$E$9,$A$3:$A$203,R3:R203)-LOOKUP('Données projet'!$E$9,$A$3:$A$203,$H$3:$H$203))</f>
        <v>360.05900046417361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366.43676005661194</v>
      </c>
      <c r="AO3" s="59">
        <f>IF('Données projet'!E10&gt;30,$AM$33-$H$33,LOOKUP('Données projet'!$E$10,$A$3:$A$203,AM3:AM203)-LOOKUP('Données projet'!$E$10,$A$3:$A$203,$H$3:$H$203))</f>
        <v>513.80016421153414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328.58609979635901</v>
      </c>
      <c r="BJ3" s="59">
        <f>IF('Données projet'!E11&gt;30,$BH$33-$H$33,LOOKUP('Données projet'!$E$11,$A$3:$A$203,BH3:BH203)-LOOKUP('Données projet'!$E$11,$A$3:$A$203,$H$3:$H$203))</f>
        <v>432.3494365423407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555.3092253965317</v>
      </c>
      <c r="CE3" s="59">
        <f>IF('Données projet'!E12&gt;30,$CC$33-$H$33,LOOKUP('Données projet'!$E$12,$A$3:$A$203,CC3:CC203)-LOOKUP('Données projet'!$E$12,$A$3:$A$203,$H$3:$H$203))</f>
        <v>292.20785523952651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269.44168853803717</v>
      </c>
      <c r="CZ3" s="59">
        <f>IF('Données projet'!E13&gt;30,$CX$33-$H$33,LOOKUP('Données projet'!$E$13,$A$3:$A$203,CX3:CX203)-LOOKUP('Données projet'!$E$13,$A$3:$A$203,$H$3:$H$203))</f>
        <v>247.65158389074043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6">
        <f t="shared" ref="H4:H67" si="1">(B4+E4+F4)*44/12+(C4+D4)*0.475*44/12</f>
        <v>256.66666666666669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3.5</v>
      </c>
      <c r="N4" s="13">
        <f>IF('Données projet'!$A$36&gt;35,N3+M4-V3,IF(A4&lt;'Données projet'!$A$36,$K$205^A4,IF(A4='Données projet'!$A$36,'Données projet'!$B$36,N3+M4-V3)))</f>
        <v>1.4269435884576509</v>
      </c>
      <c r="O4" s="13">
        <f>N4*VLOOKUP('Données projet'!$B$9,Paramètres!$A$1:$I$89,3,0)*VLOOKUP('Données projet'!$B$9,Paramètres!$A$1:$I$89,5,0)</f>
        <v>1.246577918876604</v>
      </c>
      <c r="P4" s="13">
        <f>EXP(-1.0587+0.8836*LN(O4)+0.284)</f>
        <v>0.55992486380829476</v>
      </c>
      <c r="Q4" s="20">
        <f t="shared" ref="Q4:Q34" si="2">(O4+P4)*0.475*44/12</f>
        <v>3.1463256798428652</v>
      </c>
      <c r="R4" s="59">
        <f t="shared" si="0"/>
        <v>261.0352145687317</v>
      </c>
      <c r="S4" s="59">
        <f ca="1">AVERAGE(OFFSET($R$3,0,0,'Données projet'!$E$9+1,1))-AVERAGE(OFFSET($H$3,0,0,'Données projet'!$E$9+1,1))</f>
        <v>381.72225529388083</v>
      </c>
      <c r="T4" s="59">
        <f>$T$3</f>
        <v>360.05900046417361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6.8</v>
      </c>
      <c r="AI4" s="13">
        <f>IF('Données projet'!$A$62&gt;35,AI3+AH4-AQ3,IF(A4&lt;'Données projet'!$A$62,$AF$205^A4,IF(A4='Données projet'!$A$62,'Données projet'!$B$62,AI3+AH4-AQ3)))</f>
        <v>2.0243974584998852</v>
      </c>
      <c r="AJ4" s="13">
        <f>AI4*VLOOKUP('Données projet'!$B$10,Paramètres!$A$1:$I$89,3,0)*VLOOKUP('Données projet'!$B$10,Paramètres!$A$1:$I$89,5,0)</f>
        <v>1.8316748204506961</v>
      </c>
      <c r="AK4" s="13">
        <f>EXP(-1.0587+0.8836*LN(AJ4)+0.284)</f>
        <v>0.78669228172688432</v>
      </c>
      <c r="AL4" s="20">
        <f t="shared" ref="AL4:AL67" si="4">(AJ4+AK4)*0.475*44/12</f>
        <v>4.5603227029592857</v>
      </c>
      <c r="AM4" s="59">
        <f t="shared" ref="AM4:AM67" si="5">AL4+(AD4+AE4)*44/12</f>
        <v>262.44921159184815</v>
      </c>
      <c r="AN4" s="59">
        <f ca="1">AVERAGE(OFFSET($AM$3,0,0,'Données projet'!$E$10+1,1))-AVERAGE(OFFSET($H$3,0,0,'Données projet'!$E$10+1,1))</f>
        <v>366.43676005661194</v>
      </c>
      <c r="AO4" s="59">
        <f>$AO$3</f>
        <v>513.80016421153414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10.169411764705883</v>
      </c>
      <c r="BD4" s="12">
        <f>IF('Données projet'!$A$88&gt;35,BD3+BC4-BL3,IF(A4&lt;'Données projet'!$A$88,$BA$205^A4,IF(A4='Données projet'!$A$88,'Données projet'!$B$88,BD3+BC4-BL3)))</f>
        <v>1.3540417154604885</v>
      </c>
      <c r="BE4" s="13">
        <f>BD4*VLOOKUP('Données projet'!$B$11,Paramètres!$A$1:$I$89,3,0)*VLOOKUP('Données projet'!$B$11,Paramètres!$A$1:$I$89,5,0)</f>
        <v>0.59848643823353598</v>
      </c>
      <c r="BF4" s="13">
        <f>EXP(-1.0587+0.8836*LN(BE4)+0.284)</f>
        <v>0.29279068548660936</v>
      </c>
      <c r="BG4" s="20">
        <f t="shared" ref="BG4:BG67" si="7">(BE4+BF4)*0.475*44/12</f>
        <v>1.5523076571459198</v>
      </c>
      <c r="BH4" s="59">
        <f t="shared" ref="BH4:BH67" si="8">BG4+(AY4+AZ4)*44/12</f>
        <v>259.4411965460348</v>
      </c>
      <c r="BI4" s="59">
        <f ca="1">AVERAGE(OFFSET($BH$3,0,0,'Données projet'!$E$11+1,1))-AVERAGE(OFFSET($H$3,0,0,'Données projet'!$E$11+1,1))</f>
        <v>328.58609979635901</v>
      </c>
      <c r="BJ4" s="59">
        <f>$BJ$3</f>
        <v>432.3494365423407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4.0628205128205126</v>
      </c>
      <c r="BY4" s="12">
        <f>IF('Données projet'!$A$114&gt;35,BY3+BX4-CG3,IF(A4&lt;'Données projet'!$A$114,$BV$205^A4,IF(A4='Données projet'!$A$114,'Données projet'!$B$114,BY3+BX4-CG3)))</f>
        <v>1.1736311550444201</v>
      </c>
      <c r="BZ4" s="13">
        <f>BY4*VLOOKUP('Données projet'!$B$12,Paramètres!$A$1:$I$89,3,0)*VLOOKUP('Données projet'!$B$12,Paramètres!$A$1:$I$89,5,0)</f>
        <v>1.1168274071402702</v>
      </c>
      <c r="CA4" s="13">
        <f>EXP(-1.0587+0.8836*LN(BZ4)+0.284)</f>
        <v>0.50810392551502437</v>
      </c>
      <c r="CB4" s="20">
        <f t="shared" ref="CB4:CB67" si="10">(BZ4+CA4)*0.475*44/12</f>
        <v>2.8300887377079711</v>
      </c>
      <c r="CC4" s="59">
        <f t="shared" ref="CC4:CC67" si="11">CB4+(BT4+BU4)*44/12</f>
        <v>260.71897762659682</v>
      </c>
      <c r="CD4" s="59">
        <f ca="1">AVERAGE(OFFSET($CC$3,0,0,'Données projet'!$E$12+1,1))-AVERAGE(OFFSET($H$3,0,0,'Données projet'!$E$12+1,1))</f>
        <v>555.3092253965317</v>
      </c>
      <c r="CE4" s="59">
        <f>$CE$3</f>
        <v>292.20785523952651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2.9</v>
      </c>
      <c r="CT4" s="12">
        <f>IF('Données projet'!$A$140&gt;35,CT3+CS4-DB3,IF(A4&lt;'Données projet'!$A$140,$CQ$205^A4,IF(A4='Données projet'!$A$140,'Données projet'!$B$140,CT3+CS4-DB3)))</f>
        <v>1.4003603312913959</v>
      </c>
      <c r="CU4" s="17">
        <f>CT4*VLOOKUP('Données projet'!$B$13,Paramètres!$A$1:$I$89,3,0)*VLOOKUP('Données projet'!$B$13,Paramètres!$A$1:$I$89,5,0)</f>
        <v>0.89567046789397686</v>
      </c>
      <c r="CV4" s="13">
        <f>EXP(-1.0587+0.8836*LN(CU4)+0.284)</f>
        <v>0.41809046476321332</v>
      </c>
      <c r="CW4" s="20">
        <f t="shared" ref="CW4:CW67" si="13">(CU4+CV4)*0.475*44/12</f>
        <v>2.2881336243779393</v>
      </c>
      <c r="CX4" s="59">
        <f t="shared" ref="CX4:CX67" si="14">CW4+(CO4+CP4)*44/12</f>
        <v>260.17702251326682</v>
      </c>
      <c r="CY4" s="59">
        <f ca="1">AVERAGE(OFFSET($CX$3,0,0,'Données projet'!$E$13+1,1))-AVERAGE(OFFSET($H$3,0,0,'Données projet'!$E$13+1,1))</f>
        <v>269.44168853803717</v>
      </c>
      <c r="CZ4" s="59">
        <f>$CZ$3</f>
        <v>247.65158389074043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6">
        <f t="shared" si="1"/>
        <v>256.66666666666669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3.5</v>
      </c>
      <c r="N5" s="13">
        <f>IF('Données projet'!$A$36&gt;35,N4+M5-V4,IF(A5&lt;'Données projet'!$A$36,$K$205^A5,IF(A5='Données projet'!$A$36,'Données projet'!$B$36,N4+M5-V4)))</f>
        <v>2.0361680046403978</v>
      </c>
      <c r="O5" s="13">
        <f>N5*VLOOKUP('Données projet'!$B$9,Paramètres!$A$1:$I$89,3,0)*VLOOKUP('Données projet'!$B$9,Paramètres!$A$1:$I$89,5,0)</f>
        <v>1.7787963688538517</v>
      </c>
      <c r="P5" s="13">
        <f t="shared" ref="P5:P68" si="33">EXP(-1.0587+0.8836*LN(O5)+0.284)</f>
        <v>0.76659080447596062</v>
      </c>
      <c r="Q5" s="20">
        <f t="shared" si="2"/>
        <v>4.4332159935494238</v>
      </c>
      <c r="R5" s="59">
        <f t="shared" si="0"/>
        <v>263.54432710466057</v>
      </c>
      <c r="S5" s="59">
        <f ca="1">AVERAGE(OFFSET($R$3,0,0,'Données projet'!$E$9+1,1))-AVERAGE(OFFSET($H$3,0,0,'Données projet'!$E$9+1,1))</f>
        <v>381.72225529388083</v>
      </c>
      <c r="T5" s="59">
        <f t="shared" ref="T5:T68" si="34">$T$3</f>
        <v>360.05900046417361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6.8</v>
      </c>
      <c r="AI5" s="13">
        <f>IF('Données projet'!$A$62&gt;35,AI4+AH5-AQ4,IF(A5&lt;'Données projet'!$A$62,$AF$205^A5,IF(A5='Données projet'!$A$62,'Données projet'!$B$62,AI4+AH5-AQ4)))</f>
        <v>4.0981850699807945</v>
      </c>
      <c r="AJ5" s="13">
        <f>AI5*VLOOKUP('Données projet'!$B$10,Paramètres!$A$1:$I$89,3,0)*VLOOKUP('Données projet'!$B$10,Paramètres!$A$1:$I$89,5,0)</f>
        <v>3.7080378513186227</v>
      </c>
      <c r="AK5" s="13">
        <f t="shared" ref="AK5:AK68" si="35">EXP(-1.0587+0.8836*LN(AJ5)+0.284)</f>
        <v>1.4670598901857457</v>
      </c>
      <c r="AL5" s="20">
        <f t="shared" si="4"/>
        <v>9.0132952331201093</v>
      </c>
      <c r="AM5" s="59">
        <f t="shared" si="5"/>
        <v>268.12440634423126</v>
      </c>
      <c r="AN5" s="59">
        <f ca="1">AVERAGE(OFFSET($AM$3,0,0,'Données projet'!$E$10+1,1))-AVERAGE(OFFSET($H$3,0,0,'Données projet'!$E$10+1,1))</f>
        <v>366.43676005661194</v>
      </c>
      <c r="AO5" s="59">
        <f t="shared" ref="AO5:AO68" si="36">$AO$3</f>
        <v>513.80016421153414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10.169411764705883</v>
      </c>
      <c r="BD5" s="12">
        <f>IF('Données projet'!$A$88&gt;35,BD4+BC5-BL4,IF(A5&lt;'Données projet'!$A$88,$BA$205^A5,IF(A5='Données projet'!$A$88,'Données projet'!$B$88,BD4+BC5-BL4)))</f>
        <v>1.8334289672071824</v>
      </c>
      <c r="BE5" s="13">
        <f>BD5*VLOOKUP('Données projet'!$B$11,Paramètres!$A$1:$I$89,3,0)*VLOOKUP('Données projet'!$B$11,Paramètres!$A$1:$I$89,5,0)</f>
        <v>0.8103756035055748</v>
      </c>
      <c r="BF5" s="13">
        <f t="shared" ref="BF5:BF68" si="37">EXP(-1.0587+0.8836*LN(BE5)+0.284)</f>
        <v>0.38270781509236956</v>
      </c>
      <c r="BG5" s="20">
        <f t="shared" si="7"/>
        <v>2.0779536207247533</v>
      </c>
      <c r="BH5" s="59">
        <f t="shared" si="8"/>
        <v>261.18906473183591</v>
      </c>
      <c r="BI5" s="59">
        <f ca="1">AVERAGE(OFFSET($BH$3,0,0,'Données projet'!$E$11+1,1))-AVERAGE(OFFSET($H$3,0,0,'Données projet'!$E$11+1,1))</f>
        <v>328.58609979635901</v>
      </c>
      <c r="BJ5" s="59">
        <f t="shared" ref="BJ5:BJ68" si="38">$BJ$3</f>
        <v>432.3494365423407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4.0628205128205126</v>
      </c>
      <c r="BY5" s="12">
        <f>IF('Données projet'!$A$114&gt;35,BY4+BX5-CG4,IF(A5&lt;'Données projet'!$A$114,$BV$205^A5,IF(A5='Données projet'!$A$114,'Données projet'!$B$114,BY4+BX5-CG4)))</f>
        <v>1.3774100880908995</v>
      </c>
      <c r="BZ5" s="13">
        <f>BY5*VLOOKUP('Données projet'!$B$12,Paramètres!$A$1:$I$89,3,0)*VLOOKUP('Données projet'!$B$12,Paramètres!$A$1:$I$89,5,0)</f>
        <v>1.3107434398272999</v>
      </c>
      <c r="CA5" s="13">
        <f t="shared" ref="CA5:CA68" si="39">EXP(-1.0587+0.8836*LN(BZ5)+0.284)</f>
        <v>0.58531640729586831</v>
      </c>
      <c r="CB5" s="20">
        <f t="shared" si="10"/>
        <v>3.3023042337395179</v>
      </c>
      <c r="CC5" s="59">
        <f t="shared" si="11"/>
        <v>262.41341534485065</v>
      </c>
      <c r="CD5" s="59">
        <f ca="1">AVERAGE(OFFSET($CC$3,0,0,'Données projet'!$E$12+1,1))-AVERAGE(OFFSET($H$3,0,0,'Données projet'!$E$12+1,1))</f>
        <v>555.3092253965317</v>
      </c>
      <c r="CE5" s="59">
        <f t="shared" ref="CE5:CE68" si="40">$CE$3</f>
        <v>292.20785523952651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2.9</v>
      </c>
      <c r="CT5" s="12">
        <f>IF('Données projet'!$A$140&gt;35,CT4+CS5-DB4,IF(A5&lt;'Données projet'!$A$140,$CQ$205^A5,IF(A5='Données projet'!$A$140,'Données projet'!$B$140,CT4+CS5-DB4)))</f>
        <v>1.9610090574545482</v>
      </c>
      <c r="CU5" s="17">
        <f>CT5*VLOOKUP('Données projet'!$B$13,Paramètres!$A$1:$I$89,3,0)*VLOOKUP('Données projet'!$B$13,Paramètres!$A$1:$I$89,5,0)</f>
        <v>1.2542613931479289</v>
      </c>
      <c r="CV5" s="13">
        <f t="shared" ref="CV5:CV68" si="41">EXP(-1.0587+0.8836*LN(CU5)+0.284)</f>
        <v>0.56297323752192563</v>
      </c>
      <c r="CW5" s="20">
        <f t="shared" si="13"/>
        <v>3.1650169817499965</v>
      </c>
      <c r="CX5" s="59">
        <f t="shared" si="14"/>
        <v>262.27612809286114</v>
      </c>
      <c r="CY5" s="59">
        <f ca="1">AVERAGE(OFFSET($CX$3,0,0,'Données projet'!$E$13+1,1))-AVERAGE(OFFSET($H$3,0,0,'Données projet'!$E$13+1,1))</f>
        <v>269.44168853803717</v>
      </c>
      <c r="CZ5" s="59">
        <f t="shared" ref="CZ5:CZ68" si="42">$CZ$3</f>
        <v>247.65158389074043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6">
        <f t="shared" si="1"/>
        <v>256.66666666666669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3.5</v>
      </c>
      <c r="N6" s="13">
        <f>IF('Données projet'!$A$36&gt;35,N5+M6-V5,IF(A6&lt;'Données projet'!$A$36,$K$205^A6,IF(A6='Données projet'!$A$36,'Données projet'!$B$36,N5+M6-V5)))</f>
        <v>2.905496879244224</v>
      </c>
      <c r="O6" s="13">
        <f>N6*VLOOKUP('Données projet'!$B$9,Paramètres!$A$1:$I$89,3,0)*VLOOKUP('Données projet'!$B$9,Paramètres!$A$1:$I$89,5,0)</f>
        <v>2.5382420737077545</v>
      </c>
      <c r="P6" s="13">
        <f t="shared" si="33"/>
        <v>1.049536285118966</v>
      </c>
      <c r="Q6" s="20">
        <f t="shared" si="2"/>
        <v>6.2487139749565381</v>
      </c>
      <c r="R6" s="59">
        <f t="shared" si="0"/>
        <v>266.58204730828987</v>
      </c>
      <c r="S6" s="59">
        <f ca="1">AVERAGE(OFFSET($R$3,0,0,'Données projet'!$E$9+1,1))-AVERAGE(OFFSET($H$3,0,0,'Données projet'!$E$9+1,1))</f>
        <v>381.72225529388083</v>
      </c>
      <c r="T6" s="59">
        <f t="shared" si="34"/>
        <v>360.05900046417361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6.8</v>
      </c>
      <c r="AI6" s="13">
        <f>IF('Données projet'!$A$62&gt;35,AI5+AH6-AQ5,IF(A6&lt;'Données projet'!$A$62,$AF$205^A6,IF(A6='Données projet'!$A$62,'Données projet'!$B$62,AI5+AH6-AQ5)))</f>
        <v>8.2963554401312951</v>
      </c>
      <c r="AJ6" s="13">
        <f>AI6*VLOOKUP('Données projet'!$B$10,Paramètres!$A$1:$I$89,3,0)*VLOOKUP('Données projet'!$B$10,Paramètres!$A$1:$I$89,5,0)</f>
        <v>7.5065424022307949</v>
      </c>
      <c r="AK6" s="13">
        <f t="shared" si="35"/>
        <v>2.7358406474604431</v>
      </c>
      <c r="AL6" s="20">
        <f t="shared" si="4"/>
        <v>17.838817144878906</v>
      </c>
      <c r="AM6" s="59">
        <f t="shared" si="5"/>
        <v>278.17215047821225</v>
      </c>
      <c r="AN6" s="59">
        <f ca="1">AVERAGE(OFFSET($AM$3,0,0,'Données projet'!$E$10+1,1))-AVERAGE(OFFSET($H$3,0,0,'Données projet'!$E$10+1,1))</f>
        <v>366.43676005661194</v>
      </c>
      <c r="AO6" s="59">
        <f t="shared" si="36"/>
        <v>513.80016421153414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10.169411764705883</v>
      </c>
      <c r="BD6" s="12">
        <f>IF('Données projet'!$A$88&gt;35,BD5+BC6-BL5,IF(A6&lt;'Données projet'!$A$88,$BA$205^A6,IF(A6='Données projet'!$A$88,'Données projet'!$B$88,BD5+BC6-BL5)))</f>
        <v>2.4825393039321648</v>
      </c>
      <c r="BE6" s="13">
        <f>BD6*VLOOKUP('Données projet'!$B$11,Paramètres!$A$1:$I$89,3,0)*VLOOKUP('Données projet'!$B$11,Paramètres!$A$1:$I$89,5,0)</f>
        <v>1.097282372338017</v>
      </c>
      <c r="BF6" s="13">
        <f t="shared" si="37"/>
        <v>0.50023883611377307</v>
      </c>
      <c r="BG6" s="20">
        <f t="shared" si="7"/>
        <v>2.7823494380535343</v>
      </c>
      <c r="BH6" s="59">
        <f t="shared" si="8"/>
        <v>263.11568277138684</v>
      </c>
      <c r="BI6" s="59">
        <f ca="1">AVERAGE(OFFSET($BH$3,0,0,'Données projet'!$E$11+1,1))-AVERAGE(OFFSET($H$3,0,0,'Données projet'!$E$11+1,1))</f>
        <v>328.58609979635901</v>
      </c>
      <c r="BJ6" s="59">
        <f t="shared" si="38"/>
        <v>432.3494365423407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4.0628205128205126</v>
      </c>
      <c r="BY6" s="12">
        <f>IF('Données projet'!$A$114&gt;35,BY5+BX6-CG5,IF(A6&lt;'Données projet'!$A$114,$BV$205^A6,IF(A6='Données projet'!$A$114,'Données projet'!$B$114,BY5+BX6-CG5)))</f>
        <v>1.6165713926559588</v>
      </c>
      <c r="BZ6" s="13">
        <f>BY6*VLOOKUP('Données projet'!$B$12,Paramètres!$A$1:$I$89,3,0)*VLOOKUP('Données projet'!$B$12,Paramètres!$A$1:$I$89,5,0)</f>
        <v>1.5383293372514104</v>
      </c>
      <c r="CA6" s="13">
        <f t="shared" si="39"/>
        <v>0.67426225117722005</v>
      </c>
      <c r="CB6" s="20">
        <f t="shared" si="10"/>
        <v>3.8535970165131981</v>
      </c>
      <c r="CC6" s="59">
        <f t="shared" si="11"/>
        <v>264.18693034984653</v>
      </c>
      <c r="CD6" s="59">
        <f ca="1">AVERAGE(OFFSET($CC$3,0,0,'Données projet'!$E$12+1,1))-AVERAGE(OFFSET($H$3,0,0,'Données projet'!$E$12+1,1))</f>
        <v>555.3092253965317</v>
      </c>
      <c r="CE6" s="59">
        <f t="shared" si="40"/>
        <v>292.20785523952651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2.9</v>
      </c>
      <c r="CT6" s="12">
        <f>IF('Données projet'!$A$140&gt;35,CT5+CS6-DB5,IF(A6&lt;'Données projet'!$A$140,$CQ$205^A6,IF(A6='Données projet'!$A$140,'Données projet'!$B$140,CT5+CS6-DB5)))</f>
        <v>2.7461192933624794</v>
      </c>
      <c r="CU6" s="17">
        <f>CT6*VLOOKUP('Données projet'!$B$13,Paramètres!$A$1:$I$89,3,0)*VLOOKUP('Données projet'!$B$13,Paramètres!$A$1:$I$89,5,0)</f>
        <v>1.7564179000346416</v>
      </c>
      <c r="CV6" s="13">
        <f t="shared" si="41"/>
        <v>0.75806289039722008</v>
      </c>
      <c r="CW6" s="20">
        <f t="shared" si="13"/>
        <v>4.3793873766688254</v>
      </c>
      <c r="CX6" s="59">
        <f t="shared" si="14"/>
        <v>264.71272071000215</v>
      </c>
      <c r="CY6" s="59">
        <f ca="1">AVERAGE(OFFSET($CX$3,0,0,'Données projet'!$E$13+1,1))-AVERAGE(OFFSET($H$3,0,0,'Données projet'!$E$13+1,1))</f>
        <v>269.44168853803717</v>
      </c>
      <c r="CZ6" s="59">
        <f t="shared" si="42"/>
        <v>247.65158389074043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6">
        <f t="shared" si="1"/>
        <v>256.66666666666669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3.5</v>
      </c>
      <c r="N7" s="13">
        <f>IF('Données projet'!$A$36&gt;35,N6+M7-V6,IF(A7&lt;'Données projet'!$A$36,$K$205^A7,IF(A7='Données projet'!$A$36,'Données projet'!$B$36,N6+M7-V6)))</f>
        <v>4.1459801431212595</v>
      </c>
      <c r="O7" s="13">
        <f>N7*VLOOKUP('Données projet'!$B$9,Paramètres!$A$1:$I$89,3,0)*VLOOKUP('Données projet'!$B$9,Paramètres!$A$1:$I$89,5,0)</f>
        <v>3.6219282530307328</v>
      </c>
      <c r="P7" s="13">
        <f t="shared" si="33"/>
        <v>1.4369157669903438</v>
      </c>
      <c r="Q7" s="20">
        <f t="shared" si="2"/>
        <v>8.8108200015367082</v>
      </c>
      <c r="R7" s="59">
        <f t="shared" si="0"/>
        <v>270.36637555709223</v>
      </c>
      <c r="S7" s="59">
        <f ca="1">AVERAGE(OFFSET($R$3,0,0,'Données projet'!$E$9+1,1))-AVERAGE(OFFSET($H$3,0,0,'Données projet'!$E$9+1,1))</f>
        <v>381.72225529388083</v>
      </c>
      <c r="T7" s="59">
        <f t="shared" si="34"/>
        <v>360.05900046417361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6.8</v>
      </c>
      <c r="AI7" s="13">
        <f>IF('Données projet'!$A$62&gt;35,AI6+AH7-AQ6,IF(A7&lt;'Données projet'!$A$62,$AF$205^A7,IF(A7='Données projet'!$A$62,'Données projet'!$B$62,AI6+AH7-AQ6)))</f>
        <v>16.795120867813488</v>
      </c>
      <c r="AJ7" s="13">
        <f>AI7*VLOOKUP('Données projet'!$B$10,Paramètres!$A$1:$I$89,3,0)*VLOOKUP('Données projet'!$B$10,Paramètres!$A$1:$I$89,5,0)</f>
        <v>15.196225361197643</v>
      </c>
      <c r="AK7" s="13">
        <f t="shared" si="35"/>
        <v>5.1019212633160578</v>
      </c>
      <c r="AL7" s="20">
        <f t="shared" si="4"/>
        <v>35.352605371028027</v>
      </c>
      <c r="AM7" s="59">
        <f t="shared" si="5"/>
        <v>296.90816092658355</v>
      </c>
      <c r="AN7" s="59">
        <f ca="1">AVERAGE(OFFSET($AM$3,0,0,'Données projet'!$E$10+1,1))-AVERAGE(OFFSET($H$3,0,0,'Données projet'!$E$10+1,1))</f>
        <v>366.43676005661194</v>
      </c>
      <c r="AO7" s="59">
        <f t="shared" si="36"/>
        <v>513.80016421153414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10.169411764705883</v>
      </c>
      <c r="BD7" s="12">
        <f>IF('Données projet'!$A$88&gt;35,BD6+BC7-BL6,IF(A7&lt;'Données projet'!$A$88,$BA$205^A7,IF(A7='Données projet'!$A$88,'Données projet'!$B$88,BD6+BC7-BL6)))</f>
        <v>3.3614617777943954</v>
      </c>
      <c r="BE7" s="13">
        <f>BD7*VLOOKUP('Données projet'!$B$11,Paramètres!$A$1:$I$89,3,0)*VLOOKUP('Données projet'!$B$11,Paramètres!$A$1:$I$89,5,0)</f>
        <v>1.485766105785123</v>
      </c>
      <c r="BF7" s="13">
        <f t="shared" si="37"/>
        <v>0.65386407930045864</v>
      </c>
      <c r="BG7" s="20">
        <f t="shared" si="7"/>
        <v>3.7265225723573878</v>
      </c>
      <c r="BH7" s="59">
        <f t="shared" si="8"/>
        <v>265.28207812791294</v>
      </c>
      <c r="BI7" s="59">
        <f ca="1">AVERAGE(OFFSET($BH$3,0,0,'Données projet'!$E$11+1,1))-AVERAGE(OFFSET($H$3,0,0,'Données projet'!$E$11+1,1))</f>
        <v>328.58609979635901</v>
      </c>
      <c r="BJ7" s="59">
        <f t="shared" si="38"/>
        <v>432.3494365423407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4.0628205128205126</v>
      </c>
      <c r="BY7" s="12">
        <f>IF('Données projet'!$A$114&gt;35,BY6+BX7-CG6,IF(A7&lt;'Données projet'!$A$114,$BV$205^A7,IF(A7='Données projet'!$A$114,'Données projet'!$B$114,BY6+BX7-CG6)))</f>
        <v>1.8972585507745794</v>
      </c>
      <c r="BZ7" s="13">
        <f>BY7*VLOOKUP('Données projet'!$B$12,Paramètres!$A$1:$I$89,3,0)*VLOOKUP('Données projet'!$B$12,Paramètres!$A$1:$I$89,5,0)</f>
        <v>1.80543123691709</v>
      </c>
      <c r="CA7" s="13">
        <f t="shared" si="39"/>
        <v>0.77672448217014423</v>
      </c>
      <c r="CB7" s="20">
        <f t="shared" si="10"/>
        <v>4.4972545440769327</v>
      </c>
      <c r="CC7" s="59">
        <f t="shared" si="11"/>
        <v>266.0528100996325</v>
      </c>
      <c r="CD7" s="59">
        <f ca="1">AVERAGE(OFFSET($CC$3,0,0,'Données projet'!$E$12+1,1))-AVERAGE(OFFSET($H$3,0,0,'Données projet'!$E$12+1,1))</f>
        <v>555.3092253965317</v>
      </c>
      <c r="CE7" s="59">
        <f t="shared" si="40"/>
        <v>292.20785523952651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2.9</v>
      </c>
      <c r="CT7" s="12">
        <f>IF('Données projet'!$A$140&gt;35,CT6+CS7-DB6,IF(A7&lt;'Données projet'!$A$140,$CQ$205^A7,IF(A7='Données projet'!$A$140,'Données projet'!$B$140,CT6+CS7-DB6)))</f>
        <v>3.8455565234187756</v>
      </c>
      <c r="CU7" s="17">
        <f>CT7*VLOOKUP('Données projet'!$B$13,Paramètres!$A$1:$I$89,3,0)*VLOOKUP('Données projet'!$B$13,Paramètres!$A$1:$I$89,5,0)</f>
        <v>2.459617952378649</v>
      </c>
      <c r="CV7" s="13">
        <f t="shared" si="41"/>
        <v>1.0207578397987471</v>
      </c>
      <c r="CW7" s="20">
        <f t="shared" si="13"/>
        <v>6.0616545047089643</v>
      </c>
      <c r="CX7" s="59">
        <f t="shared" si="14"/>
        <v>267.61721006026448</v>
      </c>
      <c r="CY7" s="59">
        <f ca="1">AVERAGE(OFFSET($CX$3,0,0,'Données projet'!$E$13+1,1))-AVERAGE(OFFSET($H$3,0,0,'Données projet'!$E$13+1,1))</f>
        <v>269.44168853803717</v>
      </c>
      <c r="CZ7" s="59">
        <f t="shared" si="42"/>
        <v>247.65158389074043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6">
        <f t="shared" si="1"/>
        <v>256.66666666666669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3.5</v>
      </c>
      <c r="N8" s="13">
        <f>IF('Données projet'!$A$36&gt;35,N7+M8-V7,IF(A8&lt;'Données projet'!$A$36,$K$205^A8,IF(A8='Données projet'!$A$36,'Données projet'!$B$36,N7+M8-V7)))</f>
        <v>5.9160797830996152</v>
      </c>
      <c r="O8" s="13">
        <f>N8*VLOOKUP('Données projet'!$B$9,Paramètres!$A$1:$I$89,3,0)*VLOOKUP('Données projet'!$B$9,Paramètres!$A$1:$I$89,5,0)</f>
        <v>5.1682872985158239</v>
      </c>
      <c r="P8" s="13">
        <f t="shared" si="33"/>
        <v>1.967275406006004</v>
      </c>
      <c r="Q8" s="20">
        <f t="shared" si="2"/>
        <v>12.427771710375517</v>
      </c>
      <c r="R8" s="59">
        <f t="shared" si="0"/>
        <v>275.20554948815328</v>
      </c>
      <c r="S8" s="59">
        <f ca="1">AVERAGE(OFFSET($R$3,0,0,'Données projet'!$E$9+1,1))-AVERAGE(OFFSET($H$3,0,0,'Données projet'!$E$9+1,1))</f>
        <v>381.72225529388083</v>
      </c>
      <c r="T8" s="59">
        <f t="shared" si="34"/>
        <v>360.05900046417361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>
        <f>VLOOKUP(A8,'Données projet'!$A$61:$I$81,2,0)</f>
        <v>34</v>
      </c>
      <c r="AG8" s="12">
        <f>VLOOKUP(A8,'Données projet'!$A$61:$I$81,9,0)</f>
        <v>6.8</v>
      </c>
      <c r="AH8" s="12">
        <f t="array" ref="AH8">INDEX(AG:AG,MIN(IF(ISNUMBER(AG8:AG204),ROW(AG8:AG204),"")))</f>
        <v>6.8</v>
      </c>
      <c r="AI8" s="13">
        <f>IF('Données projet'!$A$62&gt;35,AI7+AH8-AQ7,IF(A8&lt;'Données projet'!$A$62,$AF$205^A8,IF(A8='Données projet'!$A$62,'Données projet'!$B$62,AI7+AH8-AQ7)))</f>
        <v>34</v>
      </c>
      <c r="AJ8" s="13">
        <f>AI8*VLOOKUP('Données projet'!$B$10,Paramètres!$A$1:$I$89,3,0)*VLOOKUP('Données projet'!$B$10,Paramètres!$A$1:$I$89,5,0)</f>
        <v>30.763199999999998</v>
      </c>
      <c r="AK8" s="13">
        <f t="shared" si="35"/>
        <v>9.5142970411082253</v>
      </c>
      <c r="AL8" s="20">
        <f t="shared" si="4"/>
        <v>70.149974013263474</v>
      </c>
      <c r="AM8" s="59">
        <f t="shared" si="5"/>
        <v>332.92775179104126</v>
      </c>
      <c r="AN8" s="59">
        <f ca="1">AVERAGE(OFFSET($AM$3,0,0,'Données projet'!$E$10+1,1))-AVERAGE(OFFSET($H$3,0,0,'Données projet'!$E$10+1,1))</f>
        <v>366.43676005661194</v>
      </c>
      <c r="AO8" s="59">
        <f t="shared" si="36"/>
        <v>513.80016421153414</v>
      </c>
      <c r="AP8" s="15">
        <f>IF(ISNA(VLOOKUP(A8,'Données projet'!$A$61:$I$81,3,0)),0,VLOOKUP(A8,'Données projet'!$A$61:$I$81,3,0))</f>
        <v>1</v>
      </c>
      <c r="AQ8" s="15">
        <f>IF(ISNA(VLOOKUP(A8,'Données projet'!$A$61:$I$81,4,0)),0,VLOOKUP(A8,'Données projet'!$A$61:$I$81,4,0))</f>
        <v>6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10.169411764705883</v>
      </c>
      <c r="BD8" s="12">
        <f>IF('Données projet'!$A$88&gt;35,BD7+BC8-BL7,IF(A8&lt;'Données projet'!$A$88,$BA$205^A8,IF(A8='Données projet'!$A$88,'Données projet'!$B$88,BD7+BC8-BL7)))</f>
        <v>4.5515594720595862</v>
      </c>
      <c r="BE8" s="13">
        <f>BD8*VLOOKUP('Données projet'!$B$11,Paramètres!$A$1:$I$89,3,0)*VLOOKUP('Données projet'!$B$11,Paramètres!$A$1:$I$89,5,0)</f>
        <v>2.0117892866503375</v>
      </c>
      <c r="BF8" s="13">
        <f t="shared" si="37"/>
        <v>0.85466821712778462</v>
      </c>
      <c r="BG8" s="20">
        <f t="shared" si="7"/>
        <v>4.9924134857468951</v>
      </c>
      <c r="BH8" s="59">
        <f t="shared" si="8"/>
        <v>267.77019126352468</v>
      </c>
      <c r="BI8" s="59">
        <f ca="1">AVERAGE(OFFSET($BH$3,0,0,'Données projet'!$E$11+1,1))-AVERAGE(OFFSET($H$3,0,0,'Données projet'!$E$11+1,1))</f>
        <v>328.58609979635901</v>
      </c>
      <c r="BJ8" s="59">
        <f t="shared" si="38"/>
        <v>432.3494365423407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4.0628205128205126</v>
      </c>
      <c r="BY8" s="12">
        <f>IF('Données projet'!$A$114&gt;35,BY7+BX8-CG7,IF(A8&lt;'Données projet'!$A$114,$BV$205^A8,IF(A8='Données projet'!$A$114,'Données projet'!$B$114,BY7+BX8-CG7)))</f>
        <v>2.2266817443634719</v>
      </c>
      <c r="BZ8" s="13">
        <f>BY8*VLOOKUP('Données projet'!$B$12,Paramètres!$A$1:$I$89,3,0)*VLOOKUP('Données projet'!$B$12,Paramètres!$A$1:$I$89,5,0)</f>
        <v>2.1189103479362799</v>
      </c>
      <c r="CA8" s="13">
        <f t="shared" si="39"/>
        <v>0.89475707730805443</v>
      </c>
      <c r="CB8" s="20">
        <f t="shared" si="10"/>
        <v>5.2488040989672156</v>
      </c>
      <c r="CC8" s="59">
        <f t="shared" si="11"/>
        <v>268.02658187674501</v>
      </c>
      <c r="CD8" s="59">
        <f ca="1">AVERAGE(OFFSET($CC$3,0,0,'Données projet'!$E$12+1,1))-AVERAGE(OFFSET($H$3,0,0,'Données projet'!$E$12+1,1))</f>
        <v>555.3092253965317</v>
      </c>
      <c r="CE8" s="59">
        <f t="shared" si="40"/>
        <v>292.20785523952651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2.9</v>
      </c>
      <c r="CT8" s="12">
        <f>IF('Données projet'!$A$140&gt;35,CT7+CS8-DB7,IF(A8&lt;'Données projet'!$A$140,$CQ$205^A8,IF(A8='Données projet'!$A$140,'Données projet'!$B$140,CT7+CS8-DB7)))</f>
        <v>5.3851648071345055</v>
      </c>
      <c r="CU8" s="17">
        <f>CT8*VLOOKUP('Données projet'!$B$13,Paramètres!$A$1:$I$89,3,0)*VLOOKUP('Données projet'!$B$13,Paramètres!$A$1:$I$89,5,0)</f>
        <v>3.4443514106432298</v>
      </c>
      <c r="CV8" s="13">
        <f t="shared" si="41"/>
        <v>1.3744856537755477</v>
      </c>
      <c r="CW8" s="20">
        <f t="shared" si="13"/>
        <v>8.392807887196037</v>
      </c>
      <c r="CX8" s="59">
        <f t="shared" si="14"/>
        <v>271.17058566497383</v>
      </c>
      <c r="CY8" s="59">
        <f ca="1">AVERAGE(OFFSET($CX$3,0,0,'Données projet'!$E$13+1,1))-AVERAGE(OFFSET($H$3,0,0,'Données projet'!$E$13+1,1))</f>
        <v>269.44168853803717</v>
      </c>
      <c r="CZ8" s="59">
        <f t="shared" si="42"/>
        <v>247.65158389074043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6">
        <f t="shared" si="1"/>
        <v>256.66666666666669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3.5</v>
      </c>
      <c r="N9" s="13">
        <f>IF('Données projet'!$A$36&gt;35,N8+M9-V8,IF(A9&lt;'Données projet'!$A$36,$K$205^A9,IF(A9='Données projet'!$A$36,'Données projet'!$B$36,N8+M9-V8)))</f>
        <v>8.4419121152979262</v>
      </c>
      <c r="O9" s="13">
        <f>N9*VLOOKUP('Données projet'!$B$9,Paramètres!$A$1:$I$89,3,0)*VLOOKUP('Données projet'!$B$9,Paramètres!$A$1:$I$89,5,0)</f>
        <v>7.3748544239242699</v>
      </c>
      <c r="P9" s="13">
        <f t="shared" si="33"/>
        <v>2.6933885840659002</v>
      </c>
      <c r="Q9" s="20">
        <f t="shared" si="2"/>
        <v>17.535523238916209</v>
      </c>
      <c r="R9" s="59">
        <f t="shared" si="0"/>
        <v>281.5355232389162</v>
      </c>
      <c r="S9" s="59">
        <f ca="1">AVERAGE(OFFSET($R$3,0,0,'Données projet'!$E$9+1,1))-AVERAGE(OFFSET($H$3,0,0,'Données projet'!$E$9+1,1))</f>
        <v>381.72225529388083</v>
      </c>
      <c r="T9" s="59">
        <f t="shared" si="34"/>
        <v>360.05900046417361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14</v>
      </c>
      <c r="AI9" s="13">
        <f>IF('Données projet'!$A$62&gt;35,AI8+AH9-AQ8,IF(A9&lt;'Données projet'!$A$62,$AF$205^A9,IF(A9='Données projet'!$A$62,'Données projet'!$B$62,AI8+AH9-AQ8)))</f>
        <v>42</v>
      </c>
      <c r="AJ9" s="13">
        <f>AI9*VLOOKUP('Données projet'!$B$10,Paramètres!$A$1:$I$89,3,0)*VLOOKUP('Données projet'!$B$10,Paramètres!$A$1:$I$89,5,0)</f>
        <v>38.001600000000003</v>
      </c>
      <c r="AK9" s="13">
        <f t="shared" si="35"/>
        <v>11.467401227090512</v>
      </c>
      <c r="AL9" s="20">
        <f t="shared" si="4"/>
        <v>86.158510470515978</v>
      </c>
      <c r="AM9" s="59">
        <f t="shared" si="5"/>
        <v>350.15851047051598</v>
      </c>
      <c r="AN9" s="59">
        <f ca="1">AVERAGE(OFFSET($AM$3,0,0,'Données projet'!$E$10+1,1))-AVERAGE(OFFSET($H$3,0,0,'Données projet'!$E$10+1,1))</f>
        <v>366.43676005661194</v>
      </c>
      <c r="AO9" s="59">
        <f t="shared" si="36"/>
        <v>513.80016421153414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10.169411764705883</v>
      </c>
      <c r="BD9" s="12">
        <f>IF('Données projet'!$A$88&gt;35,BD8+BC9-BL8,IF(A9&lt;'Données projet'!$A$88,$BA$205^A9,IF(A9='Données projet'!$A$88,'Données projet'!$B$88,BD8+BC9-BL8)))</f>
        <v>6.1630013955679974</v>
      </c>
      <c r="BE9" s="13">
        <f>BD9*VLOOKUP('Données projet'!$B$11,Paramètres!$A$1:$I$89,3,0)*VLOOKUP('Données projet'!$B$11,Paramètres!$A$1:$I$89,5,0)</f>
        <v>2.7240466168410551</v>
      </c>
      <c r="BF9" s="13">
        <f t="shared" si="37"/>
        <v>1.1171400670149545</v>
      </c>
      <c r="BG9" s="20">
        <f t="shared" si="7"/>
        <v>6.6900668077158834</v>
      </c>
      <c r="BH9" s="59">
        <f t="shared" si="8"/>
        <v>270.69006680771588</v>
      </c>
      <c r="BI9" s="59">
        <f ca="1">AVERAGE(OFFSET($BH$3,0,0,'Données projet'!$E$11+1,1))-AVERAGE(OFFSET($H$3,0,0,'Données projet'!$E$11+1,1))</f>
        <v>328.58609979635901</v>
      </c>
      <c r="BJ9" s="59">
        <f t="shared" si="38"/>
        <v>432.3494365423407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4.0628205128205126</v>
      </c>
      <c r="BY9" s="12">
        <f>IF('Données projet'!$A$114&gt;35,BY8+BX9-CG8,IF(A9&lt;'Données projet'!$A$114,$BV$205^A9,IF(A9='Données projet'!$A$114,'Données projet'!$B$114,BY8+BX9-CG8)))</f>
        <v>2.6133030675536255</v>
      </c>
      <c r="BZ9" s="13">
        <f>BY9*VLOOKUP('Données projet'!$B$12,Paramètres!$A$1:$I$89,3,0)*VLOOKUP('Données projet'!$B$12,Paramètres!$A$1:$I$89,5,0)</f>
        <v>2.4868191990840303</v>
      </c>
      <c r="CA9" s="13">
        <f t="shared" si="39"/>
        <v>1.030726140054228</v>
      </c>
      <c r="CB9" s="20">
        <f t="shared" si="10"/>
        <v>6.1263914656658001</v>
      </c>
      <c r="CC9" s="59">
        <f t="shared" si="11"/>
        <v>270.12639146566579</v>
      </c>
      <c r="CD9" s="59">
        <f ca="1">AVERAGE(OFFSET($CC$3,0,0,'Données projet'!$E$12+1,1))-AVERAGE(OFFSET($H$3,0,0,'Données projet'!$E$12+1,1))</f>
        <v>555.3092253965317</v>
      </c>
      <c r="CE9" s="59">
        <f t="shared" si="40"/>
        <v>292.20785523952651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2.9</v>
      </c>
      <c r="CT9" s="12">
        <f>IF('Données projet'!$A$140&gt;35,CT8+CS9-DB8,IF(A9&lt;'Données projet'!$A$140,$CQ$205^A9,IF(A9='Données projet'!$A$140,'Données projet'!$B$140,CT8+CS9-DB8)))</f>
        <v>7.5411711733776423</v>
      </c>
      <c r="CU9" s="17">
        <f>CT9*VLOOKUP('Données projet'!$B$13,Paramètres!$A$1:$I$89,3,0)*VLOOKUP('Données projet'!$B$13,Paramètres!$A$1:$I$89,5,0)</f>
        <v>4.8233330824923399</v>
      </c>
      <c r="CV9" s="13">
        <f t="shared" si="41"/>
        <v>1.850792361102289</v>
      </c>
      <c r="CW9" s="20">
        <f t="shared" si="13"/>
        <v>11.624101814260646</v>
      </c>
      <c r="CX9" s="59">
        <f t="shared" si="14"/>
        <v>275.62410181426065</v>
      </c>
      <c r="CY9" s="59">
        <f ca="1">AVERAGE(OFFSET($CX$3,0,0,'Données projet'!$E$13+1,1))-AVERAGE(OFFSET($H$3,0,0,'Données projet'!$E$13+1,1))</f>
        <v>269.44168853803717</v>
      </c>
      <c r="CZ9" s="59">
        <f t="shared" si="42"/>
        <v>247.65158389074043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6">
        <f t="shared" si="1"/>
        <v>256.66666666666669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3.5</v>
      </c>
      <c r="N10" s="13">
        <f>IF('Données projet'!$A$36&gt;35,N9+M10-V9,IF(A10&lt;'Données projet'!$A$36,$K$205^A10,IF(A10='Données projet'!$A$36,'Données projet'!$B$36,N9+M10-V9)))</f>
        <v>12.04613236724734</v>
      </c>
      <c r="O10" s="13">
        <f>N10*VLOOKUP('Données projet'!$B$9,Paramètres!$A$1:$I$89,3,0)*VLOOKUP('Données projet'!$B$9,Paramètres!$A$1:$I$89,5,0)</f>
        <v>10.523501236027279</v>
      </c>
      <c r="P10" s="13">
        <f t="shared" si="33"/>
        <v>3.6875071190486755</v>
      </c>
      <c r="Q10" s="20">
        <f t="shared" si="2"/>
        <v>24.750839551757284</v>
      </c>
      <c r="R10" s="59">
        <f t="shared" si="0"/>
        <v>289.97306177397951</v>
      </c>
      <c r="S10" s="59">
        <f ca="1">AVERAGE(OFFSET($R$3,0,0,'Données projet'!$E$9+1,1))-AVERAGE(OFFSET($H$3,0,0,'Données projet'!$E$9+1,1))</f>
        <v>381.72225529388083</v>
      </c>
      <c r="T10" s="59">
        <f t="shared" si="34"/>
        <v>360.05900046417361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14</v>
      </c>
      <c r="AI10" s="13">
        <f>IF('Données projet'!$A$62&gt;35,AI9+AH10-AQ9,IF(A10&lt;'Données projet'!$A$62,$AF$205^A10,IF(A10='Données projet'!$A$62,'Données projet'!$B$62,AI9+AH10-AQ9)))</f>
        <v>56</v>
      </c>
      <c r="AJ10" s="13">
        <f>AI10*VLOOKUP('Données projet'!$B$10,Paramètres!$A$1:$I$89,3,0)*VLOOKUP('Données projet'!$B$10,Paramètres!$A$1:$I$89,5,0)</f>
        <v>50.668799999999997</v>
      </c>
      <c r="AK10" s="13">
        <f t="shared" si="35"/>
        <v>14.786346384516113</v>
      </c>
      <c r="AL10" s="20">
        <f t="shared" si="4"/>
        <v>114.0010466196989</v>
      </c>
      <c r="AM10" s="59">
        <f t="shared" si="5"/>
        <v>379.22326884192114</v>
      </c>
      <c r="AN10" s="59">
        <f ca="1">AVERAGE(OFFSET($AM$3,0,0,'Données projet'!$E$10+1,1))-AVERAGE(OFFSET($H$3,0,0,'Données projet'!$E$10+1,1))</f>
        <v>366.43676005661194</v>
      </c>
      <c r="AO10" s="59">
        <f t="shared" si="36"/>
        <v>513.80016421153414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10.169411764705883</v>
      </c>
      <c r="BD10" s="12">
        <f>IF('Données projet'!$A$88&gt;35,BD9+BC10-BL9,IF(A10&lt;'Données projet'!$A$88,$BA$205^A10,IF(A10='Données projet'!$A$88,'Données projet'!$B$88,BD9+BC10-BL9)))</f>
        <v>8.3449609820402753</v>
      </c>
      <c r="BE10" s="13">
        <f>BD10*VLOOKUP('Données projet'!$B$11,Paramètres!$A$1:$I$89,3,0)*VLOOKUP('Données projet'!$B$11,Paramètres!$A$1:$I$89,5,0)</f>
        <v>3.6884727540618019</v>
      </c>
      <c r="BF10" s="13">
        <f t="shared" si="37"/>
        <v>1.4602180171438195</v>
      </c>
      <c r="BG10" s="20">
        <f t="shared" si="7"/>
        <v>8.9673030931831228</v>
      </c>
      <c r="BH10" s="59">
        <f t="shared" si="8"/>
        <v>274.18952531540538</v>
      </c>
      <c r="BI10" s="59">
        <f ca="1">AVERAGE(OFFSET($BH$3,0,0,'Données projet'!$E$11+1,1))-AVERAGE(OFFSET($H$3,0,0,'Données projet'!$E$11+1,1))</f>
        <v>328.58609979635901</v>
      </c>
      <c r="BJ10" s="59">
        <f t="shared" si="38"/>
        <v>432.3494365423407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4.0628205128205126</v>
      </c>
      <c r="BY10" s="12">
        <f>IF('Données projet'!$A$114&gt;35,BY9+BX10-CG9,IF(A10&lt;'Données projet'!$A$114,$BV$205^A10,IF(A10='Données projet'!$A$114,'Données projet'!$B$114,BY9+BX10-CG9)))</f>
        <v>3.067053897654088</v>
      </c>
      <c r="BZ10" s="13">
        <f>BY10*VLOOKUP('Données projet'!$B$12,Paramètres!$A$1:$I$89,3,0)*VLOOKUP('Données projet'!$B$12,Paramètres!$A$1:$I$89,5,0)</f>
        <v>2.9186084890076298</v>
      </c>
      <c r="CA10" s="13">
        <f t="shared" si="39"/>
        <v>1.187357331654072</v>
      </c>
      <c r="CB10" s="20">
        <f t="shared" si="10"/>
        <v>7.1512238043191303</v>
      </c>
      <c r="CC10" s="59">
        <f t="shared" si="11"/>
        <v>272.37344602654139</v>
      </c>
      <c r="CD10" s="59">
        <f ca="1">AVERAGE(OFFSET($CC$3,0,0,'Données projet'!$E$12+1,1))-AVERAGE(OFFSET($H$3,0,0,'Données projet'!$E$12+1,1))</f>
        <v>555.3092253965317</v>
      </c>
      <c r="CE10" s="59">
        <f t="shared" si="40"/>
        <v>292.20785523952651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2.9</v>
      </c>
      <c r="CT10" s="12">
        <f>IF('Données projet'!$A$140&gt;35,CT9+CS10-DB9,IF(A10&lt;'Données projet'!$A$140,$CQ$205^A10,IF(A10='Données projet'!$A$140,'Données projet'!$B$140,CT9+CS10-DB9)))</f>
        <v>10.560356962676241</v>
      </c>
      <c r="CU10" s="17">
        <f>CT10*VLOOKUP('Données projet'!$B$13,Paramètres!$A$1:$I$89,3,0)*VLOOKUP('Données projet'!$B$13,Paramètres!$A$1:$I$89,5,0)</f>
        <v>6.754404313327723</v>
      </c>
      <c r="CV10" s="13">
        <f t="shared" si="41"/>
        <v>2.4921557780580192</v>
      </c>
      <c r="CW10" s="20">
        <f t="shared" si="13"/>
        <v>16.104425492496834</v>
      </c>
      <c r="CX10" s="59">
        <f t="shared" si="14"/>
        <v>281.32664771471906</v>
      </c>
      <c r="CY10" s="59">
        <f ca="1">AVERAGE(OFFSET($CX$3,0,0,'Données projet'!$E$13+1,1))-AVERAGE(OFFSET($H$3,0,0,'Données projet'!$E$13+1,1))</f>
        <v>269.44168853803717</v>
      </c>
      <c r="CZ10" s="59">
        <f t="shared" si="42"/>
        <v>247.65158389074043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6">
        <f t="shared" si="1"/>
        <v>256.66666666666669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3.5</v>
      </c>
      <c r="N11" s="13">
        <f>IF('Données projet'!$A$36&gt;35,N10+M11-V10,IF(A11&lt;'Données projet'!$A$36,$K$205^A11,IF(A11='Données projet'!$A$36,'Données projet'!$B$36,N10+M11-V10)))</f>
        <v>17.189151347155779</v>
      </c>
      <c r="O11" s="13">
        <f>N11*VLOOKUP('Données projet'!$B$9,Paramètres!$A$1:$I$89,3,0)*VLOOKUP('Données projet'!$B$9,Paramètres!$A$1:$I$89,5,0)</f>
        <v>15.01644261687529</v>
      </c>
      <c r="P11" s="13">
        <f t="shared" si="33"/>
        <v>5.0485506745958499</v>
      </c>
      <c r="Q11" s="20">
        <f t="shared" si="2"/>
        <v>34.946529982645565</v>
      </c>
      <c r="R11" s="59">
        <f t="shared" si="0"/>
        <v>301.39097442709004</v>
      </c>
      <c r="S11" s="59">
        <f ca="1">AVERAGE(OFFSET($R$3,0,0,'Données projet'!$E$9+1,1))-AVERAGE(OFFSET($H$3,0,0,'Données projet'!$E$9+1,1))</f>
        <v>381.72225529388083</v>
      </c>
      <c r="T11" s="59">
        <f t="shared" si="34"/>
        <v>360.05900046417361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14</v>
      </c>
      <c r="AI11" s="13">
        <f>IF('Données projet'!$A$62&gt;35,AI10+AH11-AQ10,IF(A11&lt;'Données projet'!$A$62,$AF$205^A11,IF(A11='Données projet'!$A$62,'Données projet'!$B$62,AI10+AH11-AQ10)))</f>
        <v>70</v>
      </c>
      <c r="AJ11" s="13">
        <f>AI11*VLOOKUP('Données projet'!$B$10,Paramètres!$A$1:$I$89,3,0)*VLOOKUP('Données projet'!$B$10,Paramètres!$A$1:$I$89,5,0)</f>
        <v>63.335999999999991</v>
      </c>
      <c r="AK11" s="13">
        <f t="shared" si="35"/>
        <v>18.009040022946227</v>
      </c>
      <c r="AL11" s="20">
        <f t="shared" si="4"/>
        <v>141.67594470663133</v>
      </c>
      <c r="AM11" s="59">
        <f t="shared" si="5"/>
        <v>408.12038915107576</v>
      </c>
      <c r="AN11" s="59">
        <f ca="1">AVERAGE(OFFSET($AM$3,0,0,'Données projet'!$E$10+1,1))-AVERAGE(OFFSET($H$3,0,0,'Données projet'!$E$10+1,1))</f>
        <v>366.43676005661194</v>
      </c>
      <c r="AO11" s="59">
        <f t="shared" si="36"/>
        <v>513.80016421153414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10.169411764705883</v>
      </c>
      <c r="BD11" s="12">
        <f>IF('Données projet'!$A$88&gt;35,BD10+BC11-BL10,IF(A11&lt;'Données projet'!$A$88,$BA$205^A11,IF(A11='Données projet'!$A$88,'Données projet'!$B$88,BD10+BC11-BL10)))</f>
        <v>11.299425283572656</v>
      </c>
      <c r="BE11" s="13">
        <f>BD11*VLOOKUP('Données projet'!$B$11,Paramètres!$A$1:$I$89,3,0)*VLOOKUP('Données projet'!$B$11,Paramètres!$A$1:$I$89,5,0)</f>
        <v>4.9943459753391153</v>
      </c>
      <c r="BF11" s="13">
        <f t="shared" si="37"/>
        <v>1.9086565065102852</v>
      </c>
      <c r="BG11" s="20">
        <f t="shared" si="7"/>
        <v>12.022729322554371</v>
      </c>
      <c r="BH11" s="59">
        <f t="shared" si="8"/>
        <v>278.46717376699883</v>
      </c>
      <c r="BI11" s="59">
        <f ca="1">AVERAGE(OFFSET($BH$3,0,0,'Données projet'!$E$11+1,1))-AVERAGE(OFFSET($H$3,0,0,'Données projet'!$E$11+1,1))</f>
        <v>328.58609979635901</v>
      </c>
      <c r="BJ11" s="59">
        <f t="shared" si="38"/>
        <v>432.3494365423407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4.0628205128205126</v>
      </c>
      <c r="BY11" s="12">
        <f>IF('Données projet'!$A$114&gt;35,BY10+BX11-CG10,IF(A11&lt;'Données projet'!$A$114,$BV$205^A11,IF(A11='Données projet'!$A$114,'Données projet'!$B$114,BY10+BX11-CG10)))</f>
        <v>3.5995900084872572</v>
      </c>
      <c r="BZ11" s="13">
        <f>BY11*VLOOKUP('Données projet'!$B$12,Paramètres!$A$1:$I$89,3,0)*VLOOKUP('Données projet'!$B$12,Paramètres!$A$1:$I$89,5,0)</f>
        <v>3.4253698520764737</v>
      </c>
      <c r="CA11" s="13">
        <f t="shared" si="39"/>
        <v>1.3677905102498957</v>
      </c>
      <c r="CB11" s="20">
        <f t="shared" si="10"/>
        <v>8.3480876310517598</v>
      </c>
      <c r="CC11" s="59">
        <f t="shared" si="11"/>
        <v>274.79253207549624</v>
      </c>
      <c r="CD11" s="59">
        <f ca="1">AVERAGE(OFFSET($CC$3,0,0,'Données projet'!$E$12+1,1))-AVERAGE(OFFSET($H$3,0,0,'Données projet'!$E$12+1,1))</f>
        <v>555.3092253965317</v>
      </c>
      <c r="CE11" s="59">
        <f t="shared" si="40"/>
        <v>292.20785523952651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2.9</v>
      </c>
      <c r="CT11" s="12">
        <f>IF('Données projet'!$A$140&gt;35,CT10+CS11-DB10,IF(A11&lt;'Données projet'!$A$140,$CQ$205^A11,IF(A11='Données projet'!$A$140,'Données projet'!$B$140,CT10+CS11-DB10)))</f>
        <v>14.7883049748087</v>
      </c>
      <c r="CU11" s="17">
        <f>CT11*VLOOKUP('Données projet'!$B$13,Paramètres!$A$1:$I$89,3,0)*VLOOKUP('Données projet'!$B$13,Paramètres!$A$1:$I$89,5,0)</f>
        <v>9.4585998618876435</v>
      </c>
      <c r="CV11" s="13">
        <f t="shared" si="41"/>
        <v>3.3557737500110156</v>
      </c>
      <c r="CW11" s="20">
        <f t="shared" si="13"/>
        <v>22.318367374056834</v>
      </c>
      <c r="CX11" s="59">
        <f t="shared" si="14"/>
        <v>288.76281181850129</v>
      </c>
      <c r="CY11" s="59">
        <f ca="1">AVERAGE(OFFSET($CX$3,0,0,'Données projet'!$E$13+1,1))-AVERAGE(OFFSET($H$3,0,0,'Données projet'!$E$13+1,1))</f>
        <v>269.44168853803717</v>
      </c>
      <c r="CZ11" s="59">
        <f t="shared" si="42"/>
        <v>247.65158389074043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6">
        <f t="shared" si="1"/>
        <v>256.66666666666669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3.5</v>
      </c>
      <c r="N12" s="13">
        <f>IF('Données projet'!$A$36&gt;35,N11+M12-V11,IF(A12&lt;'Données projet'!$A$36,$K$205^A12,IF(A12='Données projet'!$A$36,'Données projet'!$B$36,N11+M12-V11)))</f>
        <v>24.527949305852133</v>
      </c>
      <c r="O12" s="13">
        <f>N12*VLOOKUP('Données projet'!$B$9,Paramètres!$A$1:$I$89,3,0)*VLOOKUP('Données projet'!$B$9,Paramètres!$A$1:$I$89,5,0)</f>
        <v>21.427616513592426</v>
      </c>
      <c r="P12" s="13">
        <f t="shared" si="33"/>
        <v>6.9119497511743733</v>
      </c>
      <c r="Q12" s="20">
        <f t="shared" si="2"/>
        <v>49.358077911135503</v>
      </c>
      <c r="R12" s="59">
        <f t="shared" si="0"/>
        <v>317.02474457780221</v>
      </c>
      <c r="S12" s="59">
        <f ca="1">AVERAGE(OFFSET($R$3,0,0,'Données projet'!$E$9+1,1))-AVERAGE(OFFSET($H$3,0,0,'Données projet'!$E$9+1,1))</f>
        <v>381.72225529388083</v>
      </c>
      <c r="T12" s="59">
        <f t="shared" si="34"/>
        <v>360.05900046417361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14</v>
      </c>
      <c r="AI12" s="13">
        <f>IF('Données projet'!$A$62&gt;35,AI11+AH12-AQ11,IF(A12&lt;'Données projet'!$A$62,$AF$205^A12,IF(A12='Données projet'!$A$62,'Données projet'!$B$62,AI11+AH12-AQ11)))</f>
        <v>84</v>
      </c>
      <c r="AJ12" s="13">
        <f>AI12*VLOOKUP('Données projet'!$B$10,Paramètres!$A$1:$I$89,3,0)*VLOOKUP('Données projet'!$B$10,Paramètres!$A$1:$I$89,5,0)</f>
        <v>76.003200000000007</v>
      </c>
      <c r="AK12" s="13">
        <f t="shared" si="35"/>
        <v>21.157049992000456</v>
      </c>
      <c r="AL12" s="20">
        <f t="shared" si="4"/>
        <v>169.22076873606747</v>
      </c>
      <c r="AM12" s="59">
        <f t="shared" si="5"/>
        <v>436.88743540273413</v>
      </c>
      <c r="AN12" s="59">
        <f ca="1">AVERAGE(OFFSET($AM$3,0,0,'Données projet'!$E$10+1,1))-AVERAGE(OFFSET($H$3,0,0,'Données projet'!$E$10+1,1))</f>
        <v>366.43676005661194</v>
      </c>
      <c r="AO12" s="59">
        <f t="shared" si="36"/>
        <v>513.80016421153414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10.169411764705883</v>
      </c>
      <c r="BD12" s="12">
        <f>IF('Données projet'!$A$88&gt;35,BD11+BC12-BL11,IF(A12&lt;'Données projet'!$A$88,$BA$205^A12,IF(A12='Données projet'!$A$88,'Données projet'!$B$88,BD11+BC12-BL11)))</f>
        <v>15.299893194686335</v>
      </c>
      <c r="BE12" s="13">
        <f>BD12*VLOOKUP('Données projet'!$B$11,Paramètres!$A$1:$I$89,3,0)*VLOOKUP('Données projet'!$B$11,Paramètres!$A$1:$I$89,5,0)</f>
        <v>6.7625527920513617</v>
      </c>
      <c r="BF12" s="13">
        <f t="shared" si="37"/>
        <v>2.4948121561804024</v>
      </c>
      <c r="BG12" s="20">
        <f t="shared" si="7"/>
        <v>16.123243951503657</v>
      </c>
      <c r="BH12" s="59">
        <f t="shared" si="8"/>
        <v>283.78991061817032</v>
      </c>
      <c r="BI12" s="59">
        <f ca="1">AVERAGE(OFFSET($BH$3,0,0,'Données projet'!$E$11+1,1))-AVERAGE(OFFSET($H$3,0,0,'Données projet'!$E$11+1,1))</f>
        <v>328.58609979635901</v>
      </c>
      <c r="BJ12" s="59">
        <f t="shared" si="38"/>
        <v>432.3494365423407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4.0628205128205126</v>
      </c>
      <c r="BY12" s="12">
        <f>IF('Données projet'!$A$114&gt;35,BY11+BX12-CG11,IF(A12&lt;'Données projet'!$A$114,$BV$205^A12,IF(A12='Données projet'!$A$114,'Données projet'!$B$114,BY11+BX12-CG11)))</f>
        <v>4.2245909793472531</v>
      </c>
      <c r="BZ12" s="13">
        <f>BY12*VLOOKUP('Données projet'!$B$12,Paramètres!$A$1:$I$89,3,0)*VLOOKUP('Données projet'!$B$12,Paramètres!$A$1:$I$89,5,0)</f>
        <v>4.0201207759468467</v>
      </c>
      <c r="CA12" s="13">
        <f t="shared" si="39"/>
        <v>1.5756426730640929</v>
      </c>
      <c r="CB12" s="20">
        <f t="shared" si="10"/>
        <v>9.7459546736940528</v>
      </c>
      <c r="CC12" s="59">
        <f t="shared" si="11"/>
        <v>277.41262134036072</v>
      </c>
      <c r="CD12" s="59">
        <f ca="1">AVERAGE(OFFSET($CC$3,0,0,'Données projet'!$E$12+1,1))-AVERAGE(OFFSET($H$3,0,0,'Données projet'!$E$12+1,1))</f>
        <v>555.3092253965317</v>
      </c>
      <c r="CE12" s="59">
        <f t="shared" si="40"/>
        <v>292.20785523952651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2.9</v>
      </c>
      <c r="CT12" s="12">
        <f>IF('Données projet'!$A$140&gt;35,CT11+CS12-DB11,IF(A12&lt;'Données projet'!$A$140,$CQ$205^A12,IF(A12='Données projet'!$A$140,'Données projet'!$B$140,CT11+CS12-DB11)))</f>
        <v>20.708955653761308</v>
      </c>
      <c r="CU12" s="17">
        <f>CT12*VLOOKUP('Données projet'!$B$13,Paramètres!$A$1:$I$89,3,0)*VLOOKUP('Données projet'!$B$13,Paramètres!$A$1:$I$89,5,0)</f>
        <v>13.245448036145733</v>
      </c>
      <c r="CV12" s="13">
        <f t="shared" si="41"/>
        <v>4.5186651494306522</v>
      </c>
      <c r="CW12" s="20">
        <f t="shared" si="13"/>
        <v>30.939163798212203</v>
      </c>
      <c r="CX12" s="59">
        <f t="shared" si="14"/>
        <v>298.60583046487886</v>
      </c>
      <c r="CY12" s="59">
        <f ca="1">AVERAGE(OFFSET($CX$3,0,0,'Données projet'!$E$13+1,1))-AVERAGE(OFFSET($H$3,0,0,'Données projet'!$E$13+1,1))</f>
        <v>269.44168853803717</v>
      </c>
      <c r="CZ12" s="59">
        <f t="shared" si="42"/>
        <v>247.65158389074043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6">
        <f t="shared" si="1"/>
        <v>256.66666666666669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>
        <f>VLOOKUP(A13,'Données projet'!$A$35:$I$55,2,0)</f>
        <v>35</v>
      </c>
      <c r="L13" s="12">
        <f>VLOOKUP(A13,'Données projet'!$A$35:$I$55,9,0)</f>
        <v>3.5</v>
      </c>
      <c r="M13" s="12">
        <f t="array" ref="M13">INDEX(L:L,MIN(IF(ISNUMBER(L13:L209),ROW(L13:L209),"")))</f>
        <v>3.5</v>
      </c>
      <c r="N13" s="13">
        <f>IF('Données projet'!$A$36&gt;35,N12+M13-V12,IF(A13&lt;'Données projet'!$A$36,$K$205^A13,IF(A13='Données projet'!$A$36,'Données projet'!$B$36,N12+M13-V12)))</f>
        <v>35</v>
      </c>
      <c r="O13" s="13">
        <f>N13*VLOOKUP('Données projet'!$B$9,Paramètres!$A$1:$I$89,3,0)*VLOOKUP('Données projet'!$B$9,Paramètres!$A$1:$I$89,5,0)</f>
        <v>30.576000000000004</v>
      </c>
      <c r="P13" s="13">
        <f t="shared" si="33"/>
        <v>9.4631216842413863</v>
      </c>
      <c r="Q13" s="20">
        <f t="shared" si="2"/>
        <v>69.734803600053766</v>
      </c>
      <c r="R13" s="59">
        <f t="shared" si="0"/>
        <v>338.62369248894265</v>
      </c>
      <c r="S13" s="59">
        <f ca="1">AVERAGE(OFFSET($R$3,0,0,'Données projet'!$E$9+1,1))-AVERAGE(OFFSET($H$3,0,0,'Données projet'!$E$9+1,1))</f>
        <v>381.72225529388083</v>
      </c>
      <c r="T13" s="59">
        <f t="shared" si="34"/>
        <v>360.05900046417361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>
        <f>VLOOKUP(A13,'Données projet'!$A$61:$I$81,2,0)</f>
        <v>98</v>
      </c>
      <c r="AG13" s="12">
        <f>VLOOKUP(A13,'Données projet'!$A$61:$I$81,9,0)</f>
        <v>14</v>
      </c>
      <c r="AH13" s="12">
        <f t="array" ref="AH13">INDEX(AG:AG,MIN(IF(ISNUMBER(AG13:AG209),ROW(AG13:AG209),"")))</f>
        <v>14</v>
      </c>
      <c r="AI13" s="13">
        <f>IF('Données projet'!$A$62&gt;35,AI12+AH13-AQ12,IF(A13&lt;'Données projet'!$A$62,$AF$205^A13,IF(A13='Données projet'!$A$62,'Données projet'!$B$62,AI12+AH13-AQ12)))</f>
        <v>98</v>
      </c>
      <c r="AJ13" s="13">
        <f>AI13*VLOOKUP('Données projet'!$B$10,Paramètres!$A$1:$I$89,3,0)*VLOOKUP('Données projet'!$B$10,Paramètres!$A$1:$I$89,5,0)</f>
        <v>88.670400000000001</v>
      </c>
      <c r="AK13" s="13">
        <f t="shared" si="35"/>
        <v>24.244280250395512</v>
      </c>
      <c r="AL13" s="20">
        <f t="shared" si="4"/>
        <v>196.65973476943884</v>
      </c>
      <c r="AM13" s="59">
        <f t="shared" si="5"/>
        <v>465.5486236583277</v>
      </c>
      <c r="AN13" s="59">
        <f ca="1">AVERAGE(OFFSET($AM$3,0,0,'Données projet'!$E$10+1,1))-AVERAGE(OFFSET($H$3,0,0,'Données projet'!$E$10+1,1))</f>
        <v>366.43676005661194</v>
      </c>
      <c r="AO13" s="59">
        <f t="shared" si="36"/>
        <v>513.80016421153414</v>
      </c>
      <c r="AP13" s="15">
        <f>IF(ISNA(VLOOKUP(A13,'Données projet'!$A$61:$I$81,3,0)),0,VLOOKUP(A13,'Données projet'!$A$61:$I$81,3,0))</f>
        <v>2</v>
      </c>
      <c r="AQ13" s="15">
        <f>IF(ISNA(VLOOKUP(A13,'Données projet'!$A$61:$I$81,4,0)),0,VLOOKUP(A13,'Données projet'!$A$61:$I$81,4,0))</f>
        <v>28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10.169411764705883</v>
      </c>
      <c r="BD13" s="12">
        <f>IF('Données projet'!$A$88&gt;35,BD12+BC13-BL12,IF(A13&lt;'Données projet'!$A$88,$BA$205^A13,IF(A13='Données projet'!$A$88,'Données projet'!$B$88,BD12+BC13-BL12)))</f>
        <v>20.716693627695339</v>
      </c>
      <c r="BE13" s="13">
        <f>BD13*VLOOKUP('Données projet'!$B$11,Paramètres!$A$1:$I$89,3,0)*VLOOKUP('Données projet'!$B$11,Paramètres!$A$1:$I$89,5,0)</f>
        <v>9.1567785834413407</v>
      </c>
      <c r="BF13" s="13">
        <f t="shared" si="37"/>
        <v>3.2609784282271903</v>
      </c>
      <c r="BG13" s="20">
        <f t="shared" si="7"/>
        <v>21.62759346198936</v>
      </c>
      <c r="BH13" s="59">
        <f t="shared" si="8"/>
        <v>290.51648235087822</v>
      </c>
      <c r="BI13" s="59">
        <f ca="1">AVERAGE(OFFSET($BH$3,0,0,'Données projet'!$E$11+1,1))-AVERAGE(OFFSET($H$3,0,0,'Données projet'!$E$11+1,1))</f>
        <v>328.58609979635901</v>
      </c>
      <c r="BJ13" s="59">
        <f t="shared" si="38"/>
        <v>432.3494365423407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4.0628205128205126</v>
      </c>
      <c r="BY13" s="12">
        <f>IF('Données projet'!$A$114&gt;35,BY12+BX13-CG12,IF(A13&lt;'Données projet'!$A$114,$BV$205^A13,IF(A13='Données projet'!$A$114,'Données projet'!$B$114,BY12+BX13-CG12)))</f>
        <v>4.9581115906815549</v>
      </c>
      <c r="BZ13" s="13">
        <f>BY13*VLOOKUP('Données projet'!$B$12,Paramètres!$A$1:$I$89,3,0)*VLOOKUP('Données projet'!$B$12,Paramètres!$A$1:$I$89,5,0)</f>
        <v>4.7181389896925676</v>
      </c>
      <c r="CA13" s="13">
        <f t="shared" si="39"/>
        <v>1.8150804634015034</v>
      </c>
      <c r="CB13" s="20">
        <f t="shared" si="10"/>
        <v>11.378690547472175</v>
      </c>
      <c r="CC13" s="59">
        <f t="shared" si="11"/>
        <v>280.26757943636102</v>
      </c>
      <c r="CD13" s="59">
        <f ca="1">AVERAGE(OFFSET($CC$3,0,0,'Données projet'!$E$12+1,1))-AVERAGE(OFFSET($H$3,0,0,'Données projet'!$E$12+1,1))</f>
        <v>555.3092253965317</v>
      </c>
      <c r="CE13" s="59">
        <f t="shared" si="40"/>
        <v>292.20785523952651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>
        <f>VLOOKUP(A13,'Données projet'!$A$139:$I$159,2,0)</f>
        <v>29</v>
      </c>
      <c r="CR13" s="12">
        <f>VLOOKUP(A13,'Données projet'!$A$139:$I$159,9,0)</f>
        <v>2.9</v>
      </c>
      <c r="CS13" s="12">
        <f t="array" ref="CS13">INDEX(CR:CR,MIN(IF(ISNUMBER(CR13:CR209),ROW(CR13:CR209),"")))</f>
        <v>2.9</v>
      </c>
      <c r="CT13" s="12">
        <f>IF('Données projet'!$A$140&gt;35,CT12+CS13-DB12,IF(A13&lt;'Données projet'!$A$140,$CQ$205^A13,IF(A13='Données projet'!$A$140,'Données projet'!$B$140,CT12+CS13-DB12)))</f>
        <v>29</v>
      </c>
      <c r="CU13" s="17">
        <f>CT13*VLOOKUP('Données projet'!$B$13,Paramètres!$A$1:$I$89,3,0)*VLOOKUP('Données projet'!$B$13,Paramètres!$A$1:$I$89,5,0)</f>
        <v>18.548399999999997</v>
      </c>
      <c r="CV13" s="13">
        <f t="shared" si="41"/>
        <v>6.0845385457264758</v>
      </c>
      <c r="CW13" s="20">
        <f t="shared" si="13"/>
        <v>42.902367967140272</v>
      </c>
      <c r="CX13" s="59">
        <f t="shared" si="14"/>
        <v>311.79125685602912</v>
      </c>
      <c r="CY13" s="59">
        <f ca="1">AVERAGE(OFFSET($CX$3,0,0,'Données projet'!$E$13+1,1))-AVERAGE(OFFSET($H$3,0,0,'Données projet'!$E$13+1,1))</f>
        <v>269.44168853803717</v>
      </c>
      <c r="CZ13" s="59">
        <f t="shared" si="42"/>
        <v>247.65158389074043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6">
        <f t="shared" si="1"/>
        <v>256.66666666666669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10.6</v>
      </c>
      <c r="N14" s="13">
        <f>IF('Données projet'!$A$36&gt;35,N13+M14-V13,IF(A14&lt;'Données projet'!$A$36,$K$205^A14,IF(A14='Données projet'!$A$36,'Données projet'!$B$36,N13+M14-V13)))</f>
        <v>45.6</v>
      </c>
      <c r="O14" s="13">
        <f>N14*VLOOKUP('Données projet'!$B$9,Paramètres!$A$1:$I$89,3,0)*VLOOKUP('Données projet'!$B$9,Paramètres!$A$1:$I$89,5,0)</f>
        <v>39.836160000000007</v>
      </c>
      <c r="P14" s="13">
        <f t="shared" si="33"/>
        <v>11.955210728675533</v>
      </c>
      <c r="Q14" s="20">
        <f t="shared" si="2"/>
        <v>90.203304019109893</v>
      </c>
      <c r="R14" s="59">
        <f t="shared" si="0"/>
        <v>360.31441513022105</v>
      </c>
      <c r="S14" s="59">
        <f ca="1">AVERAGE(OFFSET($R$3,0,0,'Données projet'!$E$9+1,1))-AVERAGE(OFFSET($H$3,0,0,'Données projet'!$E$9+1,1))</f>
        <v>381.72225529388083</v>
      </c>
      <c r="T14" s="59">
        <f t="shared" si="34"/>
        <v>360.05900046417361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14</v>
      </c>
      <c r="AI14" s="13">
        <f>IF('Données projet'!$A$62&gt;35,AI13+AH14-AQ13,IF(A14&lt;'Données projet'!$A$62,$AF$205^A14,IF(A14='Données projet'!$A$62,'Données projet'!$B$62,AI13+AH14-AQ13)))</f>
        <v>84</v>
      </c>
      <c r="AJ14" s="13">
        <f>AI14*VLOOKUP('Données projet'!$B$10,Paramètres!$A$1:$I$89,3,0)*VLOOKUP('Données projet'!$B$10,Paramètres!$A$1:$I$89,5,0)</f>
        <v>76.003200000000007</v>
      </c>
      <c r="AK14" s="13">
        <f t="shared" si="35"/>
        <v>21.157049992000456</v>
      </c>
      <c r="AL14" s="20">
        <f t="shared" si="4"/>
        <v>169.22076873606747</v>
      </c>
      <c r="AM14" s="59">
        <f t="shared" si="5"/>
        <v>439.33187984717858</v>
      </c>
      <c r="AN14" s="59">
        <f ca="1">AVERAGE(OFFSET($AM$3,0,0,'Données projet'!$E$10+1,1))-AVERAGE(OFFSET($H$3,0,0,'Données projet'!$E$10+1,1))</f>
        <v>366.43676005661194</v>
      </c>
      <c r="AO14" s="59">
        <f t="shared" si="36"/>
        <v>513.80016421153414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10.169411764705883</v>
      </c>
      <c r="BD14" s="12">
        <f>IF('Données projet'!$A$88&gt;35,BD13+BC14-BL13,IF(A14&lt;'Données projet'!$A$88,$BA$205^A14,IF(A14='Données projet'!$A$88,'Données projet'!$B$88,BD13+BC14-BL13)))</f>
        <v>28.051267378313966</v>
      </c>
      <c r="BE14" s="13">
        <f>BD14*VLOOKUP('Données projet'!$B$11,Paramètres!$A$1:$I$89,3,0)*VLOOKUP('Données projet'!$B$11,Paramètres!$A$1:$I$89,5,0)</f>
        <v>12.398660181214774</v>
      </c>
      <c r="BF14" s="13">
        <f t="shared" si="37"/>
        <v>4.2624372672786199</v>
      </c>
      <c r="BG14" s="20">
        <f t="shared" si="7"/>
        <v>29.01807805612599</v>
      </c>
      <c r="BH14" s="59">
        <f t="shared" si="8"/>
        <v>299.12918916723714</v>
      </c>
      <c r="BI14" s="59">
        <f ca="1">AVERAGE(OFFSET($BH$3,0,0,'Données projet'!$E$11+1,1))-AVERAGE(OFFSET($H$3,0,0,'Données projet'!$E$11+1,1))</f>
        <v>328.58609979635901</v>
      </c>
      <c r="BJ14" s="59">
        <f t="shared" si="38"/>
        <v>432.3494365423407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4.0628205128205126</v>
      </c>
      <c r="BY14" s="12">
        <f>IF('Données projet'!$A$114&gt;35,BY13+BX14-CG13,IF(A14&lt;'Données projet'!$A$114,$BV$205^A14,IF(A14='Données projet'!$A$114,'Données projet'!$B$114,BY13+BX14-CG13)))</f>
        <v>5.8189942330107201</v>
      </c>
      <c r="BZ14" s="13">
        <f>BY14*VLOOKUP('Données projet'!$B$12,Paramètres!$A$1:$I$89,3,0)*VLOOKUP('Données projet'!$B$12,Paramètres!$A$1:$I$89,5,0)</f>
        <v>5.5373549121330017</v>
      </c>
      <c r="CA14" s="13">
        <f t="shared" si="39"/>
        <v>2.0909036959598799</v>
      </c>
      <c r="CB14" s="20">
        <f t="shared" si="10"/>
        <v>13.285883742428437</v>
      </c>
      <c r="CC14" s="59">
        <f t="shared" si="11"/>
        <v>283.39699485353958</v>
      </c>
      <c r="CD14" s="59">
        <f ca="1">AVERAGE(OFFSET($CC$3,0,0,'Données projet'!$E$12+1,1))-AVERAGE(OFFSET($H$3,0,0,'Données projet'!$E$12+1,1))</f>
        <v>555.3092253965317</v>
      </c>
      <c r="CE14" s="59">
        <f t="shared" si="40"/>
        <v>292.20785523952651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8.8000000000000007</v>
      </c>
      <c r="CT14" s="12">
        <f>IF('Données projet'!$A$140&gt;35,CT13+CS14-DB13,IF(A14&lt;'Données projet'!$A$140,$CQ$205^A14,IF(A14='Données projet'!$A$140,'Données projet'!$B$140,CT13+CS14-DB13)))</f>
        <v>37.799999999999997</v>
      </c>
      <c r="CU14" s="17">
        <f>CT14*VLOOKUP('Données projet'!$B$13,Paramètres!$A$1:$I$89,3,0)*VLOOKUP('Données projet'!$B$13,Paramètres!$A$1:$I$89,5,0)</f>
        <v>24.176879999999997</v>
      </c>
      <c r="CV14" s="13">
        <f t="shared" si="41"/>
        <v>7.689967956066222</v>
      </c>
      <c r="CW14" s="20">
        <f t="shared" si="13"/>
        <v>55.501426856815328</v>
      </c>
      <c r="CX14" s="59">
        <f t="shared" si="14"/>
        <v>325.61253796792647</v>
      </c>
      <c r="CY14" s="59">
        <f ca="1">AVERAGE(OFFSET($CX$3,0,0,'Données projet'!$E$13+1,1))-AVERAGE(OFFSET($H$3,0,0,'Données projet'!$E$13+1,1))</f>
        <v>269.44168853803717</v>
      </c>
      <c r="CZ14" s="59">
        <f t="shared" si="42"/>
        <v>247.65158389074043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6">
        <f t="shared" si="1"/>
        <v>256.66666666666669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10.6</v>
      </c>
      <c r="N15" s="13">
        <f>IF('Données projet'!$A$36&gt;35,N14+M15-V14,IF(A15&lt;'Données projet'!$A$36,$K$205^A15,IF(A15='Données projet'!$A$36,'Données projet'!$B$36,N14+M15-V14)))</f>
        <v>56.2</v>
      </c>
      <c r="O15" s="13">
        <f>N15*VLOOKUP('Données projet'!$B$9,Paramètres!$A$1:$I$89,3,0)*VLOOKUP('Données projet'!$B$9,Paramètres!$A$1:$I$89,5,0)</f>
        <v>49.096320000000006</v>
      </c>
      <c r="P15" s="13">
        <f t="shared" si="33"/>
        <v>14.380133207801931</v>
      </c>
      <c r="Q15" s="20">
        <f t="shared" si="2"/>
        <v>110.55482267025504</v>
      </c>
      <c r="R15" s="59">
        <f t="shared" si="0"/>
        <v>381.88815600358834</v>
      </c>
      <c r="S15" s="59">
        <f ca="1">AVERAGE(OFFSET($R$3,0,0,'Données projet'!$E$9+1,1))-AVERAGE(OFFSET($H$3,0,0,'Données projet'!$E$9+1,1))</f>
        <v>381.72225529388083</v>
      </c>
      <c r="T15" s="59">
        <f t="shared" si="34"/>
        <v>360.05900046417361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14</v>
      </c>
      <c r="AI15" s="13">
        <f>IF('Données projet'!$A$62&gt;35,AI14+AH15-AQ14,IF(A15&lt;'Données projet'!$A$62,$AF$205^A15,IF(A15='Données projet'!$A$62,'Données projet'!$B$62,AI14+AH15-AQ14)))</f>
        <v>98</v>
      </c>
      <c r="AJ15" s="13">
        <f>AI15*VLOOKUP('Données projet'!$B$10,Paramètres!$A$1:$I$89,3,0)*VLOOKUP('Données projet'!$B$10,Paramètres!$A$1:$I$89,5,0)</f>
        <v>88.670400000000001</v>
      </c>
      <c r="AK15" s="13">
        <f t="shared" si="35"/>
        <v>24.244280250395512</v>
      </c>
      <c r="AL15" s="20">
        <f t="shared" si="4"/>
        <v>196.65973476943884</v>
      </c>
      <c r="AM15" s="59">
        <f t="shared" si="5"/>
        <v>467.99306810277216</v>
      </c>
      <c r="AN15" s="59">
        <f ca="1">AVERAGE(OFFSET($AM$3,0,0,'Données projet'!$E$10+1,1))-AVERAGE(OFFSET($H$3,0,0,'Données projet'!$E$10+1,1))</f>
        <v>366.43676005661194</v>
      </c>
      <c r="AO15" s="59">
        <f t="shared" si="36"/>
        <v>513.80016421153414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10.169411764705883</v>
      </c>
      <c r="BD15" s="12">
        <f>IF('Données projet'!$A$88&gt;35,BD14+BC15-BL14,IF(A15&lt;'Données projet'!$A$88,$BA$205^A15,IF(A15='Données projet'!$A$88,'Données projet'!$B$88,BD14+BC15-BL14)))</f>
        <v>37.982586201773081</v>
      </c>
      <c r="BE15" s="13">
        <f>BD15*VLOOKUP('Données projet'!$B$11,Paramètres!$A$1:$I$89,3,0)*VLOOKUP('Données projet'!$B$11,Paramètres!$A$1:$I$89,5,0)</f>
        <v>16.788303101183704</v>
      </c>
      <c r="BF15" s="13">
        <f t="shared" si="37"/>
        <v>5.5714479127550538</v>
      </c>
      <c r="BG15" s="20">
        <f t="shared" si="7"/>
        <v>38.943233015943342</v>
      </c>
      <c r="BH15" s="59">
        <f t="shared" si="8"/>
        <v>310.27656634927666</v>
      </c>
      <c r="BI15" s="59">
        <f ca="1">AVERAGE(OFFSET($BH$3,0,0,'Données projet'!$E$11+1,1))-AVERAGE(OFFSET($H$3,0,0,'Données projet'!$E$11+1,1))</f>
        <v>328.58609979635901</v>
      </c>
      <c r="BJ15" s="59">
        <f t="shared" si="38"/>
        <v>432.3494365423407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4.0628205128205126</v>
      </c>
      <c r="BY15" s="12">
        <f>IF('Données projet'!$A$114&gt;35,BY14+BX15-CG14,IF(A15&lt;'Données projet'!$A$114,$BV$205^A15,IF(A15='Données projet'!$A$114,'Données projet'!$B$114,BY14+BX15-CG14)))</f>
        <v>6.8293529228851897</v>
      </c>
      <c r="BZ15" s="13">
        <f>BY15*VLOOKUP('Données projet'!$B$12,Paramètres!$A$1:$I$89,3,0)*VLOOKUP('Données projet'!$B$12,Paramètres!$A$1:$I$89,5,0)</f>
        <v>6.4988122414175455</v>
      </c>
      <c r="CA15" s="13">
        <f t="shared" si="39"/>
        <v>2.408641574812437</v>
      </c>
      <c r="CB15" s="20">
        <f t="shared" si="10"/>
        <v>15.513815396600551</v>
      </c>
      <c r="CC15" s="59">
        <f t="shared" si="11"/>
        <v>286.84714872993385</v>
      </c>
      <c r="CD15" s="59">
        <f ca="1">AVERAGE(OFFSET($CC$3,0,0,'Données projet'!$E$12+1,1))-AVERAGE(OFFSET($H$3,0,0,'Données projet'!$E$12+1,1))</f>
        <v>555.3092253965317</v>
      </c>
      <c r="CE15" s="59">
        <f t="shared" si="40"/>
        <v>292.20785523952651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8.8000000000000007</v>
      </c>
      <c r="CT15" s="12">
        <f>IF('Données projet'!$A$140&gt;35,CT14+CS15-DB14,IF(A15&lt;'Données projet'!$A$140,$CQ$205^A15,IF(A15='Données projet'!$A$140,'Données projet'!$B$140,CT14+CS15-DB14)))</f>
        <v>46.599999999999994</v>
      </c>
      <c r="CU15" s="17">
        <f>CT15*VLOOKUP('Données projet'!$B$13,Paramètres!$A$1:$I$89,3,0)*VLOOKUP('Données projet'!$B$13,Paramètres!$A$1:$I$89,5,0)</f>
        <v>29.805359999999997</v>
      </c>
      <c r="CV15" s="13">
        <f t="shared" si="41"/>
        <v>9.2520627957774852</v>
      </c>
      <c r="CW15" s="20">
        <f t="shared" si="13"/>
        <v>68.025011369312452</v>
      </c>
      <c r="CX15" s="59">
        <f t="shared" si="14"/>
        <v>339.35834470264575</v>
      </c>
      <c r="CY15" s="59">
        <f ca="1">AVERAGE(OFFSET($CX$3,0,0,'Données projet'!$E$13+1,1))-AVERAGE(OFFSET($H$3,0,0,'Données projet'!$E$13+1,1))</f>
        <v>269.44168853803717</v>
      </c>
      <c r="CZ15" s="59">
        <f t="shared" si="42"/>
        <v>247.65158389074043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6">
        <f t="shared" si="1"/>
        <v>256.66666666666669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10.6</v>
      </c>
      <c r="N16" s="13">
        <f>IF('Données projet'!$A$36&gt;35,N15+M16-V15,IF(A16&lt;'Données projet'!$A$36,$K$205^A16,IF(A16='Données projet'!$A$36,'Données projet'!$B$36,N15+M16-V15)))</f>
        <v>66.8</v>
      </c>
      <c r="O16" s="13">
        <f>N16*VLOOKUP('Données projet'!$B$9,Paramètres!$A$1:$I$89,3,0)*VLOOKUP('Données projet'!$B$9,Paramètres!$A$1:$I$89,5,0)</f>
        <v>58.356480000000005</v>
      </c>
      <c r="P16" s="13">
        <f t="shared" si="33"/>
        <v>16.75206628947662</v>
      </c>
      <c r="Q16" s="20">
        <f t="shared" si="2"/>
        <v>130.81405145417179</v>
      </c>
      <c r="R16" s="59">
        <f t="shared" si="0"/>
        <v>403.36960700972736</v>
      </c>
      <c r="S16" s="59">
        <f ca="1">AVERAGE(OFFSET($R$3,0,0,'Données projet'!$E$9+1,1))-AVERAGE(OFFSET($H$3,0,0,'Données projet'!$E$9+1,1))</f>
        <v>381.72225529388083</v>
      </c>
      <c r="T16" s="59">
        <f t="shared" si="34"/>
        <v>360.05900046417361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14</v>
      </c>
      <c r="AI16" s="13">
        <f>IF('Données projet'!$A$62&gt;35,AI15+AH16-AQ15,IF(A16&lt;'Données projet'!$A$62,$AF$205^A16,IF(A16='Données projet'!$A$62,'Données projet'!$B$62,AI15+AH16-AQ15)))</f>
        <v>112</v>
      </c>
      <c r="AJ16" s="13">
        <f>AI16*VLOOKUP('Données projet'!$B$10,Paramètres!$A$1:$I$89,3,0)*VLOOKUP('Données projet'!$B$10,Paramètres!$A$1:$I$89,5,0)</f>
        <v>101.33759999999999</v>
      </c>
      <c r="AK16" s="13">
        <f t="shared" si="35"/>
        <v>27.280415454305565</v>
      </c>
      <c r="AL16" s="20">
        <f t="shared" si="4"/>
        <v>224.00971024958213</v>
      </c>
      <c r="AM16" s="59">
        <f t="shared" si="5"/>
        <v>496.56526580513764</v>
      </c>
      <c r="AN16" s="59">
        <f ca="1">AVERAGE(OFFSET($AM$3,0,0,'Données projet'!$E$10+1,1))-AVERAGE(OFFSET($H$3,0,0,'Données projet'!$E$10+1,1))</f>
        <v>366.43676005661194</v>
      </c>
      <c r="AO16" s="59">
        <f t="shared" si="36"/>
        <v>513.80016421153414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10.169411764705883</v>
      </c>
      <c r="BD16" s="12">
        <f>IF('Données projet'!$A$88&gt;35,BD15+BC16-BL15,IF(A16&lt;'Données projet'!$A$88,$BA$205^A16,IF(A16='Données projet'!$A$88,'Données projet'!$B$88,BD15+BC16-BL15)))</f>
        <v>51.430006178274702</v>
      </c>
      <c r="BE16" s="13">
        <f>BD16*VLOOKUP('Données projet'!$B$11,Paramètres!$A$1:$I$89,3,0)*VLOOKUP('Données projet'!$B$11,Paramètres!$A$1:$I$89,5,0)</f>
        <v>22.732062730797423</v>
      </c>
      <c r="BF16" s="13">
        <f t="shared" si="37"/>
        <v>7.2824606904680556</v>
      </c>
      <c r="BG16" s="20">
        <f t="shared" si="7"/>
        <v>52.275294958704045</v>
      </c>
      <c r="BH16" s="59">
        <f t="shared" si="8"/>
        <v>324.83085051425957</v>
      </c>
      <c r="BI16" s="59">
        <f ca="1">AVERAGE(OFFSET($BH$3,0,0,'Données projet'!$E$11+1,1))-AVERAGE(OFFSET($H$3,0,0,'Données projet'!$E$11+1,1))</f>
        <v>328.58609979635901</v>
      </c>
      <c r="BJ16" s="59">
        <f t="shared" si="38"/>
        <v>432.3494365423407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4.0628205128205126</v>
      </c>
      <c r="BY16" s="12">
        <f>IF('Données projet'!$A$114&gt;35,BY15+BX16-CG15,IF(A16&lt;'Données projet'!$A$114,$BV$205^A16,IF(A16='Données projet'!$A$114,'Données projet'!$B$114,BY15+BX16-CG15)))</f>
        <v>8.0151413590917304</v>
      </c>
      <c r="BZ16" s="13">
        <f>BY16*VLOOKUP('Données projet'!$B$12,Paramètres!$A$1:$I$89,3,0)*VLOOKUP('Données projet'!$B$12,Paramètres!$A$1:$I$89,5,0)</f>
        <v>7.6272085173116917</v>
      </c>
      <c r="CA16" s="13">
        <f t="shared" si="39"/>
        <v>2.7746635328661533</v>
      </c>
      <c r="CB16" s="20">
        <f t="shared" si="10"/>
        <v>18.116593820726411</v>
      </c>
      <c r="CC16" s="59">
        <f t="shared" si="11"/>
        <v>290.67214937628194</v>
      </c>
      <c r="CD16" s="59">
        <f ca="1">AVERAGE(OFFSET($CC$3,0,0,'Données projet'!$E$12+1,1))-AVERAGE(OFFSET($H$3,0,0,'Données projet'!$E$12+1,1))</f>
        <v>555.3092253965317</v>
      </c>
      <c r="CE16" s="59">
        <f t="shared" si="40"/>
        <v>292.20785523952651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8.8000000000000007</v>
      </c>
      <c r="CT16" s="12">
        <f>IF('Données projet'!$A$140&gt;35,CT15+CS16-DB15,IF(A16&lt;'Données projet'!$A$140,$CQ$205^A16,IF(A16='Données projet'!$A$140,'Données projet'!$B$140,CT15+CS16-DB15)))</f>
        <v>55.399999999999991</v>
      </c>
      <c r="CU16" s="17">
        <f>CT16*VLOOKUP('Données projet'!$B$13,Paramètres!$A$1:$I$89,3,0)*VLOOKUP('Données projet'!$B$13,Paramètres!$A$1:$I$89,5,0)</f>
        <v>35.433839999999996</v>
      </c>
      <c r="CV16" s="13">
        <f t="shared" si="41"/>
        <v>10.779981210767136</v>
      </c>
      <c r="CW16" s="20">
        <f t="shared" si="13"/>
        <v>80.489071942086085</v>
      </c>
      <c r="CX16" s="59">
        <f t="shared" si="14"/>
        <v>353.04462749764161</v>
      </c>
      <c r="CY16" s="59">
        <f ca="1">AVERAGE(OFFSET($CX$3,0,0,'Données projet'!$E$13+1,1))-AVERAGE(OFFSET($H$3,0,0,'Données projet'!$E$13+1,1))</f>
        <v>269.44168853803717</v>
      </c>
      <c r="CZ16" s="59">
        <f t="shared" si="42"/>
        <v>247.65158389074043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6">
        <f t="shared" si="1"/>
        <v>256.66666666666669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10.6</v>
      </c>
      <c r="N17" s="13">
        <f>IF('Données projet'!$A$36&gt;35,N16+M17-V16,IF(A17&lt;'Données projet'!$A$36,$K$205^A17,IF(A17='Données projet'!$A$36,'Données projet'!$B$36,N16+M17-V16)))</f>
        <v>77.399999999999991</v>
      </c>
      <c r="O17" s="13">
        <f>N17*VLOOKUP('Données projet'!$B$9,Paramètres!$A$1:$I$89,3,0)*VLOOKUP('Données projet'!$B$9,Paramètres!$A$1:$I$89,5,0)</f>
        <v>67.616640000000004</v>
      </c>
      <c r="P17" s="13">
        <f t="shared" si="33"/>
        <v>19.080397298873443</v>
      </c>
      <c r="Q17" s="20">
        <f t="shared" si="2"/>
        <v>150.99733996220459</v>
      </c>
      <c r="R17" s="59">
        <f t="shared" si="0"/>
        <v>424.77511773998236</v>
      </c>
      <c r="S17" s="59">
        <f ca="1">AVERAGE(OFFSET($R$3,0,0,'Données projet'!$E$9+1,1))-AVERAGE(OFFSET($H$3,0,0,'Données projet'!$E$9+1,1))</f>
        <v>381.72225529388083</v>
      </c>
      <c r="T17" s="59">
        <f t="shared" si="34"/>
        <v>360.05900046417361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14</v>
      </c>
      <c r="AI17" s="13">
        <f>IF('Données projet'!$A$62&gt;35,AI16+AH17-AQ16,IF(A17&lt;'Données projet'!$A$62,$AF$205^A17,IF(A17='Données projet'!$A$62,'Données projet'!$B$62,AI16+AH17-AQ16)))</f>
        <v>126</v>
      </c>
      <c r="AJ17" s="13">
        <f>AI17*VLOOKUP('Données projet'!$B$10,Paramètres!$A$1:$I$89,3,0)*VLOOKUP('Données projet'!$B$10,Paramètres!$A$1:$I$89,5,0)</f>
        <v>114.0048</v>
      </c>
      <c r="AK17" s="13">
        <f t="shared" si="35"/>
        <v>30.272573949217303</v>
      </c>
      <c r="AL17" s="20">
        <f t="shared" si="4"/>
        <v>251.28309296155342</v>
      </c>
      <c r="AM17" s="59">
        <f t="shared" si="5"/>
        <v>525.06087073933122</v>
      </c>
      <c r="AN17" s="59">
        <f ca="1">AVERAGE(OFFSET($AM$3,0,0,'Données projet'!$E$10+1,1))-AVERAGE(OFFSET($H$3,0,0,'Données projet'!$E$10+1,1))</f>
        <v>366.43676005661194</v>
      </c>
      <c r="AO17" s="59">
        <f t="shared" si="36"/>
        <v>513.80016421153414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10.169411764705883</v>
      </c>
      <c r="BD17" s="12">
        <f>IF('Données projet'!$A$88&gt;35,BD16+BC17-BL16,IF(A17&lt;'Données projet'!$A$88,$BA$205^A17,IF(A17='Données projet'!$A$88,'Données projet'!$B$88,BD16+BC17-BL16)))</f>
        <v>69.638373791774598</v>
      </c>
      <c r="BE17" s="13">
        <f>BD17*VLOOKUP('Données projet'!$B$11,Paramètres!$A$1:$I$89,3,0)*VLOOKUP('Données projet'!$B$11,Paramètres!$A$1:$I$89,5,0)</f>
        <v>30.780161215964377</v>
      </c>
      <c r="BF17" s="13">
        <f t="shared" si="37"/>
        <v>9.5189319793869007</v>
      </c>
      <c r="BG17" s="20">
        <f t="shared" si="7"/>
        <v>70.187587315236797</v>
      </c>
      <c r="BH17" s="59">
        <f t="shared" si="8"/>
        <v>343.96536509301455</v>
      </c>
      <c r="BI17" s="59">
        <f ca="1">AVERAGE(OFFSET($BH$3,0,0,'Données projet'!$E$11+1,1))-AVERAGE(OFFSET($H$3,0,0,'Données projet'!$E$11+1,1))</f>
        <v>328.58609979635901</v>
      </c>
      <c r="BJ17" s="59">
        <f t="shared" si="38"/>
        <v>432.3494365423407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4.0628205128205126</v>
      </c>
      <c r="BY17" s="12">
        <f>IF('Données projet'!$A$114&gt;35,BY16+BX17-CG16,IF(A17&lt;'Données projet'!$A$114,$BV$205^A17,IF(A17='Données projet'!$A$114,'Données projet'!$B$114,BY16+BX17-CG16)))</f>
        <v>9.4068196111151305</v>
      </c>
      <c r="BZ17" s="13">
        <f>BY17*VLOOKUP('Données projet'!$B$12,Paramètres!$A$1:$I$89,3,0)*VLOOKUP('Données projet'!$B$12,Paramètres!$A$1:$I$89,5,0)</f>
        <v>8.9515295419371572</v>
      </c>
      <c r="CA17" s="13">
        <f t="shared" si="39"/>
        <v>3.1963069147043139</v>
      </c>
      <c r="CB17" s="20">
        <f t="shared" si="10"/>
        <v>21.15748182865056</v>
      </c>
      <c r="CC17" s="59">
        <f t="shared" si="11"/>
        <v>294.9352596064283</v>
      </c>
      <c r="CD17" s="59">
        <f ca="1">AVERAGE(OFFSET($CC$3,0,0,'Données projet'!$E$12+1,1))-AVERAGE(OFFSET($H$3,0,0,'Données projet'!$E$12+1,1))</f>
        <v>555.3092253965317</v>
      </c>
      <c r="CE17" s="59">
        <f t="shared" si="40"/>
        <v>292.20785523952651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8.8000000000000007</v>
      </c>
      <c r="CT17" s="12">
        <f>IF('Données projet'!$A$140&gt;35,CT16+CS17-DB16,IF(A17&lt;'Données projet'!$A$140,$CQ$205^A17,IF(A17='Données projet'!$A$140,'Données projet'!$B$140,CT16+CS17-DB16)))</f>
        <v>64.199999999999989</v>
      </c>
      <c r="CU17" s="17">
        <f>CT17*VLOOKUP('Données projet'!$B$13,Paramètres!$A$1:$I$89,3,0)*VLOOKUP('Données projet'!$B$13,Paramètres!$A$1:$I$89,5,0)</f>
        <v>41.062319999999985</v>
      </c>
      <c r="CV17" s="13">
        <f t="shared" si="41"/>
        <v>12.27978396869419</v>
      </c>
      <c r="CW17" s="20">
        <f t="shared" si="13"/>
        <v>92.90416441214235</v>
      </c>
      <c r="CX17" s="59">
        <f t="shared" si="14"/>
        <v>366.68194218992011</v>
      </c>
      <c r="CY17" s="59">
        <f ca="1">AVERAGE(OFFSET($CX$3,0,0,'Données projet'!$E$13+1,1))-AVERAGE(OFFSET($H$3,0,0,'Données projet'!$E$13+1,1))</f>
        <v>269.44168853803717</v>
      </c>
      <c r="CZ17" s="59">
        <f t="shared" si="42"/>
        <v>247.65158389074043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6">
        <f t="shared" si="1"/>
        <v>256.66666666666669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88</v>
      </c>
      <c r="L18" s="12">
        <f>VLOOKUP(A18,'Données projet'!$A$35:$I$55,9,0)</f>
        <v>10.6</v>
      </c>
      <c r="M18" s="12">
        <f t="array" ref="M18">INDEX(L:L,MIN(IF(ISNUMBER(L18:L214),ROW(L18:L214),"")))</f>
        <v>10.6</v>
      </c>
      <c r="N18" s="13">
        <f>IF('Données projet'!$A$36&gt;35,N17+M18-V17,IF(A18&lt;'Données projet'!$A$36,$K$205^A18,IF(A18='Données projet'!$A$36,'Données projet'!$B$36,N17+M18-V17)))</f>
        <v>87.999999999999986</v>
      </c>
      <c r="O18" s="13">
        <f>N18*VLOOKUP('Données projet'!$B$9,Paramètres!$A$1:$I$89,3,0)*VLOOKUP('Données projet'!$B$9,Paramètres!$A$1:$I$89,5,0)</f>
        <v>76.876799999999989</v>
      </c>
      <c r="P18" s="13">
        <f t="shared" si="33"/>
        <v>21.371784666185118</v>
      </c>
      <c r="Q18" s="20">
        <f t="shared" si="2"/>
        <v>171.1162849602724</v>
      </c>
      <c r="R18" s="59">
        <f t="shared" si="0"/>
        <v>446.11628496027242</v>
      </c>
      <c r="S18" s="59">
        <f ca="1">AVERAGE(OFFSET($R$3,0,0,'Données projet'!$E$9+1,1))-AVERAGE(OFFSET($H$3,0,0,'Données projet'!$E$9+1,1))</f>
        <v>381.72225529388083</v>
      </c>
      <c r="T18" s="59">
        <f t="shared" si="34"/>
        <v>360.05900046417361</v>
      </c>
      <c r="U18" s="15">
        <f>IF(ISNA(VLOOKUP(A18,'Données projet'!$A$35:$I$55,3,0)),0,VLOOKUP(A18,'Données projet'!$A$35:$I$55,3,0))</f>
        <v>1</v>
      </c>
      <c r="V18" s="15">
        <f>IF(ISNA(VLOOKUP(A18,'Données projet'!$A$35:$I$55,4,0)),0,VLOOKUP(A18,'Données projet'!$A$35:$I$55,4,0))</f>
        <v>30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140</v>
      </c>
      <c r="AG18" s="12">
        <f>VLOOKUP(A18,'Données projet'!$A$61:$I$81,9,0)</f>
        <v>14</v>
      </c>
      <c r="AH18" s="12">
        <f t="array" ref="AH18">INDEX(AG:AG,MIN(IF(ISNUMBER(AG18:AG214),ROW(AG18:AG214),"")))</f>
        <v>14</v>
      </c>
      <c r="AI18" s="13">
        <f>IF('Données projet'!$A$62&gt;35,AI17+AH18-AQ17,IF(A18&lt;'Données projet'!$A$62,$AF$205^A18,IF(A18='Données projet'!$A$62,'Données projet'!$B$62,AI17+AH18-AQ17)))</f>
        <v>140</v>
      </c>
      <c r="AJ18" s="13">
        <f>AI18*VLOOKUP('Données projet'!$B$10,Paramètres!$A$1:$I$89,3,0)*VLOOKUP('Données projet'!$B$10,Paramètres!$A$1:$I$89,5,0)</f>
        <v>126.67199999999998</v>
      </c>
      <c r="AK18" s="13">
        <f t="shared" si="35"/>
        <v>33.226199426361347</v>
      </c>
      <c r="AL18" s="20">
        <f t="shared" si="4"/>
        <v>278.48936400091264</v>
      </c>
      <c r="AM18" s="59">
        <f t="shared" si="5"/>
        <v>553.4893640009127</v>
      </c>
      <c r="AN18" s="59">
        <f ca="1">AVERAGE(OFFSET($AM$3,0,0,'Données projet'!$E$10+1,1))-AVERAGE(OFFSET($H$3,0,0,'Données projet'!$E$10+1,1))</f>
        <v>366.43676005661194</v>
      </c>
      <c r="AO18" s="59">
        <f t="shared" si="36"/>
        <v>513.80016421153414</v>
      </c>
      <c r="AP18" s="15">
        <f>IF(ISNA(VLOOKUP(A18,'Données projet'!$A$61:$I$81,3,0)),0,VLOOKUP(A18,'Données projet'!$A$61:$I$81,3,0))</f>
        <v>3</v>
      </c>
      <c r="AQ18" s="15">
        <f>IF(ISNA(VLOOKUP(A18,'Données projet'!$A$61:$I$81,4,0)),0,VLOOKUP(A18,'Données projet'!$A$61:$I$81,4,0))</f>
        <v>23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10.169411764705883</v>
      </c>
      <c r="BD18" s="12">
        <f>IF('Données projet'!$A$88&gt;35,BD17+BC18-BL17,IF(A18&lt;'Données projet'!$A$88,$BA$205^A18,IF(A18='Données projet'!$A$88,'Données projet'!$B$88,BD17+BC18-BL17)))</f>
        <v>94.293263110893193</v>
      </c>
      <c r="BE18" s="13">
        <f>BD18*VLOOKUP('Données projet'!$B$11,Paramètres!$A$1:$I$89,3,0)*VLOOKUP('Données projet'!$B$11,Paramètres!$A$1:$I$89,5,0)</f>
        <v>41.6776222950148</v>
      </c>
      <c r="BF18" s="13">
        <f t="shared" si="37"/>
        <v>12.442232080537456</v>
      </c>
      <c r="BG18" s="20">
        <f t="shared" si="7"/>
        <v>94.258746370753514</v>
      </c>
      <c r="BH18" s="59">
        <f t="shared" si="8"/>
        <v>369.2587463707535</v>
      </c>
      <c r="BI18" s="59">
        <f ca="1">AVERAGE(OFFSET($BH$3,0,0,'Données projet'!$E$11+1,1))-AVERAGE(OFFSET($H$3,0,0,'Données projet'!$E$11+1,1))</f>
        <v>328.58609979635901</v>
      </c>
      <c r="BJ18" s="59">
        <f t="shared" si="38"/>
        <v>432.3494365423407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4.0628205128205126</v>
      </c>
      <c r="BY18" s="12">
        <f>IF('Données projet'!$A$114&gt;35,BY17+BX18-CG17,IF(A18&lt;'Données projet'!$A$114,$BV$205^A18,IF(A18='Données projet'!$A$114,'Données projet'!$B$114,BY17+BX18-CG17)))</f>
        <v>11.040136565487554</v>
      </c>
      <c r="BZ18" s="13">
        <f>BY18*VLOOKUP('Données projet'!$B$12,Paramètres!$A$1:$I$89,3,0)*VLOOKUP('Données projet'!$B$12,Paramètres!$A$1:$I$89,5,0)</f>
        <v>10.505793955717957</v>
      </c>
      <c r="CA18" s="13">
        <f t="shared" si="39"/>
        <v>3.6820240623674367</v>
      </c>
      <c r="CB18" s="20">
        <f t="shared" si="10"/>
        <v>24.710449714832063</v>
      </c>
      <c r="CC18" s="59">
        <f t="shared" si="11"/>
        <v>299.71044971483207</v>
      </c>
      <c r="CD18" s="59">
        <f ca="1">AVERAGE(OFFSET($CC$3,0,0,'Données projet'!$E$12+1,1))-AVERAGE(OFFSET($H$3,0,0,'Données projet'!$E$12+1,1))</f>
        <v>555.3092253965317</v>
      </c>
      <c r="CE18" s="59">
        <f t="shared" si="40"/>
        <v>292.20785523952651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73</v>
      </c>
      <c r="CR18" s="12">
        <f>VLOOKUP(A18,'Données projet'!$A$139:$I$159,9,0)</f>
        <v>8.8000000000000007</v>
      </c>
      <c r="CS18" s="12">
        <f t="array" ref="CS18">INDEX(CR:CR,MIN(IF(ISNUMBER(CR18:CR214),ROW(CR18:CR214),"")))</f>
        <v>8.8000000000000007</v>
      </c>
      <c r="CT18" s="12">
        <f>IF('Données projet'!$A$140&gt;35,CT17+CS18-DB17,IF(A18&lt;'Données projet'!$A$140,$CQ$205^A18,IF(A18='Données projet'!$A$140,'Données projet'!$B$140,CT17+CS18-DB17)))</f>
        <v>72.999999999999986</v>
      </c>
      <c r="CU18" s="17">
        <f>CT18*VLOOKUP('Données projet'!$B$13,Paramètres!$A$1:$I$89,3,0)*VLOOKUP('Données projet'!$B$13,Paramètres!$A$1:$I$89,5,0)</f>
        <v>46.690799999999989</v>
      </c>
      <c r="CV18" s="13">
        <f t="shared" si="41"/>
        <v>13.755768393500558</v>
      </c>
      <c r="CW18" s="20">
        <f t="shared" si="13"/>
        <v>105.27777328534678</v>
      </c>
      <c r="CX18" s="59">
        <f t="shared" si="14"/>
        <v>380.27777328534677</v>
      </c>
      <c r="CY18" s="59">
        <f ca="1">AVERAGE(OFFSET($CX$3,0,0,'Données projet'!$E$13+1,1))-AVERAGE(OFFSET($H$3,0,0,'Données projet'!$E$13+1,1))</f>
        <v>269.44168853803717</v>
      </c>
      <c r="CZ18" s="59">
        <f t="shared" si="42"/>
        <v>247.65158389074043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6">
        <f t="shared" si="1"/>
        <v>256.66666666666669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11.8</v>
      </c>
      <c r="N19" s="13">
        <f>IF('Données projet'!$A$36&gt;35,N18+M19-V18,IF(A19&lt;'Données projet'!$A$36,$K$205^A19,IF(A19='Données projet'!$A$36,'Données projet'!$B$36,N18+M19-V18)))</f>
        <v>69.799999999999983</v>
      </c>
      <c r="O19" s="13">
        <f>N19*VLOOKUP('Données projet'!$B$9,Paramètres!$A$1:$I$89,3,0)*VLOOKUP('Données projet'!$B$9,Paramètres!$A$1:$I$89,5,0)</f>
        <v>60.977279999999993</v>
      </c>
      <c r="P19" s="13">
        <f t="shared" si="33"/>
        <v>17.415123237238468</v>
      </c>
      <c r="Q19" s="20">
        <f t="shared" si="2"/>
        <v>136.5334356381903</v>
      </c>
      <c r="R19" s="59">
        <f t="shared" si="0"/>
        <v>412.7556578604125</v>
      </c>
      <c r="S19" s="59">
        <f ca="1">AVERAGE(OFFSET($R$3,0,0,'Données projet'!$E$9+1,1))-AVERAGE(OFFSET($H$3,0,0,'Données projet'!$E$9+1,1))</f>
        <v>381.72225529388083</v>
      </c>
      <c r="T19" s="59">
        <f t="shared" si="34"/>
        <v>360.05900046417361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12.4</v>
      </c>
      <c r="AI19" s="13">
        <f>IF('Données projet'!$A$62&gt;35,AI18+AH19-AQ18,IF(A19&lt;'Données projet'!$A$62,$AF$205^A19,IF(A19='Données projet'!$A$62,'Données projet'!$B$62,AI18+AH19-AQ18)))</f>
        <v>129.4</v>
      </c>
      <c r="AJ19" s="13">
        <f>AI19*VLOOKUP('Données projet'!$B$10,Paramètres!$A$1:$I$89,3,0)*VLOOKUP('Données projet'!$B$10,Paramètres!$A$1:$I$89,5,0)</f>
        <v>117.08112</v>
      </c>
      <c r="AK19" s="13">
        <f t="shared" si="35"/>
        <v>30.993245877902094</v>
      </c>
      <c r="AL19" s="20">
        <f t="shared" si="4"/>
        <v>257.89618723734617</v>
      </c>
      <c r="AM19" s="59">
        <f t="shared" si="5"/>
        <v>534.1184094595684</v>
      </c>
      <c r="AN19" s="59">
        <f ca="1">AVERAGE(OFFSET($AM$3,0,0,'Données projet'!$E$10+1,1))-AVERAGE(OFFSET($H$3,0,0,'Données projet'!$E$10+1,1))</f>
        <v>366.43676005661194</v>
      </c>
      <c r="AO19" s="59">
        <f t="shared" si="36"/>
        <v>513.80016421153414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10.169411764705883</v>
      </c>
      <c r="BD19" s="12">
        <f>IF('Données projet'!$A$88&gt;35,BD18+BC19-BL18,IF(A19&lt;'Données projet'!$A$88,$BA$205^A19,IF(A19='Données projet'!$A$88,'Données projet'!$B$88,BD18+BC19-BL18)))</f>
        <v>127.67701173904101</v>
      </c>
      <c r="BE19" s="13">
        <f>BD19*VLOOKUP('Données projet'!$B$11,Paramètres!$A$1:$I$89,3,0)*VLOOKUP('Données projet'!$B$11,Paramètres!$A$1:$I$89,5,0)</f>
        <v>56.433239188656131</v>
      </c>
      <c r="BF19" s="13">
        <f t="shared" si="37"/>
        <v>16.263288726213428</v>
      </c>
      <c r="BG19" s="20">
        <f t="shared" si="7"/>
        <v>126.61311945173115</v>
      </c>
      <c r="BH19" s="59">
        <f t="shared" si="8"/>
        <v>402.83534167395339</v>
      </c>
      <c r="BI19" s="59">
        <f ca="1">AVERAGE(OFFSET($BH$3,0,0,'Données projet'!$E$11+1,1))-AVERAGE(OFFSET($H$3,0,0,'Données projet'!$E$11+1,1))</f>
        <v>328.58609979635901</v>
      </c>
      <c r="BJ19" s="59">
        <f t="shared" si="38"/>
        <v>432.3494365423407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4.0628205128205126</v>
      </c>
      <c r="BY19" s="12">
        <f>IF('Données projet'!$A$114&gt;35,BY18+BX19-CG18,IF(A19&lt;'Données projet'!$A$114,$BV$205^A19,IF(A19='Données projet'!$A$114,'Données projet'!$B$114,BY18+BX19-CG18)))</f>
        <v>12.957048229201293</v>
      </c>
      <c r="BZ19" s="13">
        <f>BY19*VLOOKUP('Données projet'!$B$12,Paramètres!$A$1:$I$89,3,0)*VLOOKUP('Données projet'!$B$12,Paramètres!$A$1:$I$89,5,0)</f>
        <v>12.32992709490795</v>
      </c>
      <c r="CA19" s="13">
        <f t="shared" si="39"/>
        <v>4.2415517525816071</v>
      </c>
      <c r="CB19" s="20">
        <f t="shared" si="10"/>
        <v>28.861992326044312</v>
      </c>
      <c r="CC19" s="59">
        <f t="shared" si="11"/>
        <v>305.08421454826652</v>
      </c>
      <c r="CD19" s="59">
        <f ca="1">AVERAGE(OFFSET($CC$3,0,0,'Données projet'!$E$12+1,1))-AVERAGE(OFFSET($H$3,0,0,'Données projet'!$E$12+1,1))</f>
        <v>555.3092253965317</v>
      </c>
      <c r="CE19" s="59">
        <f t="shared" si="40"/>
        <v>292.20785523952651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11.2</v>
      </c>
      <c r="CT19" s="12">
        <f>IF('Données projet'!$A$140&gt;35,CT18+CS19-DB18,IF(A19&lt;'Données projet'!$A$140,$CQ$205^A19,IF(A19='Données projet'!$A$140,'Données projet'!$B$140,CT18+CS19-DB18)))</f>
        <v>84.199999999999989</v>
      </c>
      <c r="CU19" s="17">
        <f>CT19*VLOOKUP('Données projet'!$B$13,Paramètres!$A$1:$I$89,3,0)*VLOOKUP('Données projet'!$B$13,Paramètres!$A$1:$I$89,5,0)</f>
        <v>53.854319999999987</v>
      </c>
      <c r="CV19" s="13">
        <f t="shared" si="41"/>
        <v>15.604811963375035</v>
      </c>
      <c r="CW19" s="20">
        <f t="shared" si="13"/>
        <v>120.97465483621151</v>
      </c>
      <c r="CX19" s="59">
        <f t="shared" si="14"/>
        <v>397.19687705843376</v>
      </c>
      <c r="CY19" s="59">
        <f ca="1">AVERAGE(OFFSET($CX$3,0,0,'Données projet'!$E$13+1,1))-AVERAGE(OFFSET($H$3,0,0,'Données projet'!$E$13+1,1))</f>
        <v>269.44168853803717</v>
      </c>
      <c r="CZ19" s="59">
        <f t="shared" si="42"/>
        <v>247.65158389074043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6">
        <f t="shared" si="1"/>
        <v>256.66666666666669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11.8</v>
      </c>
      <c r="N20" s="13">
        <f>IF('Données projet'!$A$36&gt;35,N19+M20-V19,IF(A20&lt;'Données projet'!$A$36,$K$205^A20,IF(A20='Données projet'!$A$36,'Données projet'!$B$36,N19+M20-V19)))</f>
        <v>81.59999999999998</v>
      </c>
      <c r="O20" s="13">
        <f>N20*VLOOKUP('Données projet'!$B$9,Paramètres!$A$1:$I$89,3,0)*VLOOKUP('Données projet'!$B$9,Paramètres!$A$1:$I$89,5,0)</f>
        <v>71.285759999999982</v>
      </c>
      <c r="P20" s="13">
        <f t="shared" si="33"/>
        <v>19.992418069182566</v>
      </c>
      <c r="Q20" s="20">
        <f t="shared" si="2"/>
        <v>158.97616013715958</v>
      </c>
      <c r="R20" s="59">
        <f t="shared" si="0"/>
        <v>436.42060458160404</v>
      </c>
      <c r="S20" s="59">
        <f ca="1">AVERAGE(OFFSET($R$3,0,0,'Données projet'!$E$9+1,1))-AVERAGE(OFFSET($H$3,0,0,'Données projet'!$E$9+1,1))</f>
        <v>381.72225529388083</v>
      </c>
      <c r="T20" s="59">
        <f t="shared" si="34"/>
        <v>360.05900046417361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12.4</v>
      </c>
      <c r="AI20" s="13">
        <f>IF('Données projet'!$A$62&gt;35,AI19+AH20-AQ19,IF(A20&lt;'Données projet'!$A$62,$AF$205^A20,IF(A20='Données projet'!$A$62,'Données projet'!$B$62,AI19+AH20-AQ19)))</f>
        <v>141.80000000000001</v>
      </c>
      <c r="AJ20" s="13">
        <f>AI20*VLOOKUP('Données projet'!$B$10,Paramètres!$A$1:$I$89,3,0)*VLOOKUP('Données projet'!$B$10,Paramètres!$A$1:$I$89,5,0)</f>
        <v>128.30064000000002</v>
      </c>
      <c r="AK20" s="13">
        <f t="shared" si="35"/>
        <v>33.603386926177407</v>
      </c>
      <c r="AL20" s="20">
        <f t="shared" si="4"/>
        <v>281.98284689642571</v>
      </c>
      <c r="AM20" s="59">
        <f t="shared" si="5"/>
        <v>559.42729134087017</v>
      </c>
      <c r="AN20" s="59">
        <f ca="1">AVERAGE(OFFSET($AM$3,0,0,'Données projet'!$E$10+1,1))-AVERAGE(OFFSET($H$3,0,0,'Données projet'!$E$10+1,1))</f>
        <v>366.43676005661194</v>
      </c>
      <c r="AO20" s="59">
        <f t="shared" si="36"/>
        <v>513.80016421153414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>
        <f>VLOOKUP(A20,'Données projet'!$A$87:$I$107,2,0)</f>
        <v>172.88</v>
      </c>
      <c r="BB20" s="12">
        <f>VLOOKUP(A20,'Données projet'!$A$87:$I$107,9,0)</f>
        <v>10.169411764705883</v>
      </c>
      <c r="BC20" s="12">
        <f t="array" ref="BC20">INDEX(BB:BB,MIN(IF(ISNUMBER(BB20:BB216),ROW(BB20:BB216),"")))</f>
        <v>10.169411764705883</v>
      </c>
      <c r="BD20" s="12">
        <f>IF('Données projet'!$A$88&gt;35,BD19+BC20-BL19,IF(A20&lt;'Données projet'!$A$88,$BA$205^A20,IF(A20='Données projet'!$A$88,'Données projet'!$B$88,BD19+BC20-BL19)))</f>
        <v>172.88</v>
      </c>
      <c r="BE20" s="13">
        <f>BD20*VLOOKUP('Données projet'!$B$11,Paramètres!$A$1:$I$89,3,0)*VLOOKUP('Données projet'!$B$11,Paramètres!$A$1:$I$89,5,0)</f>
        <v>76.412960000000012</v>
      </c>
      <c r="BF20" s="13">
        <f t="shared" si="37"/>
        <v>21.257806355011802</v>
      </c>
      <c r="BG20" s="20">
        <f t="shared" si="7"/>
        <v>170.10991806831223</v>
      </c>
      <c r="BH20" s="59">
        <f t="shared" si="8"/>
        <v>447.55436251275671</v>
      </c>
      <c r="BI20" s="59">
        <f ca="1">AVERAGE(OFFSET($BH$3,0,0,'Données projet'!$E$11+1,1))-AVERAGE(OFFSET($H$3,0,0,'Données projet'!$E$11+1,1))</f>
        <v>328.58609979635901</v>
      </c>
      <c r="BJ20" s="59">
        <f t="shared" si="38"/>
        <v>432.3494365423407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4.0628205128205126</v>
      </c>
      <c r="BY20" s="12">
        <f>IF('Données projet'!$A$114&gt;35,BY19+BX20-CG19,IF(A20&lt;'Données projet'!$A$114,$BV$205^A20,IF(A20='Données projet'!$A$114,'Données projet'!$B$114,BY19+BX20-CG19)))</f>
        <v>15.206795479203771</v>
      </c>
      <c r="BZ20" s="13">
        <f>BY20*VLOOKUP('Données projet'!$B$12,Paramètres!$A$1:$I$89,3,0)*VLOOKUP('Données projet'!$B$12,Paramètres!$A$1:$I$89,5,0)</f>
        <v>14.470786578010308</v>
      </c>
      <c r="CA20" s="13">
        <f t="shared" si="39"/>
        <v>4.8861063820046198</v>
      </c>
      <c r="CB20" s="20">
        <f t="shared" si="10"/>
        <v>33.713255238692668</v>
      </c>
      <c r="CC20" s="59">
        <f t="shared" si="11"/>
        <v>311.15769968313714</v>
      </c>
      <c r="CD20" s="59">
        <f ca="1">AVERAGE(OFFSET($CC$3,0,0,'Données projet'!$E$12+1,1))-AVERAGE(OFFSET($H$3,0,0,'Données projet'!$E$12+1,1))</f>
        <v>555.3092253965317</v>
      </c>
      <c r="CE20" s="59">
        <f t="shared" si="40"/>
        <v>292.20785523952651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11.2</v>
      </c>
      <c r="CT20" s="12">
        <f>IF('Données projet'!$A$140&gt;35,CT19+CS20-DB19,IF(A20&lt;'Données projet'!$A$140,$CQ$205^A20,IF(A20='Données projet'!$A$140,'Données projet'!$B$140,CT19+CS20-DB19)))</f>
        <v>95.399999999999991</v>
      </c>
      <c r="CU20" s="17">
        <f>CT20*VLOOKUP('Données projet'!$B$13,Paramètres!$A$1:$I$89,3,0)*VLOOKUP('Données projet'!$B$13,Paramètres!$A$1:$I$89,5,0)</f>
        <v>61.01784</v>
      </c>
      <c r="CV20" s="13">
        <f t="shared" si="41"/>
        <v>17.425358414033564</v>
      </c>
      <c r="CW20" s="20">
        <f t="shared" si="13"/>
        <v>136.62190390444178</v>
      </c>
      <c r="CX20" s="59">
        <f t="shared" si="14"/>
        <v>414.06634834888621</v>
      </c>
      <c r="CY20" s="59">
        <f ca="1">AVERAGE(OFFSET($CX$3,0,0,'Données projet'!$E$13+1,1))-AVERAGE(OFFSET($H$3,0,0,'Données projet'!$E$13+1,1))</f>
        <v>269.44168853803717</v>
      </c>
      <c r="CZ20" s="59">
        <f t="shared" si="42"/>
        <v>247.65158389074043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6">
        <f t="shared" si="1"/>
        <v>256.66666666666669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11.8</v>
      </c>
      <c r="N21" s="13">
        <f>IF('Données projet'!$A$36&gt;35,N20+M21-V20,IF(A21&lt;'Données projet'!$A$36,$K$205^A21,IF(A21='Données projet'!$A$36,'Données projet'!$B$36,N20+M21-V20)))</f>
        <v>93.399999999999977</v>
      </c>
      <c r="O21" s="13">
        <f>N21*VLOOKUP('Données projet'!$B$9,Paramètres!$A$1:$I$89,3,0)*VLOOKUP('Données projet'!$B$9,Paramètres!$A$1:$I$89,5,0)</f>
        <v>81.594239999999999</v>
      </c>
      <c r="P21" s="13">
        <f t="shared" si="33"/>
        <v>22.526535320646335</v>
      </c>
      <c r="Q21" s="20">
        <f t="shared" si="2"/>
        <v>181.34368368345903</v>
      </c>
      <c r="R21" s="59">
        <f t="shared" si="0"/>
        <v>460.01035035012569</v>
      </c>
      <c r="S21" s="59">
        <f ca="1">AVERAGE(OFFSET($R$3,0,0,'Données projet'!$E$9+1,1))-AVERAGE(OFFSET($H$3,0,0,'Données projet'!$E$9+1,1))</f>
        <v>381.72225529388083</v>
      </c>
      <c r="T21" s="59">
        <f t="shared" si="34"/>
        <v>360.05900046417361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12.4</v>
      </c>
      <c r="AI21" s="13">
        <f>IF('Données projet'!$A$62&gt;35,AI20+AH21-AQ20,IF(A21&lt;'Données projet'!$A$62,$AF$205^A21,IF(A21='Données projet'!$A$62,'Données projet'!$B$62,AI20+AH21-AQ20)))</f>
        <v>154.20000000000002</v>
      </c>
      <c r="AJ21" s="13">
        <f>AI21*VLOOKUP('Données projet'!$B$10,Paramètres!$A$1:$I$89,3,0)*VLOOKUP('Données projet'!$B$10,Paramètres!$A$1:$I$89,5,0)</f>
        <v>139.52016</v>
      </c>
      <c r="AK21" s="13">
        <f t="shared" si="35"/>
        <v>36.187058933766046</v>
      </c>
      <c r="AL21" s="20">
        <f t="shared" si="4"/>
        <v>306.02340630964255</v>
      </c>
      <c r="AM21" s="59">
        <f t="shared" si="5"/>
        <v>584.69007297630924</v>
      </c>
      <c r="AN21" s="59">
        <f ca="1">AVERAGE(OFFSET($AM$3,0,0,'Données projet'!$E$10+1,1))-AVERAGE(OFFSET($H$3,0,0,'Données projet'!$E$10+1,1))</f>
        <v>366.43676005661194</v>
      </c>
      <c r="AO21" s="59">
        <f t="shared" si="36"/>
        <v>513.80016421153414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>
        <f>VLOOKUP(A21,'Données projet'!$A$87:$I$107,2,0)</f>
        <v>202.42</v>
      </c>
      <c r="BB21" s="12">
        <f>VLOOKUP(A21,'Données projet'!$A$87:$I$107,9,0)</f>
        <v>29.539999999999992</v>
      </c>
      <c r="BC21" s="12">
        <f t="array" ref="BC21">INDEX(BB:BB,MIN(IF(ISNUMBER(BB21:BB217),ROW(BB21:BB217),"")))</f>
        <v>29.539999999999992</v>
      </c>
      <c r="BD21" s="12">
        <f>IF('Données projet'!$A$88&gt;35,BD20+BC21-BL20,IF(A21&lt;'Données projet'!$A$88,$BA$205^A21,IF(A21='Données projet'!$A$88,'Données projet'!$B$88,BD20+BC21-BL20)))</f>
        <v>202.42</v>
      </c>
      <c r="BE21" s="13">
        <f>BD21*VLOOKUP('Données projet'!$B$11,Paramètres!$A$1:$I$89,3,0)*VLOOKUP('Données projet'!$B$11,Paramètres!$A$1:$I$89,5,0)</f>
        <v>89.469639999999998</v>
      </c>
      <c r="BF21" s="13">
        <f t="shared" si="37"/>
        <v>24.437270967629235</v>
      </c>
      <c r="BG21" s="20">
        <f t="shared" si="7"/>
        <v>198.38786993528757</v>
      </c>
      <c r="BH21" s="59">
        <f t="shared" si="8"/>
        <v>477.05453660195428</v>
      </c>
      <c r="BI21" s="59">
        <f ca="1">AVERAGE(OFFSET($BH$3,0,0,'Données projet'!$E$11+1,1))-AVERAGE(OFFSET($H$3,0,0,'Données projet'!$E$11+1,1))</f>
        <v>328.58609979635901</v>
      </c>
      <c r="BJ21" s="59">
        <f t="shared" si="38"/>
        <v>432.3494365423407</v>
      </c>
      <c r="BK21" s="15">
        <f>IF(ISNA(VLOOKUP(A21,'Données projet'!$A$87:$I$107,3,0)),0,VLOOKUP(A21,'Données projet'!$A$87:$I$107,3,0))</f>
        <v>1</v>
      </c>
      <c r="BL21" s="15">
        <f>IF(ISNA(VLOOKUP(A21,'Données projet'!$A$87:$I$107,4,0)),0,VLOOKUP(A21,'Données projet'!$A$87:$I$107,4,0))</f>
        <v>74.819999999999993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1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37.443420261411134</v>
      </c>
      <c r="BS21" s="22">
        <f t="shared" si="9"/>
        <v>37.443420261411134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4.0628205128205126</v>
      </c>
      <c r="BY21" s="12">
        <f>IF('Données projet'!$A$114&gt;35,BY20+BX21-CG20,IF(A21&lt;'Données projet'!$A$114,$BV$205^A21,IF(A21='Données projet'!$A$114,'Données projet'!$B$114,BY20+BX21-CG20)))</f>
        <v>17.847168942782186</v>
      </c>
      <c r="BZ21" s="13">
        <f>BY21*VLOOKUP('Données projet'!$B$12,Paramètres!$A$1:$I$89,3,0)*VLOOKUP('Données projet'!$B$12,Paramètres!$A$1:$I$89,5,0)</f>
        <v>16.983365965951528</v>
      </c>
      <c r="CA21" s="13">
        <f t="shared" si="39"/>
        <v>5.6286088132097909</v>
      </c>
      <c r="CB21" s="20">
        <f t="shared" si="10"/>
        <v>39.382522740372629</v>
      </c>
      <c r="CC21" s="59">
        <f t="shared" si="11"/>
        <v>318.04918940703931</v>
      </c>
      <c r="CD21" s="59">
        <f ca="1">AVERAGE(OFFSET($CC$3,0,0,'Données projet'!$E$12+1,1))-AVERAGE(OFFSET($H$3,0,0,'Données projet'!$E$12+1,1))</f>
        <v>555.3092253965317</v>
      </c>
      <c r="CE21" s="59">
        <f t="shared" si="40"/>
        <v>292.20785523952651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11.2</v>
      </c>
      <c r="CT21" s="12">
        <f>IF('Données projet'!$A$140&gt;35,CT20+CS21-DB20,IF(A21&lt;'Données projet'!$A$140,$CQ$205^A21,IF(A21='Données projet'!$A$140,'Données projet'!$B$140,CT20+CS21-DB20)))</f>
        <v>106.6</v>
      </c>
      <c r="CU21" s="17">
        <f>CT21*VLOOKUP('Données projet'!$B$13,Paramètres!$A$1:$I$89,3,0)*VLOOKUP('Données projet'!$B$13,Paramètres!$A$1:$I$89,5,0)</f>
        <v>68.181359999999998</v>
      </c>
      <c r="CV21" s="13">
        <f t="shared" si="41"/>
        <v>19.221135568279205</v>
      </c>
      <c r="CW21" s="20">
        <f t="shared" si="13"/>
        <v>152.22601311475293</v>
      </c>
      <c r="CX21" s="59">
        <f t="shared" si="14"/>
        <v>430.89267978141959</v>
      </c>
      <c r="CY21" s="59">
        <f ca="1">AVERAGE(OFFSET($CX$3,0,0,'Données projet'!$E$13+1,1))-AVERAGE(OFFSET($H$3,0,0,'Données projet'!$E$13+1,1))</f>
        <v>269.44168853803717</v>
      </c>
      <c r="CZ21" s="59">
        <f t="shared" si="42"/>
        <v>247.65158389074043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6">
        <f t="shared" si="1"/>
        <v>256.66666666666669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11.8</v>
      </c>
      <c r="N22" s="13">
        <f>IF('Données projet'!$A$36&gt;35,N21+M22-V21,IF(A22&lt;'Données projet'!$A$36,$K$205^A22,IF(A22='Données projet'!$A$36,'Données projet'!$B$36,N21+M22-V21)))</f>
        <v>105.19999999999997</v>
      </c>
      <c r="O22" s="13">
        <f>N22*VLOOKUP('Données projet'!$B$9,Paramètres!$A$1:$I$89,3,0)*VLOOKUP('Données projet'!$B$9,Paramètres!$A$1:$I$89,5,0)</f>
        <v>91.902719999999988</v>
      </c>
      <c r="P22" s="13">
        <f t="shared" si="33"/>
        <v>25.023555003327861</v>
      </c>
      <c r="Q22" s="20">
        <f t="shared" si="2"/>
        <v>203.64659563079599</v>
      </c>
      <c r="R22" s="59">
        <f t="shared" si="0"/>
        <v>483.53548451968481</v>
      </c>
      <c r="S22" s="59">
        <f ca="1">AVERAGE(OFFSET($R$3,0,0,'Données projet'!$E$9+1,1))-AVERAGE(OFFSET($H$3,0,0,'Données projet'!$E$9+1,1))</f>
        <v>381.72225529388083</v>
      </c>
      <c r="T22" s="59">
        <f t="shared" si="34"/>
        <v>360.05900046417361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12.4</v>
      </c>
      <c r="AI22" s="13">
        <f>IF('Données projet'!$A$62&gt;35,AI21+AH22-AQ21,IF(A22&lt;'Données projet'!$A$62,$AF$205^A22,IF(A22='Données projet'!$A$62,'Données projet'!$B$62,AI21+AH22-AQ21)))</f>
        <v>166.60000000000002</v>
      </c>
      <c r="AJ22" s="13">
        <f>AI22*VLOOKUP('Données projet'!$B$10,Paramètres!$A$1:$I$89,3,0)*VLOOKUP('Données projet'!$B$10,Paramètres!$A$1:$I$89,5,0)</f>
        <v>150.73967999999999</v>
      </c>
      <c r="AK22" s="13">
        <f t="shared" si="35"/>
        <v>38.746632400845719</v>
      </c>
      <c r="AL22" s="20">
        <f t="shared" si="4"/>
        <v>330.0219940981396</v>
      </c>
      <c r="AM22" s="59">
        <f t="shared" si="5"/>
        <v>609.91088298702846</v>
      </c>
      <c r="AN22" s="59">
        <f ca="1">AVERAGE(OFFSET($AM$3,0,0,'Données projet'!$E$10+1,1))-AVERAGE(OFFSET($H$3,0,0,'Données projet'!$E$10+1,1))</f>
        <v>366.43676005661194</v>
      </c>
      <c r="AO22" s="59">
        <f t="shared" si="36"/>
        <v>513.80016421153414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26.926666666666673</v>
      </c>
      <c r="BD22" s="12">
        <f>IF('Données projet'!$A$88&gt;35,BD21+BC22-BL21,IF(A22&lt;'Données projet'!$A$88,$BA$205^A22,IF(A22='Données projet'!$A$88,'Données projet'!$B$88,BD21+BC22-BL21)))</f>
        <v>154.52666666666667</v>
      </c>
      <c r="BE22" s="13">
        <f>BD22*VLOOKUP('Données projet'!$B$11,Paramètres!$A$1:$I$89,3,0)*VLOOKUP('Données projet'!$B$11,Paramètres!$A$1:$I$89,5,0)</f>
        <v>68.300786666666667</v>
      </c>
      <c r="BF22" s="13">
        <f t="shared" si="37"/>
        <v>19.250881402504241</v>
      </c>
      <c r="BG22" s="20">
        <f t="shared" si="7"/>
        <v>152.48582188713934</v>
      </c>
      <c r="BH22" s="59">
        <f t="shared" si="8"/>
        <v>432.37471077602822</v>
      </c>
      <c r="BI22" s="59">
        <f ca="1">AVERAGE(OFFSET($BH$3,0,0,'Données projet'!$E$11+1,1))-AVERAGE(OFFSET($H$3,0,0,'Données projet'!$E$11+1,1))</f>
        <v>328.58609979635901</v>
      </c>
      <c r="BJ22" s="59">
        <f t="shared" si="38"/>
        <v>432.3494365423407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26.476496377661586</v>
      </c>
      <c r="BS22" s="22">
        <f t="shared" si="9"/>
        <v>26.476496377661586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4.0628205128205126</v>
      </c>
      <c r="BY22" s="12">
        <f>IF('Données projet'!$A$114&gt;35,BY21+BX22-CG21,IF(A22&lt;'Données projet'!$A$114,$BV$205^A22,IF(A22='Données projet'!$A$114,'Données projet'!$B$114,BY21+BX22-CG21)))</f>
        <v>20.945993500590358</v>
      </c>
      <c r="BZ22" s="13">
        <f>BY22*VLOOKUP('Données projet'!$B$12,Paramètres!$A$1:$I$89,3,0)*VLOOKUP('Données projet'!$B$12,Paramètres!$A$1:$I$89,5,0)</f>
        <v>19.932207415161784</v>
      </c>
      <c r="CA22" s="13">
        <f t="shared" si="39"/>
        <v>6.4839433887121185</v>
      </c>
      <c r="CB22" s="20">
        <f t="shared" si="10"/>
        <v>46.008129316747045</v>
      </c>
      <c r="CC22" s="59">
        <f t="shared" si="11"/>
        <v>325.8970182056359</v>
      </c>
      <c r="CD22" s="59">
        <f ca="1">AVERAGE(OFFSET($CC$3,0,0,'Données projet'!$E$12+1,1))-AVERAGE(OFFSET($H$3,0,0,'Données projet'!$E$12+1,1))</f>
        <v>555.3092253965317</v>
      </c>
      <c r="CE22" s="59">
        <f t="shared" si="40"/>
        <v>292.20785523952651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11.2</v>
      </c>
      <c r="CT22" s="12">
        <f>IF('Données projet'!$A$140&gt;35,CT21+CS22-DB21,IF(A22&lt;'Données projet'!$A$140,$CQ$205^A22,IF(A22='Données projet'!$A$140,'Données projet'!$B$140,CT21+CS22-DB21)))</f>
        <v>117.8</v>
      </c>
      <c r="CU22" s="17">
        <f>CT22*VLOOKUP('Données projet'!$B$13,Paramètres!$A$1:$I$89,3,0)*VLOOKUP('Données projet'!$B$13,Paramètres!$A$1:$I$89,5,0)</f>
        <v>75.344879999999989</v>
      </c>
      <c r="CV22" s="13">
        <f t="shared" si="41"/>
        <v>20.995042321324362</v>
      </c>
      <c r="CW22" s="20">
        <f t="shared" si="13"/>
        <v>167.79203137630657</v>
      </c>
      <c r="CX22" s="59">
        <f t="shared" si="14"/>
        <v>447.68092026519543</v>
      </c>
      <c r="CY22" s="59">
        <f ca="1">AVERAGE(OFFSET($CX$3,0,0,'Données projet'!$E$13+1,1))-AVERAGE(OFFSET($H$3,0,0,'Données projet'!$E$13+1,1))</f>
        <v>269.44168853803717</v>
      </c>
      <c r="CZ22" s="59">
        <f t="shared" si="42"/>
        <v>247.65158389074043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6">
        <f t="shared" si="1"/>
        <v>256.66666666666669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117</v>
      </c>
      <c r="L23" s="12">
        <f>VLOOKUP(A23,'Données projet'!$A$35:$I$55,9,0)</f>
        <v>11.8</v>
      </c>
      <c r="M23" s="12">
        <f t="array" ref="M23">INDEX(L:L,MIN(IF(ISNUMBER(L23:L219),ROW(L23:L219),"")))</f>
        <v>11.8</v>
      </c>
      <c r="N23" s="13">
        <f>IF('Données projet'!$A$36&gt;35,N22+M23-V22,IF(A23&lt;'Données projet'!$A$36,$K$205^A23,IF(A23='Données projet'!$A$36,'Données projet'!$B$36,N22+M23-V22)))</f>
        <v>116.99999999999997</v>
      </c>
      <c r="O23" s="13">
        <f>N23*VLOOKUP('Données projet'!$B$9,Paramètres!$A$1:$I$89,3,0)*VLOOKUP('Données projet'!$B$9,Paramètres!$A$1:$I$89,5,0)</f>
        <v>102.21119999999999</v>
      </c>
      <c r="P23" s="13">
        <f t="shared" si="33"/>
        <v>27.488113037666018</v>
      </c>
      <c r="Q23" s="20">
        <f t="shared" si="2"/>
        <v>225.89297020726829</v>
      </c>
      <c r="R23" s="59">
        <f t="shared" si="0"/>
        <v>507.00408131837946</v>
      </c>
      <c r="S23" s="59">
        <f ca="1">AVERAGE(OFFSET($R$3,0,0,'Données projet'!$E$9+1,1))-AVERAGE(OFFSET($H$3,0,0,'Données projet'!$E$9+1,1))</f>
        <v>381.72225529388083</v>
      </c>
      <c r="T23" s="59">
        <f t="shared" si="34"/>
        <v>360.05900046417361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29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179</v>
      </c>
      <c r="AG23" s="12">
        <f>VLOOKUP(A23,'Données projet'!$A$61:$I$81,9,0)</f>
        <v>12.4</v>
      </c>
      <c r="AH23" s="12">
        <f t="array" ref="AH23">INDEX(AG:AG,MIN(IF(ISNUMBER(AG23:AG219),ROW(AG23:AG219),"")))</f>
        <v>12.4</v>
      </c>
      <c r="AI23" s="13">
        <f>IF('Données projet'!$A$62&gt;35,AI22+AH23-AQ22,IF(A23&lt;'Données projet'!$A$62,$AF$205^A23,IF(A23='Données projet'!$A$62,'Données projet'!$B$62,AI22+AH23-AQ22)))</f>
        <v>179.00000000000003</v>
      </c>
      <c r="AJ23" s="13">
        <f>AI23*VLOOKUP('Données projet'!$B$10,Paramètres!$A$1:$I$89,3,0)*VLOOKUP('Données projet'!$B$10,Paramètres!$A$1:$I$89,5,0)</f>
        <v>161.95920000000001</v>
      </c>
      <c r="AK23" s="13">
        <f t="shared" si="35"/>
        <v>41.284104935125683</v>
      </c>
      <c r="AL23" s="20">
        <f t="shared" si="4"/>
        <v>353.98208942867723</v>
      </c>
      <c r="AM23" s="59">
        <f t="shared" si="5"/>
        <v>635.09320053978831</v>
      </c>
      <c r="AN23" s="59">
        <f ca="1">AVERAGE(OFFSET($AM$3,0,0,'Données projet'!$E$10+1,1))-AVERAGE(OFFSET($H$3,0,0,'Données projet'!$E$10+1,1))</f>
        <v>366.43676005661194</v>
      </c>
      <c r="AO23" s="59">
        <f t="shared" si="36"/>
        <v>513.80016421153414</v>
      </c>
      <c r="AP23" s="15">
        <f>IF(ISNA(VLOOKUP(A23,'Données projet'!$A$61:$I$81,3,0)),0,VLOOKUP(A23,'Données projet'!$A$61:$I$81,3,0))</f>
        <v>4</v>
      </c>
      <c r="AQ23" s="15">
        <f>IF(ISNA(VLOOKUP(A23,'Données projet'!$A$61:$I$81,4,0)),0,VLOOKUP(A23,'Données projet'!$A$61:$I$81,4,0))</f>
        <v>18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26.926666666666673</v>
      </c>
      <c r="BD23" s="12">
        <f>IF('Données projet'!$A$88&gt;35,BD22+BC23-BL22,IF(A23&lt;'Données projet'!$A$88,$BA$205^A23,IF(A23='Données projet'!$A$88,'Données projet'!$B$88,BD22+BC23-BL22)))</f>
        <v>181.45333333333335</v>
      </c>
      <c r="BE23" s="13">
        <f>BD23*VLOOKUP('Données projet'!$B$11,Paramètres!$A$1:$I$89,3,0)*VLOOKUP('Données projet'!$B$11,Paramètres!$A$1:$I$89,5,0)</f>
        <v>80.202373333333341</v>
      </c>
      <c r="BF23" s="13">
        <f t="shared" si="37"/>
        <v>22.186658182620242</v>
      </c>
      <c r="BG23" s="20">
        <f t="shared" si="7"/>
        <v>178.32756322361914</v>
      </c>
      <c r="BH23" s="59">
        <f t="shared" si="8"/>
        <v>459.43867433473031</v>
      </c>
      <c r="BI23" s="59">
        <f ca="1">AVERAGE(OFFSET($BH$3,0,0,'Données projet'!$E$11+1,1))-AVERAGE(OFFSET($H$3,0,0,'Données projet'!$E$11+1,1))</f>
        <v>328.58609979635901</v>
      </c>
      <c r="BJ23" s="59">
        <f t="shared" si="38"/>
        <v>432.3494365423407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18.721710130705571</v>
      </c>
      <c r="BS23" s="22">
        <f t="shared" si="9"/>
        <v>18.721710130705571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4.0628205128205126</v>
      </c>
      <c r="BY23" s="12">
        <f>IF('Données projet'!$A$114&gt;35,BY22+BX23-CG22,IF(A23&lt;'Données projet'!$A$114,$BV$205^A23,IF(A23='Données projet'!$A$114,'Données projet'!$B$114,BY22+BX23-CG22)))</f>
        <v>24.582870545650774</v>
      </c>
      <c r="BZ23" s="13">
        <f>BY23*VLOOKUP('Données projet'!$B$12,Paramètres!$A$1:$I$89,3,0)*VLOOKUP('Données projet'!$B$12,Paramètres!$A$1:$I$89,5,0)</f>
        <v>23.393059611241277</v>
      </c>
      <c r="CA23" s="13">
        <f t="shared" si="39"/>
        <v>7.4692563052803118</v>
      </c>
      <c r="CB23" s="20">
        <f t="shared" si="10"/>
        <v>53.751866887941766</v>
      </c>
      <c r="CC23" s="59">
        <f t="shared" si="11"/>
        <v>334.86297799905293</v>
      </c>
      <c r="CD23" s="59">
        <f ca="1">AVERAGE(OFFSET($CC$3,0,0,'Données projet'!$E$12+1,1))-AVERAGE(OFFSET($H$3,0,0,'Données projet'!$E$12+1,1))</f>
        <v>555.3092253965317</v>
      </c>
      <c r="CE23" s="59">
        <f t="shared" si="40"/>
        <v>292.20785523952651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129</v>
      </c>
      <c r="CR23" s="12">
        <f>VLOOKUP(A23,'Données projet'!$A$139:$I$159,9,0)</f>
        <v>11.2</v>
      </c>
      <c r="CS23" s="12">
        <f t="array" ref="CS23">INDEX(CR:CR,MIN(IF(ISNUMBER(CR23:CR219),ROW(CR23:CR219),"")))</f>
        <v>11.2</v>
      </c>
      <c r="CT23" s="12">
        <f>IF('Données projet'!$A$140&gt;35,CT22+CS23-DB22,IF(A23&lt;'Données projet'!$A$140,$CQ$205^A23,IF(A23='Données projet'!$A$140,'Données projet'!$B$140,CT22+CS23-DB22)))</f>
        <v>129</v>
      </c>
      <c r="CU23" s="17">
        <f>CT23*VLOOKUP('Données projet'!$B$13,Paramètres!$A$1:$I$89,3,0)*VLOOKUP('Données projet'!$B$13,Paramètres!$A$1:$I$89,5,0)</f>
        <v>82.508399999999995</v>
      </c>
      <c r="CV23" s="13">
        <f t="shared" si="41"/>
        <v>22.749394597897183</v>
      </c>
      <c r="CW23" s="20">
        <f t="shared" si="13"/>
        <v>183.32399225800421</v>
      </c>
      <c r="CX23" s="59">
        <f t="shared" si="14"/>
        <v>464.43510336911538</v>
      </c>
      <c r="CY23" s="59">
        <f ca="1">AVERAGE(OFFSET($CX$3,0,0,'Données projet'!$E$13+1,1))-AVERAGE(OFFSET($H$3,0,0,'Données projet'!$E$13+1,1))</f>
        <v>269.44168853803717</v>
      </c>
      <c r="CZ23" s="59">
        <f t="shared" si="42"/>
        <v>247.65158389074043</v>
      </c>
      <c r="DA23" s="15">
        <f>IF(ISNA(VLOOKUP(A23,'Données projet'!$A$139:$I$159,3,0)),0,VLOOKUP(A23,'Données projet'!$A$139:$I$159,3,0))</f>
        <v>1</v>
      </c>
      <c r="DB23" s="15">
        <f>IF(ISNA(VLOOKUP(A23,'Données projet'!$A$139:$I$159,4,0)),0,VLOOKUP(A23,'Données projet'!$A$139:$I$159,4,0))</f>
        <v>54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6">
        <f t="shared" si="1"/>
        <v>256.66666666666669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11.4</v>
      </c>
      <c r="N24" s="13">
        <f>IF('Données projet'!$A$36&gt;35,N23+M24-V23,IF(A24&lt;'Données projet'!$A$36,$K$205^A24,IF(A24='Données projet'!$A$36,'Données projet'!$B$36,N23+M24-V23)))</f>
        <v>99.399999999999977</v>
      </c>
      <c r="O24" s="13">
        <f>N24*VLOOKUP('Données projet'!$B$9,Paramètres!$A$1:$I$89,3,0)*VLOOKUP('Données projet'!$B$9,Paramètres!$A$1:$I$89,5,0)</f>
        <v>86.83583999999999</v>
      </c>
      <c r="P24" s="13">
        <f t="shared" si="33"/>
        <v>23.800523515695954</v>
      </c>
      <c r="Q24" s="20">
        <f t="shared" si="2"/>
        <v>192.69166645650375</v>
      </c>
      <c r="R24" s="59">
        <f t="shared" si="0"/>
        <v>475.02499978983707</v>
      </c>
      <c r="S24" s="59">
        <f ca="1">AVERAGE(OFFSET($R$3,0,0,'Données projet'!$E$9+1,1))-AVERAGE(OFFSET($H$3,0,0,'Données projet'!$E$9+1,1))</f>
        <v>381.72225529388083</v>
      </c>
      <c r="T24" s="59">
        <f t="shared" si="34"/>
        <v>360.05900046417361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10.6</v>
      </c>
      <c r="AI24" s="13">
        <f>IF('Données projet'!$A$62&gt;35,AI23+AH24-AQ23,IF(A24&lt;'Données projet'!$A$62,$AF$205^A24,IF(A24='Données projet'!$A$62,'Données projet'!$B$62,AI23+AH24-AQ23)))</f>
        <v>171.60000000000002</v>
      </c>
      <c r="AJ24" s="13">
        <f>AI24*VLOOKUP('Données projet'!$B$10,Paramètres!$A$1:$I$89,3,0)*VLOOKUP('Données projet'!$B$10,Paramètres!$A$1:$I$89,5,0)</f>
        <v>155.26368000000002</v>
      </c>
      <c r="AK24" s="13">
        <f t="shared" si="35"/>
        <v>39.77236412265178</v>
      </c>
      <c r="AL24" s="20">
        <f t="shared" si="4"/>
        <v>339.68777684695186</v>
      </c>
      <c r="AM24" s="59">
        <f t="shared" si="5"/>
        <v>622.02111018028518</v>
      </c>
      <c r="AN24" s="59">
        <f ca="1">AVERAGE(OFFSET($AM$3,0,0,'Données projet'!$E$10+1,1))-AVERAGE(OFFSET($H$3,0,0,'Données projet'!$E$10+1,1))</f>
        <v>366.43676005661194</v>
      </c>
      <c r="AO24" s="59">
        <f t="shared" si="36"/>
        <v>513.80016421153414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26.926666666666673</v>
      </c>
      <c r="BD24" s="12">
        <f>IF('Données projet'!$A$88&gt;35,BD23+BC24-BL23,IF(A24&lt;'Données projet'!$A$88,$BA$205^A24,IF(A24='Données projet'!$A$88,'Données projet'!$B$88,BD23+BC24-BL23)))</f>
        <v>208.38000000000002</v>
      </c>
      <c r="BE24" s="13">
        <f>BD24*VLOOKUP('Données projet'!$B$11,Paramètres!$A$1:$I$89,3,0)*VLOOKUP('Données projet'!$B$11,Paramètres!$A$1:$I$89,5,0)</f>
        <v>92.103960000000015</v>
      </c>
      <c r="BF24" s="13">
        <f t="shared" si="37"/>
        <v>25.071965033536802</v>
      </c>
      <c r="BG24" s="20">
        <f t="shared" si="7"/>
        <v>204.08140276674328</v>
      </c>
      <c r="BH24" s="59">
        <f t="shared" si="8"/>
        <v>486.4147361000766</v>
      </c>
      <c r="BI24" s="59">
        <f ca="1">AVERAGE(OFFSET($BH$3,0,0,'Données projet'!$E$11+1,1))-AVERAGE(OFFSET($H$3,0,0,'Données projet'!$E$11+1,1))</f>
        <v>328.58609979635901</v>
      </c>
      <c r="BJ24" s="59">
        <f t="shared" si="38"/>
        <v>432.3494365423407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13.238248188830795</v>
      </c>
      <c r="BS24" s="22">
        <f t="shared" si="9"/>
        <v>13.238248188830795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4.0628205128205126</v>
      </c>
      <c r="BY24" s="12">
        <f>IF('Données projet'!$A$114&gt;35,BY23+BX24-CG23,IF(A24&lt;'Données projet'!$A$114,$BV$205^A24,IF(A24='Données projet'!$A$114,'Données projet'!$B$114,BY23+BX24-CG23)))</f>
        <v>28.851222752799568</v>
      </c>
      <c r="BZ24" s="13">
        <f>BY24*VLOOKUP('Données projet'!$B$12,Paramètres!$A$1:$I$89,3,0)*VLOOKUP('Données projet'!$B$12,Paramètres!$A$1:$I$89,5,0)</f>
        <v>27.45482357156407</v>
      </c>
      <c r="CA24" s="13">
        <f t="shared" si="39"/>
        <v>8.6042993298019912</v>
      </c>
      <c r="CB24" s="20">
        <f t="shared" si="10"/>
        <v>62.802972386545882</v>
      </c>
      <c r="CC24" s="59">
        <f t="shared" si="11"/>
        <v>345.1363057198792</v>
      </c>
      <c r="CD24" s="59">
        <f ca="1">AVERAGE(OFFSET($CC$3,0,0,'Données projet'!$E$12+1,1))-AVERAGE(OFFSET($H$3,0,0,'Données projet'!$E$12+1,1))</f>
        <v>555.3092253965317</v>
      </c>
      <c r="CE24" s="59">
        <f t="shared" si="40"/>
        <v>292.20785523952651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10.199999999999999</v>
      </c>
      <c r="CT24" s="12">
        <f>IF('Données projet'!$A$140&gt;35,CT23+CS24-DB23,IF(A24&lt;'Données projet'!$A$140,$CQ$205^A24,IF(A24='Données projet'!$A$140,'Données projet'!$B$140,CT23+CS24-DB23)))</f>
        <v>85.199999999999989</v>
      </c>
      <c r="CU24" s="17">
        <f>CT24*VLOOKUP('Données projet'!$B$13,Paramètres!$A$1:$I$89,3,0)*VLOOKUP('Données projet'!$B$13,Paramètres!$A$1:$I$89,5,0)</f>
        <v>54.493919999999996</v>
      </c>
      <c r="CV24" s="13">
        <f t="shared" si="41"/>
        <v>15.768457129679897</v>
      </c>
      <c r="CW24" s="20">
        <f t="shared" si="13"/>
        <v>122.37364016752581</v>
      </c>
      <c r="CX24" s="59">
        <f t="shared" si="14"/>
        <v>404.70697350085914</v>
      </c>
      <c r="CY24" s="59">
        <f ca="1">AVERAGE(OFFSET($CX$3,0,0,'Données projet'!$E$13+1,1))-AVERAGE(OFFSET($H$3,0,0,'Données projet'!$E$13+1,1))</f>
        <v>269.44168853803717</v>
      </c>
      <c r="CZ24" s="59">
        <f t="shared" si="42"/>
        <v>247.65158389074043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6">
        <f t="shared" si="1"/>
        <v>256.66666666666669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11.4</v>
      </c>
      <c r="N25" s="13">
        <f>IF('Données projet'!$A$36&gt;35,N24+M25-V24,IF(A25&lt;'Données projet'!$A$36,$K$205^A25,IF(A25='Données projet'!$A$36,'Données projet'!$B$36,N24+M25-V24)))</f>
        <v>110.79999999999998</v>
      </c>
      <c r="O25" s="13">
        <f>N25*VLOOKUP('Données projet'!$B$9,Paramètres!$A$1:$I$89,3,0)*VLOOKUP('Données projet'!$B$9,Paramètres!$A$1:$I$89,5,0)</f>
        <v>96.794879999999992</v>
      </c>
      <c r="P25" s="13">
        <f t="shared" si="33"/>
        <v>26.196980264498734</v>
      </c>
      <c r="Q25" s="20">
        <f t="shared" si="2"/>
        <v>214.21082329400193</v>
      </c>
      <c r="R25" s="59">
        <f t="shared" si="0"/>
        <v>497.76637884955744</v>
      </c>
      <c r="S25" s="59">
        <f ca="1">AVERAGE(OFFSET($R$3,0,0,'Données projet'!$E$9+1,1))-AVERAGE(OFFSET($H$3,0,0,'Données projet'!$E$9+1,1))</f>
        <v>381.72225529388083</v>
      </c>
      <c r="T25" s="59">
        <f t="shared" si="34"/>
        <v>360.05900046417361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10.6</v>
      </c>
      <c r="AI25" s="13">
        <f>IF('Données projet'!$A$62&gt;35,AI24+AH25-AQ24,IF(A25&lt;'Données projet'!$A$62,$AF$205^A25,IF(A25='Données projet'!$A$62,'Données projet'!$B$62,AI24+AH25-AQ24)))</f>
        <v>182.20000000000002</v>
      </c>
      <c r="AJ25" s="13">
        <f>AI25*VLOOKUP('Données projet'!$B$10,Paramètres!$A$1:$I$89,3,0)*VLOOKUP('Données projet'!$B$10,Paramètres!$A$1:$I$89,5,0)</f>
        <v>164.85456000000002</v>
      </c>
      <c r="AK25" s="13">
        <f t="shared" si="35"/>
        <v>41.935562922532533</v>
      </c>
      <c r="AL25" s="20">
        <f t="shared" si="4"/>
        <v>360.15946409007756</v>
      </c>
      <c r="AM25" s="59">
        <f t="shared" si="5"/>
        <v>643.71501964563311</v>
      </c>
      <c r="AN25" s="59">
        <f ca="1">AVERAGE(OFFSET($AM$3,0,0,'Données projet'!$E$10+1,1))-AVERAGE(OFFSET($H$3,0,0,'Données projet'!$E$10+1,1))</f>
        <v>366.43676005661194</v>
      </c>
      <c r="AO25" s="59">
        <f t="shared" si="36"/>
        <v>513.80016421153414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26.926666666666673</v>
      </c>
      <c r="BD25" s="12">
        <f>IF('Données projet'!$A$88&gt;35,BD24+BC25-BL24,IF(A25&lt;'Données projet'!$A$88,$BA$205^A25,IF(A25='Données projet'!$A$88,'Données projet'!$B$88,BD24+BC25-BL24)))</f>
        <v>235.3066666666667</v>
      </c>
      <c r="BE25" s="13">
        <f>BD25*VLOOKUP('Données projet'!$B$11,Paramètres!$A$1:$I$89,3,0)*VLOOKUP('Données projet'!$B$11,Paramètres!$A$1:$I$89,5,0)</f>
        <v>104.00554666666669</v>
      </c>
      <c r="BF25" s="13">
        <f t="shared" si="37"/>
        <v>27.914071668493321</v>
      </c>
      <c r="BG25" s="20">
        <f t="shared" si="7"/>
        <v>229.76000193373702</v>
      </c>
      <c r="BH25" s="59">
        <f t="shared" si="8"/>
        <v>513.31555748929259</v>
      </c>
      <c r="BI25" s="59">
        <f ca="1">AVERAGE(OFFSET($BH$3,0,0,'Données projet'!$E$11+1,1))-AVERAGE(OFFSET($H$3,0,0,'Données projet'!$E$11+1,1))</f>
        <v>328.58609979635901</v>
      </c>
      <c r="BJ25" s="59">
        <f t="shared" si="38"/>
        <v>432.3494365423407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9.3608550653527871</v>
      </c>
      <c r="BS25" s="22">
        <f t="shared" si="9"/>
        <v>9.3608550653527871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4.0628205128205126</v>
      </c>
      <c r="BY25" s="12">
        <f>IF('Données projet'!$A$114&gt;35,BY24+BX25-CG24,IF(A25&lt;'Données projet'!$A$114,$BV$205^A25,IF(A25='Données projet'!$A$114,'Données projet'!$B$114,BY24+BX25-CG24)))</f>
        <v>33.860693883812012</v>
      </c>
      <c r="BZ25" s="13">
        <f>BY25*VLOOKUP('Données projet'!$B$12,Paramètres!$A$1:$I$89,3,0)*VLOOKUP('Données projet'!$B$12,Paramètres!$A$1:$I$89,5,0)</f>
        <v>32.221836299835509</v>
      </c>
      <c r="CA25" s="13">
        <f t="shared" si="39"/>
        <v>9.9118257468944293</v>
      </c>
      <c r="CB25" s="20">
        <f t="shared" si="10"/>
        <v>73.382794731387975</v>
      </c>
      <c r="CC25" s="59">
        <f t="shared" si="11"/>
        <v>356.93835028694355</v>
      </c>
      <c r="CD25" s="59">
        <f ca="1">AVERAGE(OFFSET($CC$3,0,0,'Données projet'!$E$12+1,1))-AVERAGE(OFFSET($H$3,0,0,'Données projet'!$E$12+1,1))</f>
        <v>555.3092253965317</v>
      </c>
      <c r="CE25" s="59">
        <f t="shared" si="40"/>
        <v>292.20785523952651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10.199999999999999</v>
      </c>
      <c r="CT25" s="12">
        <f>IF('Données projet'!$A$140&gt;35,CT24+CS25-DB24,IF(A25&lt;'Données projet'!$A$140,$CQ$205^A25,IF(A25='Données projet'!$A$140,'Données projet'!$B$140,CT24+CS25-DB24)))</f>
        <v>95.399999999999991</v>
      </c>
      <c r="CU25" s="17">
        <f>CT25*VLOOKUP('Données projet'!$B$13,Paramètres!$A$1:$I$89,3,0)*VLOOKUP('Données projet'!$B$13,Paramètres!$A$1:$I$89,5,0)</f>
        <v>61.01784</v>
      </c>
      <c r="CV25" s="13">
        <f t="shared" si="41"/>
        <v>17.425358414033564</v>
      </c>
      <c r="CW25" s="20">
        <f t="shared" si="13"/>
        <v>136.62190390444178</v>
      </c>
      <c r="CX25" s="59">
        <f t="shared" si="14"/>
        <v>420.17745945999729</v>
      </c>
      <c r="CY25" s="59">
        <f ca="1">AVERAGE(OFFSET($CX$3,0,0,'Données projet'!$E$13+1,1))-AVERAGE(OFFSET($H$3,0,0,'Données projet'!$E$13+1,1))</f>
        <v>269.44168853803717</v>
      </c>
      <c r="CZ25" s="59">
        <f t="shared" si="42"/>
        <v>247.65158389074043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6">
        <f t="shared" si="1"/>
        <v>256.66666666666669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11.4</v>
      </c>
      <c r="N26" s="13">
        <f>IF('Données projet'!$A$36&gt;35,N25+M26-V25,IF(A26&lt;'Données projet'!$A$36,$K$205^A26,IF(A26='Données projet'!$A$36,'Données projet'!$B$36,N25+M26-V25)))</f>
        <v>122.19999999999999</v>
      </c>
      <c r="O26" s="13">
        <f>N26*VLOOKUP('Données projet'!$B$9,Paramètres!$A$1:$I$89,3,0)*VLOOKUP('Données projet'!$B$9,Paramètres!$A$1:$I$89,5,0)</f>
        <v>106.75392000000001</v>
      </c>
      <c r="P26" s="13">
        <f t="shared" si="33"/>
        <v>28.564854626855976</v>
      </c>
      <c r="Q26" s="20">
        <f t="shared" si="2"/>
        <v>235.68019914177421</v>
      </c>
      <c r="R26" s="59">
        <f t="shared" si="0"/>
        <v>520.45797691955204</v>
      </c>
      <c r="S26" s="59">
        <f ca="1">AVERAGE(OFFSET($R$3,0,0,'Données projet'!$E$9+1,1))-AVERAGE(OFFSET($H$3,0,0,'Données projet'!$E$9+1,1))</f>
        <v>381.72225529388083</v>
      </c>
      <c r="T26" s="59">
        <f t="shared" si="34"/>
        <v>360.05900046417361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10.6</v>
      </c>
      <c r="AI26" s="13">
        <f>IF('Données projet'!$A$62&gt;35,AI25+AH26-AQ25,IF(A26&lt;'Données projet'!$A$62,$AF$205^A26,IF(A26='Données projet'!$A$62,'Données projet'!$B$62,AI25+AH26-AQ25)))</f>
        <v>192.8</v>
      </c>
      <c r="AJ26" s="13">
        <f>AI26*VLOOKUP('Données projet'!$B$10,Paramètres!$A$1:$I$89,3,0)*VLOOKUP('Données projet'!$B$10,Paramètres!$A$1:$I$89,5,0)</f>
        <v>174.44543999999999</v>
      </c>
      <c r="AK26" s="13">
        <f t="shared" si="35"/>
        <v>44.08415354960767</v>
      </c>
      <c r="AL26" s="20">
        <f t="shared" si="4"/>
        <v>380.6057087655667</v>
      </c>
      <c r="AM26" s="59">
        <f t="shared" si="5"/>
        <v>665.38348654334447</v>
      </c>
      <c r="AN26" s="59">
        <f ca="1">AVERAGE(OFFSET($AM$3,0,0,'Données projet'!$E$10+1,1))-AVERAGE(OFFSET($H$3,0,0,'Données projet'!$E$10+1,1))</f>
        <v>366.43676005661194</v>
      </c>
      <c r="AO26" s="59">
        <f t="shared" si="36"/>
        <v>513.80016421153414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26.926666666666673</v>
      </c>
      <c r="BD26" s="12">
        <f>IF('Données projet'!$A$88&gt;35,BD25+BC26-BL25,IF(A26&lt;'Données projet'!$A$88,$BA$205^A26,IF(A26='Données projet'!$A$88,'Données projet'!$B$88,BD25+BC26-BL25)))</f>
        <v>262.23333333333335</v>
      </c>
      <c r="BE26" s="13">
        <f>BD26*VLOOKUP('Données projet'!$B$11,Paramètres!$A$1:$I$89,3,0)*VLOOKUP('Données projet'!$B$11,Paramètres!$A$1:$I$89,5,0)</f>
        <v>115.90713333333336</v>
      </c>
      <c r="BF26" s="13">
        <f t="shared" si="37"/>
        <v>30.718485954692074</v>
      </c>
      <c r="BG26" s="20">
        <f t="shared" si="7"/>
        <v>255.37295359331094</v>
      </c>
      <c r="BH26" s="59">
        <f t="shared" si="8"/>
        <v>540.15073137108868</v>
      </c>
      <c r="BI26" s="59">
        <f ca="1">AVERAGE(OFFSET($BH$3,0,0,'Données projet'!$E$11+1,1))-AVERAGE(OFFSET($H$3,0,0,'Données projet'!$E$11+1,1))</f>
        <v>328.58609979635901</v>
      </c>
      <c r="BJ26" s="59">
        <f t="shared" si="38"/>
        <v>432.3494365423407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6.6191240944153984</v>
      </c>
      <c r="BS26" s="22">
        <f t="shared" si="9"/>
        <v>6.6191240944153984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4.0628205128205126</v>
      </c>
      <c r="BY26" s="12">
        <f>IF('Données projet'!$A$114&gt;35,BY25+BX26-CG25,IF(A26&lt;'Données projet'!$A$114,$BV$205^A26,IF(A26='Données projet'!$A$114,'Données projet'!$B$114,BY25+BX26-CG25)))</f>
        <v>39.739965273463824</v>
      </c>
      <c r="BZ26" s="13">
        <f>BY26*VLOOKUP('Données projet'!$B$12,Paramètres!$A$1:$I$89,3,0)*VLOOKUP('Données projet'!$B$12,Paramètres!$A$1:$I$89,5,0)</f>
        <v>37.816550954228177</v>
      </c>
      <c r="CA26" s="13">
        <f t="shared" si="39"/>
        <v>11.418046475500782</v>
      </c>
      <c r="CB26" s="20">
        <f t="shared" si="10"/>
        <v>85.75025719011127</v>
      </c>
      <c r="CC26" s="59">
        <f t="shared" si="11"/>
        <v>370.52803496788903</v>
      </c>
      <c r="CD26" s="59">
        <f ca="1">AVERAGE(OFFSET($CC$3,0,0,'Données projet'!$E$12+1,1))-AVERAGE(OFFSET($H$3,0,0,'Données projet'!$E$12+1,1))</f>
        <v>555.3092253965317</v>
      </c>
      <c r="CE26" s="59">
        <f t="shared" si="40"/>
        <v>292.20785523952651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10.199999999999999</v>
      </c>
      <c r="CT26" s="12">
        <f>IF('Données projet'!$A$140&gt;35,CT25+CS26-DB25,IF(A26&lt;'Données projet'!$A$140,$CQ$205^A26,IF(A26='Données projet'!$A$140,'Données projet'!$B$140,CT25+CS26-DB25)))</f>
        <v>105.6</v>
      </c>
      <c r="CU26" s="17">
        <f>CT26*VLOOKUP('Données projet'!$B$13,Paramètres!$A$1:$I$89,3,0)*VLOOKUP('Données projet'!$B$13,Paramètres!$A$1:$I$89,5,0)</f>
        <v>67.541759999999996</v>
      </c>
      <c r="CV26" s="13">
        <f t="shared" si="41"/>
        <v>19.061725619888932</v>
      </c>
      <c r="CW26" s="20">
        <f t="shared" si="13"/>
        <v>150.83440412130653</v>
      </c>
      <c r="CX26" s="59">
        <f t="shared" si="14"/>
        <v>435.61218189908431</v>
      </c>
      <c r="CY26" s="59">
        <f ca="1">AVERAGE(OFFSET($CX$3,0,0,'Données projet'!$E$13+1,1))-AVERAGE(OFFSET($H$3,0,0,'Données projet'!$E$13+1,1))</f>
        <v>269.44168853803717</v>
      </c>
      <c r="CZ26" s="59">
        <f t="shared" si="42"/>
        <v>247.65158389074043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6">
        <f t="shared" si="1"/>
        <v>256.66666666666669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11.4</v>
      </c>
      <c r="N27" s="13">
        <f>IF('Données projet'!$A$36&gt;35,N26+M27-V26,IF(A27&lt;'Données projet'!$A$36,$K$205^A27,IF(A27='Données projet'!$A$36,'Données projet'!$B$36,N26+M27-V26)))</f>
        <v>133.6</v>
      </c>
      <c r="O27" s="13">
        <f>N27*VLOOKUP('Données projet'!$B$9,Paramètres!$A$1:$I$89,3,0)*VLOOKUP('Données projet'!$B$9,Paramètres!$A$1:$I$89,5,0)</f>
        <v>116.71296000000001</v>
      </c>
      <c r="P27" s="13">
        <f t="shared" si="33"/>
        <v>30.90711634982064</v>
      </c>
      <c r="Q27" s="20">
        <f t="shared" si="2"/>
        <v>257.10496630927094</v>
      </c>
      <c r="R27" s="59">
        <f t="shared" si="0"/>
        <v>543.10496630927094</v>
      </c>
      <c r="S27" s="59">
        <f ca="1">AVERAGE(OFFSET($R$3,0,0,'Données projet'!$E$9+1,1))-AVERAGE(OFFSET($H$3,0,0,'Données projet'!$E$9+1,1))</f>
        <v>381.72225529388083</v>
      </c>
      <c r="T27" s="59">
        <f t="shared" si="34"/>
        <v>360.05900046417361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10.6</v>
      </c>
      <c r="AI27" s="13">
        <f>IF('Données projet'!$A$62&gt;35,AI26+AH27-AQ26,IF(A27&lt;'Données projet'!$A$62,$AF$205^A27,IF(A27='Données projet'!$A$62,'Données projet'!$B$62,AI26+AH27-AQ26)))</f>
        <v>203.4</v>
      </c>
      <c r="AJ27" s="13">
        <f>AI27*VLOOKUP('Données projet'!$B$10,Paramètres!$A$1:$I$89,3,0)*VLOOKUP('Données projet'!$B$10,Paramètres!$A$1:$I$89,5,0)</f>
        <v>184.03631999999999</v>
      </c>
      <c r="AK27" s="13">
        <f t="shared" si="35"/>
        <v>46.219030699200047</v>
      </c>
      <c r="AL27" s="20">
        <f t="shared" si="4"/>
        <v>401.0280691344401</v>
      </c>
      <c r="AM27" s="59">
        <f t="shared" si="5"/>
        <v>687.0280691344401</v>
      </c>
      <c r="AN27" s="59">
        <f ca="1">AVERAGE(OFFSET($AM$3,0,0,'Données projet'!$E$10+1,1))-AVERAGE(OFFSET($H$3,0,0,'Données projet'!$E$10+1,1))</f>
        <v>366.43676005661194</v>
      </c>
      <c r="AO27" s="59">
        <f t="shared" si="36"/>
        <v>513.80016421153414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>
        <f>VLOOKUP(A27,'Données projet'!$A$87:$I$107,2,0)</f>
        <v>289.16000000000003</v>
      </c>
      <c r="BB27" s="12">
        <f>VLOOKUP(A27,'Données projet'!$A$87:$I$107,9,0)</f>
        <v>26.926666666666673</v>
      </c>
      <c r="BC27" s="12">
        <f t="array" ref="BC27">INDEX(BB:BB,MIN(IF(ISNUMBER(BB27:BB223),ROW(BB27:BB223),"")))</f>
        <v>26.926666666666673</v>
      </c>
      <c r="BD27" s="12">
        <f>IF('Données projet'!$A$88&gt;35,BD26+BC27-BL26,IF(A27&lt;'Données projet'!$A$88,$BA$205^A27,IF(A27='Données projet'!$A$88,'Données projet'!$B$88,BD26+BC27-BL26)))</f>
        <v>289.16000000000003</v>
      </c>
      <c r="BE27" s="13">
        <f>BD27*VLOOKUP('Données projet'!$B$11,Paramètres!$A$1:$I$89,3,0)*VLOOKUP('Données projet'!$B$11,Paramètres!$A$1:$I$89,5,0)</f>
        <v>127.80872000000004</v>
      </c>
      <c r="BF27" s="13">
        <f t="shared" si="37"/>
        <v>33.489518988280494</v>
      </c>
      <c r="BG27" s="20">
        <f t="shared" si="7"/>
        <v>280.9277662379219</v>
      </c>
      <c r="BH27" s="59">
        <f t="shared" si="8"/>
        <v>566.9277662379219</v>
      </c>
      <c r="BI27" s="59">
        <f ca="1">AVERAGE(OFFSET($BH$3,0,0,'Données projet'!$E$11+1,1))-AVERAGE(OFFSET($H$3,0,0,'Données projet'!$E$11+1,1))</f>
        <v>328.58609979635901</v>
      </c>
      <c r="BJ27" s="59">
        <f t="shared" si="38"/>
        <v>432.3494365423407</v>
      </c>
      <c r="BK27" s="15">
        <f>IF(ISNA(VLOOKUP(A27,'Données projet'!$A$87:$I$107,3,0)),0,VLOOKUP(A27,'Données projet'!$A$87:$I$107,3,0))</f>
        <v>2</v>
      </c>
      <c r="BL27" s="15">
        <f>IF(ISNA(VLOOKUP(A27,'Données projet'!$A$87:$I$107,4,0)),0,VLOOKUP(A27,'Données projet'!$A$87:$I$107,4,0))</f>
        <v>51.39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0.55000000000000004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16.50739619055717</v>
      </c>
      <c r="BR27" s="21">
        <f>EXP(-LN(2)/2)*BR26+(1-EXP(-LN(2)/2))/(LN(2)/2)*BL27*BO27*VLOOKUP('Données projet'!$B$11,Paramètres!$A$1:$I$89,3,0)*0.475*44/12</f>
        <v>4.6804275326763936</v>
      </c>
      <c r="BS27" s="22">
        <f t="shared" si="9"/>
        <v>21.187823723233564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4.0628205128205126</v>
      </c>
      <c r="BY27" s="12">
        <f>IF('Données projet'!$A$114&gt;35,BY26+BX27-CG26,IF(A27&lt;'Données projet'!$A$114,$BV$205^A27,IF(A27='Données projet'!$A$114,'Données projet'!$B$114,BY26+BX27-CG26)))</f>
        <v>46.640061345320483</v>
      </c>
      <c r="BZ27" s="13">
        <f>BY27*VLOOKUP('Données projet'!$B$12,Paramètres!$A$1:$I$89,3,0)*VLOOKUP('Données projet'!$B$12,Paramètres!$A$1:$I$89,5,0)</f>
        <v>44.382682376206972</v>
      </c>
      <c r="CA27" s="13">
        <f t="shared" si="39"/>
        <v>13.153155497870197</v>
      </c>
      <c r="CB27" s="20">
        <f t="shared" si="10"/>
        <v>100.20825096401774</v>
      </c>
      <c r="CC27" s="59">
        <f t="shared" si="11"/>
        <v>386.20825096401774</v>
      </c>
      <c r="CD27" s="59">
        <f ca="1">AVERAGE(OFFSET($CC$3,0,0,'Données projet'!$E$12+1,1))-AVERAGE(OFFSET($H$3,0,0,'Données projet'!$E$12+1,1))</f>
        <v>555.3092253965317</v>
      </c>
      <c r="CE27" s="59">
        <f t="shared" si="40"/>
        <v>292.20785523952651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10.199999999999999</v>
      </c>
      <c r="CT27" s="12">
        <f>IF('Données projet'!$A$140&gt;35,CT26+CS27-DB26,IF(A27&lt;'Données projet'!$A$140,$CQ$205^A27,IF(A27='Données projet'!$A$140,'Données projet'!$B$140,CT26+CS27-DB26)))</f>
        <v>115.8</v>
      </c>
      <c r="CU27" s="17">
        <f>CT27*VLOOKUP('Données projet'!$B$13,Paramètres!$A$1:$I$89,3,0)*VLOOKUP('Données projet'!$B$13,Paramètres!$A$1:$I$89,5,0)</f>
        <v>74.06568</v>
      </c>
      <c r="CV27" s="13">
        <f t="shared" si="41"/>
        <v>20.679767839019505</v>
      </c>
      <c r="CW27" s="20">
        <f t="shared" si="13"/>
        <v>165.01498831962564</v>
      </c>
      <c r="CX27" s="59">
        <f t="shared" si="14"/>
        <v>451.01498831962567</v>
      </c>
      <c r="CY27" s="59">
        <f ca="1">AVERAGE(OFFSET($CX$3,0,0,'Données projet'!$E$13+1,1))-AVERAGE(OFFSET($H$3,0,0,'Données projet'!$E$13+1,1))</f>
        <v>269.44168853803717</v>
      </c>
      <c r="CZ27" s="59">
        <f t="shared" si="42"/>
        <v>247.65158389074043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6">
        <f t="shared" si="1"/>
        <v>256.66666666666669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145</v>
      </c>
      <c r="L28" s="12">
        <f>VLOOKUP(A28,'Données projet'!$A$35:$I$55,9,0)</f>
        <v>11.4</v>
      </c>
      <c r="M28" s="12">
        <f t="array" ref="M28">INDEX(L:L,MIN(IF(ISNUMBER(L28:L224),ROW(L28:L224),"")))</f>
        <v>11.4</v>
      </c>
      <c r="N28" s="13">
        <f>IF('Données projet'!$A$36&gt;35,N27+M28-V27,IF(A28&lt;'Données projet'!$A$36,$K$205^A28,IF(A28='Données projet'!$A$36,'Données projet'!$B$36,N27+M28-V27)))</f>
        <v>145</v>
      </c>
      <c r="O28" s="13">
        <f>N28*VLOOKUP('Données projet'!$B$9,Paramètres!$A$1:$I$89,3,0)*VLOOKUP('Données projet'!$B$9,Paramètres!$A$1:$I$89,5,0)</f>
        <v>126.67200000000001</v>
      </c>
      <c r="P28" s="13">
        <f t="shared" si="33"/>
        <v>33.226199426361347</v>
      </c>
      <c r="Q28" s="20">
        <f t="shared" si="2"/>
        <v>278.48936400091276</v>
      </c>
      <c r="R28" s="59">
        <f t="shared" si="0"/>
        <v>565.71158622313499</v>
      </c>
      <c r="S28" s="59">
        <f ca="1">AVERAGE(OFFSET($R$3,0,0,'Données projet'!$E$9+1,1))-AVERAGE(OFFSET($H$3,0,0,'Données projet'!$E$9+1,1))</f>
        <v>381.72225529388083</v>
      </c>
      <c r="T28" s="59">
        <f t="shared" si="34"/>
        <v>360.05900046417361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31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214</v>
      </c>
      <c r="AG28" s="12">
        <f>VLOOKUP(A28,'Données projet'!$A$61:$I$81,9,0)</f>
        <v>10.6</v>
      </c>
      <c r="AH28" s="12">
        <f t="array" ref="AH28">INDEX(AG:AG,MIN(IF(ISNUMBER(AG28:AG224),ROW(AG28:AG224),"")))</f>
        <v>10.6</v>
      </c>
      <c r="AI28" s="13">
        <f>IF('Données projet'!$A$62&gt;35,AI27+AH28-AQ27,IF(A28&lt;'Données projet'!$A$62,$AF$205^A28,IF(A28='Données projet'!$A$62,'Données projet'!$B$62,AI27+AH28-AQ27)))</f>
        <v>214</v>
      </c>
      <c r="AJ28" s="13">
        <f>AI28*VLOOKUP('Données projet'!$B$10,Paramètres!$A$1:$I$89,3,0)*VLOOKUP('Données projet'!$B$10,Paramètres!$A$1:$I$89,5,0)</f>
        <v>193.62719999999999</v>
      </c>
      <c r="AK28" s="13">
        <f t="shared" si="35"/>
        <v>48.340990547231193</v>
      </c>
      <c r="AL28" s="20">
        <f t="shared" si="4"/>
        <v>421.42793186976093</v>
      </c>
      <c r="AM28" s="59">
        <f t="shared" si="5"/>
        <v>708.65015409198315</v>
      </c>
      <c r="AN28" s="59">
        <f ca="1">AVERAGE(OFFSET($AM$3,0,0,'Données projet'!$E$10+1,1))-AVERAGE(OFFSET($H$3,0,0,'Données projet'!$E$10+1,1))</f>
        <v>366.43676005661194</v>
      </c>
      <c r="AO28" s="59">
        <f t="shared" si="36"/>
        <v>513.80016421153414</v>
      </c>
      <c r="AP28" s="15">
        <f>IF(ISNA(VLOOKUP(A28,'Données projet'!$A$61:$I$81,3,0)),0,VLOOKUP(A28,'Données projet'!$A$61:$I$81,3,0))</f>
        <v>5</v>
      </c>
      <c r="AQ28" s="15">
        <f>IF(ISNA(VLOOKUP(A28,'Données projet'!$A$61:$I$81,4,0)),0,VLOOKUP(A28,'Données projet'!$A$61:$I$81,4,0))</f>
        <v>14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28.819999999999993</v>
      </c>
      <c r="BD28" s="12">
        <f>IF('Données projet'!$A$88&gt;35,BD27+BC28-BL27,IF(A28&lt;'Données projet'!$A$88,$BA$205^A28,IF(A28='Données projet'!$A$88,'Données projet'!$B$88,BD27+BC28-BL27)))</f>
        <v>266.59000000000003</v>
      </c>
      <c r="BE28" s="13">
        <f>BD28*VLOOKUP('Données projet'!$B$11,Paramètres!$A$1:$I$89,3,0)*VLOOKUP('Données projet'!$B$11,Paramètres!$A$1:$I$89,5,0)</f>
        <v>117.83278000000003</v>
      </c>
      <c r="BF28" s="13">
        <f t="shared" si="37"/>
        <v>31.168995914884995</v>
      </c>
      <c r="BG28" s="20">
        <f t="shared" si="7"/>
        <v>259.5114263850914</v>
      </c>
      <c r="BH28" s="59">
        <f t="shared" si="8"/>
        <v>546.73364860731363</v>
      </c>
      <c r="BI28" s="59">
        <f ca="1">AVERAGE(OFFSET($BH$3,0,0,'Données projet'!$E$11+1,1))-AVERAGE(OFFSET($H$3,0,0,'Données projet'!$E$11+1,1))</f>
        <v>328.58609979635901</v>
      </c>
      <c r="BJ28" s="59">
        <f t="shared" si="38"/>
        <v>432.3494365423407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16.056000573640148</v>
      </c>
      <c r="BR28" s="21">
        <f>EXP(-LN(2)/2)*BR27+(1-EXP(-LN(2)/2))/(LN(2)/2)*BL28*BO28*VLOOKUP('Données projet'!$B$11,Paramètres!$A$1:$I$89,3,0)*0.475*44/12</f>
        <v>3.3095620472076992</v>
      </c>
      <c r="BS28" s="22">
        <f t="shared" si="9"/>
        <v>19.365562620847847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4.0628205128205126</v>
      </c>
      <c r="BY28" s="12">
        <f>IF('Données projet'!$A$114&gt;35,BY27+BX28-CG27,IF(A28&lt;'Données projet'!$A$114,$BV$205^A28,IF(A28='Données projet'!$A$114,'Données projet'!$B$114,BY27+BX28-CG27)))</f>
        <v>54.738229068051083</v>
      </c>
      <c r="BZ28" s="13">
        <f>BY28*VLOOKUP('Données projet'!$B$12,Paramètres!$A$1:$I$89,3,0)*VLOOKUP('Données projet'!$B$12,Paramètres!$A$1:$I$89,5,0)</f>
        <v>52.088898781157418</v>
      </c>
      <c r="CA28" s="13">
        <f t="shared" si="39"/>
        <v>15.151935133769465</v>
      </c>
      <c r="CB28" s="20">
        <f t="shared" si="10"/>
        <v>117.11111906849764</v>
      </c>
      <c r="CC28" s="59">
        <f t="shared" si="11"/>
        <v>404.33334129071989</v>
      </c>
      <c r="CD28" s="59">
        <f ca="1">AVERAGE(OFFSET($CC$3,0,0,'Données projet'!$E$12+1,1))-AVERAGE(OFFSET($H$3,0,0,'Données projet'!$E$12+1,1))</f>
        <v>555.3092253965317</v>
      </c>
      <c r="CE28" s="59">
        <f t="shared" si="40"/>
        <v>292.20785523952651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126</v>
      </c>
      <c r="CR28" s="12">
        <f>VLOOKUP(A28,'Données projet'!$A$139:$I$159,9,0)</f>
        <v>10.199999999999999</v>
      </c>
      <c r="CS28" s="12">
        <f t="array" ref="CS28">INDEX(CR:CR,MIN(IF(ISNUMBER(CR28:CR224),ROW(CR28:CR224),"")))</f>
        <v>10.199999999999999</v>
      </c>
      <c r="CT28" s="12">
        <f>IF('Données projet'!$A$140&gt;35,CT27+CS28-DB27,IF(A28&lt;'Données projet'!$A$140,$CQ$205^A28,IF(A28='Données projet'!$A$140,'Données projet'!$B$140,CT27+CS28-DB27)))</f>
        <v>126</v>
      </c>
      <c r="CU28" s="17">
        <f>CT28*VLOOKUP('Données projet'!$B$13,Paramètres!$A$1:$I$89,3,0)*VLOOKUP('Données projet'!$B$13,Paramètres!$A$1:$I$89,5,0)</f>
        <v>80.589600000000004</v>
      </c>
      <c r="CV28" s="13">
        <f t="shared" si="41"/>
        <v>22.281282727508763</v>
      </c>
      <c r="CW28" s="20">
        <f t="shared" si="13"/>
        <v>179.16678741707778</v>
      </c>
      <c r="CX28" s="59">
        <f t="shared" si="14"/>
        <v>466.38900963930001</v>
      </c>
      <c r="CY28" s="59">
        <f ca="1">AVERAGE(OFFSET($CX$3,0,0,'Données projet'!$E$13+1,1))-AVERAGE(OFFSET($H$3,0,0,'Données projet'!$E$13+1,1))</f>
        <v>269.44168853803717</v>
      </c>
      <c r="CZ28" s="59">
        <f t="shared" si="42"/>
        <v>247.65158389074043</v>
      </c>
      <c r="DA28" s="15">
        <f>IF(ISNA(VLOOKUP(A28,'Données projet'!$A$139:$I$159,3,0)),0,VLOOKUP(A28,'Données projet'!$A$139:$I$159,3,0))</f>
        <v>2</v>
      </c>
      <c r="DB28" s="15">
        <f>IF(ISNA(VLOOKUP(A28,'Données projet'!$A$139:$I$159,4,0)),0,VLOOKUP(A28,'Données projet'!$A$139:$I$159,4,0))</f>
        <v>26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6">
        <f t="shared" si="1"/>
        <v>256.66666666666669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11</v>
      </c>
      <c r="N29" s="13">
        <f>IF('Données projet'!$A$36&gt;35,N28+M29-V28,IF(A29&lt;'Données projet'!$A$36,$K$205^A29,IF(A29='Données projet'!$A$36,'Données projet'!$B$36,N28+M29-V28)))</f>
        <v>125</v>
      </c>
      <c r="O29" s="13">
        <f>N29*VLOOKUP('Données projet'!$B$9,Paramètres!$A$1:$I$89,3,0)*VLOOKUP('Données projet'!$B$9,Paramètres!$A$1:$I$89,5,0)</f>
        <v>109.2</v>
      </c>
      <c r="P29" s="13">
        <f t="shared" si="33"/>
        <v>29.142418334948612</v>
      </c>
      <c r="Q29" s="20">
        <f t="shared" si="2"/>
        <v>240.94637860003544</v>
      </c>
      <c r="R29" s="59">
        <f t="shared" si="0"/>
        <v>529.39082304447993</v>
      </c>
      <c r="S29" s="59">
        <f ca="1">AVERAGE(OFFSET($R$3,0,0,'Données projet'!$E$9+1,1))-AVERAGE(OFFSET($H$3,0,0,'Données projet'!$E$9+1,1))</f>
        <v>381.72225529388083</v>
      </c>
      <c r="T29" s="59">
        <f t="shared" si="34"/>
        <v>360.05900046417361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8.6</v>
      </c>
      <c r="AI29" s="13">
        <f>IF('Données projet'!$A$62&gt;35,AI28+AH29-AQ28,IF(A29&lt;'Données projet'!$A$62,$AF$205^A29,IF(A29='Données projet'!$A$62,'Données projet'!$B$62,AI28+AH29-AQ28)))</f>
        <v>208.6</v>
      </c>
      <c r="AJ29" s="13">
        <f>AI29*VLOOKUP('Données projet'!$B$10,Paramètres!$A$1:$I$89,3,0)*VLOOKUP('Données projet'!$B$10,Paramètres!$A$1:$I$89,5,0)</f>
        <v>188.74127999999999</v>
      </c>
      <c r="AK29" s="13">
        <f t="shared" si="35"/>
        <v>47.261560168122358</v>
      </c>
      <c r="AL29" s="20">
        <f t="shared" si="4"/>
        <v>411.03827995947972</v>
      </c>
      <c r="AM29" s="59">
        <f t="shared" si="5"/>
        <v>699.48272440392418</v>
      </c>
      <c r="AN29" s="59">
        <f ca="1">AVERAGE(OFFSET($AM$3,0,0,'Données projet'!$E$10+1,1))-AVERAGE(OFFSET($H$3,0,0,'Données projet'!$E$10+1,1))</f>
        <v>366.43676005661194</v>
      </c>
      <c r="AO29" s="59">
        <f t="shared" si="36"/>
        <v>513.80016421153414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28.819999999999993</v>
      </c>
      <c r="BD29" s="12">
        <f>IF('Données projet'!$A$88&gt;35,BD28+BC29-BL28,IF(A29&lt;'Données projet'!$A$88,$BA$205^A29,IF(A29='Données projet'!$A$88,'Données projet'!$B$88,BD28+BC29-BL28)))</f>
        <v>295.41000000000003</v>
      </c>
      <c r="BE29" s="13">
        <f>BD29*VLOOKUP('Données projet'!$B$11,Paramètres!$A$1:$I$89,3,0)*VLOOKUP('Données projet'!$B$11,Paramètres!$A$1:$I$89,5,0)</f>
        <v>130.57122000000004</v>
      </c>
      <c r="BF29" s="13">
        <f t="shared" si="37"/>
        <v>34.128317803520218</v>
      </c>
      <c r="BG29" s="20">
        <f t="shared" si="7"/>
        <v>286.85169500779779</v>
      </c>
      <c r="BH29" s="59">
        <f t="shared" si="8"/>
        <v>575.29613945224219</v>
      </c>
      <c r="BI29" s="59">
        <f ca="1">AVERAGE(OFFSET($BH$3,0,0,'Données projet'!$E$11+1,1))-AVERAGE(OFFSET($H$3,0,0,'Données projet'!$E$11+1,1))</f>
        <v>328.58609979635901</v>
      </c>
      <c r="BJ29" s="59">
        <f t="shared" si="38"/>
        <v>432.3494365423407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15.616948393605584</v>
      </c>
      <c r="BR29" s="21">
        <f>EXP(-LN(2)/2)*BR28+(1-EXP(-LN(2)/2))/(LN(2)/2)*BL29*BO29*VLOOKUP('Données projet'!$B$11,Paramètres!$A$1:$I$89,3,0)*0.475*44/12</f>
        <v>2.3402137663381968</v>
      </c>
      <c r="BS29" s="22">
        <f t="shared" si="9"/>
        <v>17.957162159943781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4.0628205128205126</v>
      </c>
      <c r="BY29" s="12">
        <f>IF('Données projet'!$A$114&gt;35,BY28+BX29-CG28,IF(A29&lt;'Données projet'!$A$114,$BV$205^A29,IF(A29='Données projet'!$A$114,'Données projet'!$B$114,BY28+BX29-CG28)))</f>
        <v>64.242491006222849</v>
      </c>
      <c r="BZ29" s="13">
        <f>BY29*VLOOKUP('Données projet'!$B$12,Paramètres!$A$1:$I$89,3,0)*VLOOKUP('Données projet'!$B$12,Paramètres!$A$1:$I$89,5,0)</f>
        <v>61.133154441521668</v>
      </c>
      <c r="CA29" s="13">
        <f t="shared" si="39"/>
        <v>17.454453293366154</v>
      </c>
      <c r="CB29" s="20">
        <f t="shared" si="10"/>
        <v>136.87341680492963</v>
      </c>
      <c r="CC29" s="59">
        <f t="shared" si="11"/>
        <v>425.31786124937412</v>
      </c>
      <c r="CD29" s="59">
        <f ca="1">AVERAGE(OFFSET($CC$3,0,0,'Données projet'!$E$12+1,1))-AVERAGE(OFFSET($H$3,0,0,'Données projet'!$E$12+1,1))</f>
        <v>555.3092253965317</v>
      </c>
      <c r="CE29" s="59">
        <f t="shared" si="40"/>
        <v>292.20785523952651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9.8000000000000007</v>
      </c>
      <c r="CT29" s="12">
        <f>IF('Données projet'!$A$140&gt;35,CT28+CS29-DB28,IF(A29&lt;'Données projet'!$A$140,$CQ$205^A29,IF(A29='Données projet'!$A$140,'Données projet'!$B$140,CT28+CS29-DB28)))</f>
        <v>109.80000000000001</v>
      </c>
      <c r="CU29" s="17">
        <f>CT29*VLOOKUP('Données projet'!$B$13,Paramètres!$A$1:$I$89,3,0)*VLOOKUP('Données projet'!$B$13,Paramètres!$A$1:$I$89,5,0)</f>
        <v>70.228080000000006</v>
      </c>
      <c r="CV29" s="13">
        <f t="shared" si="41"/>
        <v>19.73008714610275</v>
      </c>
      <c r="CW29" s="20">
        <f t="shared" si="13"/>
        <v>156.67714111279562</v>
      </c>
      <c r="CX29" s="59">
        <f t="shared" si="14"/>
        <v>445.12158555724011</v>
      </c>
      <c r="CY29" s="59">
        <f ca="1">AVERAGE(OFFSET($CX$3,0,0,'Données projet'!$E$13+1,1))-AVERAGE(OFFSET($H$3,0,0,'Données projet'!$E$13+1,1))</f>
        <v>269.44168853803717</v>
      </c>
      <c r="CZ29" s="59">
        <f t="shared" si="42"/>
        <v>247.65158389074043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6">
        <f t="shared" si="1"/>
        <v>256.66666666666669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11</v>
      </c>
      <c r="N30" s="13">
        <f>IF('Données projet'!$A$36&gt;35,N29+M30-V29,IF(A30&lt;'Données projet'!$A$36,$K$205^A30,IF(A30='Données projet'!$A$36,'Données projet'!$B$36,N29+M30-V29)))</f>
        <v>136</v>
      </c>
      <c r="O30" s="13">
        <f>N30*VLOOKUP('Données projet'!$B$9,Paramètres!$A$1:$I$89,3,0)*VLOOKUP('Données projet'!$B$9,Paramètres!$A$1:$I$89,5,0)</f>
        <v>118.80960000000002</v>
      </c>
      <c r="P30" s="13">
        <f t="shared" si="33"/>
        <v>31.39719715333722</v>
      </c>
      <c r="Q30" s="20">
        <f t="shared" si="2"/>
        <v>261.61017170872901</v>
      </c>
      <c r="R30" s="59">
        <f t="shared" si="0"/>
        <v>551.27683837539576</v>
      </c>
      <c r="S30" s="59">
        <f ca="1">AVERAGE(OFFSET($R$3,0,0,'Données projet'!$E$9+1,1))-AVERAGE(OFFSET($H$3,0,0,'Données projet'!$E$9+1,1))</f>
        <v>381.72225529388083</v>
      </c>
      <c r="T30" s="59">
        <f t="shared" si="34"/>
        <v>360.05900046417361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8.6</v>
      </c>
      <c r="AI30" s="13">
        <f>IF('Données projet'!$A$62&gt;35,AI29+AH30-AQ29,IF(A30&lt;'Données projet'!$A$62,$AF$205^A30,IF(A30='Données projet'!$A$62,'Données projet'!$B$62,AI29+AH30-AQ29)))</f>
        <v>217.2</v>
      </c>
      <c r="AJ30" s="13">
        <f>AI30*VLOOKUP('Données projet'!$B$10,Paramètres!$A$1:$I$89,3,0)*VLOOKUP('Données projet'!$B$10,Paramètres!$A$1:$I$89,5,0)</f>
        <v>196.52255999999997</v>
      </c>
      <c r="AK30" s="13">
        <f t="shared" si="35"/>
        <v>48.979153257338155</v>
      </c>
      <c r="AL30" s="20">
        <f t="shared" si="4"/>
        <v>427.58215058986383</v>
      </c>
      <c r="AM30" s="59">
        <f t="shared" si="5"/>
        <v>717.24881725653051</v>
      </c>
      <c r="AN30" s="59">
        <f ca="1">AVERAGE(OFFSET($AM$3,0,0,'Données projet'!$E$10+1,1))-AVERAGE(OFFSET($H$3,0,0,'Données projet'!$E$10+1,1))</f>
        <v>366.43676005661194</v>
      </c>
      <c r="AO30" s="59">
        <f t="shared" si="36"/>
        <v>513.80016421153414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28.819999999999993</v>
      </c>
      <c r="BD30" s="12">
        <f>IF('Données projet'!$A$88&gt;35,BD29+BC30-BL29,IF(A30&lt;'Données projet'!$A$88,$BA$205^A30,IF(A30='Données projet'!$A$88,'Données projet'!$B$88,BD29+BC30-BL29)))</f>
        <v>324.23</v>
      </c>
      <c r="BE30" s="13">
        <f>BD30*VLOOKUP('Données projet'!$B$11,Paramètres!$A$1:$I$89,3,0)*VLOOKUP('Données projet'!$B$11,Paramètres!$A$1:$I$89,5,0)</f>
        <v>143.30966000000004</v>
      </c>
      <c r="BF30" s="13">
        <f t="shared" si="37"/>
        <v>37.054168007162026</v>
      </c>
      <c r="BG30" s="20">
        <f t="shared" si="7"/>
        <v>314.13366711247392</v>
      </c>
      <c r="BH30" s="59">
        <f t="shared" si="8"/>
        <v>603.8003337791406</v>
      </c>
      <c r="BI30" s="59">
        <f ca="1">AVERAGE(OFFSET($BH$3,0,0,'Données projet'!$E$11+1,1))-AVERAGE(OFFSET($H$3,0,0,'Données projet'!$E$11+1,1))</f>
        <v>328.58609979635901</v>
      </c>
      <c r="BJ30" s="59">
        <f t="shared" si="38"/>
        <v>432.3494365423407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15.189902118522816</v>
      </c>
      <c r="BR30" s="21">
        <f>EXP(-LN(2)/2)*BR29+(1-EXP(-LN(2)/2))/(LN(2)/2)*BL30*BO30*VLOOKUP('Données projet'!$B$11,Paramètres!$A$1:$I$89,3,0)*0.475*44/12</f>
        <v>1.6547810236038496</v>
      </c>
      <c r="BS30" s="22">
        <f t="shared" si="9"/>
        <v>16.844683142126666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4.0628205128205126</v>
      </c>
      <c r="BY30" s="12">
        <f>IF('Données projet'!$A$114&gt;35,BY29+BX30-CG29,IF(A30&lt;'Données projet'!$A$114,$BV$205^A30,IF(A30='Données projet'!$A$114,'Données projet'!$B$114,BY29+BX30-CG29)))</f>
        <v>75.396988922564091</v>
      </c>
      <c r="BZ30" s="13">
        <f>BY30*VLOOKUP('Données projet'!$B$12,Paramètres!$A$1:$I$89,3,0)*VLOOKUP('Données projet'!$B$12,Paramètres!$A$1:$I$89,5,0)</f>
        <v>71.74777465871199</v>
      </c>
      <c r="CA30" s="13">
        <f t="shared" si="39"/>
        <v>20.106866686044771</v>
      </c>
      <c r="CB30" s="20">
        <f t="shared" si="10"/>
        <v>159.98016700878466</v>
      </c>
      <c r="CC30" s="59">
        <f t="shared" si="11"/>
        <v>449.64683367545138</v>
      </c>
      <c r="CD30" s="59">
        <f ca="1">AVERAGE(OFFSET($CC$3,0,0,'Données projet'!$E$12+1,1))-AVERAGE(OFFSET($H$3,0,0,'Données projet'!$E$12+1,1))</f>
        <v>555.3092253965317</v>
      </c>
      <c r="CE30" s="59">
        <f t="shared" si="40"/>
        <v>292.20785523952651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9.8000000000000007</v>
      </c>
      <c r="CT30" s="12">
        <f>IF('Données projet'!$A$140&gt;35,CT29+CS30-DB29,IF(A30&lt;'Données projet'!$A$140,$CQ$205^A30,IF(A30='Données projet'!$A$140,'Données projet'!$B$140,CT29+CS30-DB29)))</f>
        <v>119.60000000000001</v>
      </c>
      <c r="CU30" s="17">
        <f>CT30*VLOOKUP('Données projet'!$B$13,Paramètres!$A$1:$I$89,3,0)*VLOOKUP('Données projet'!$B$13,Paramètres!$A$1:$I$89,5,0)</f>
        <v>76.496160000000003</v>
      </c>
      <c r="CV30" s="13">
        <f t="shared" si="41"/>
        <v>21.278256808653087</v>
      </c>
      <c r="CW30" s="20">
        <f t="shared" si="13"/>
        <v>170.29044260840411</v>
      </c>
      <c r="CX30" s="59">
        <f t="shared" si="14"/>
        <v>459.95710927507082</v>
      </c>
      <c r="CY30" s="59">
        <f ca="1">AVERAGE(OFFSET($CX$3,0,0,'Données projet'!$E$13+1,1))-AVERAGE(OFFSET($H$3,0,0,'Données projet'!$E$13+1,1))</f>
        <v>269.44168853803717</v>
      </c>
      <c r="CZ30" s="59">
        <f t="shared" si="42"/>
        <v>247.65158389074043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6">
        <f t="shared" si="1"/>
        <v>256.66666666666669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11</v>
      </c>
      <c r="N31" s="13">
        <f>IF('Données projet'!$A$36&gt;35,N30+M31-V30,IF(A31&lt;'Données projet'!$A$36,$K$205^A31,IF(A31='Données projet'!$A$36,'Données projet'!$B$36,N30+M31-V30)))</f>
        <v>147</v>
      </c>
      <c r="O31" s="13">
        <f>N31*VLOOKUP('Données projet'!$B$9,Paramètres!$A$1:$I$89,3,0)*VLOOKUP('Données projet'!$B$9,Paramètres!$A$1:$I$89,5,0)</f>
        <v>128.41920000000002</v>
      </c>
      <c r="P31" s="13">
        <f t="shared" si="33"/>
        <v>33.630823177860762</v>
      </c>
      <c r="Q31" s="20">
        <f t="shared" si="2"/>
        <v>282.23712370144091</v>
      </c>
      <c r="R31" s="59">
        <f t="shared" si="0"/>
        <v>573.12601259032976</v>
      </c>
      <c r="S31" s="59">
        <f ca="1">AVERAGE(OFFSET($R$3,0,0,'Données projet'!$E$9+1,1))-AVERAGE(OFFSET($H$3,0,0,'Données projet'!$E$9+1,1))</f>
        <v>381.72225529388083</v>
      </c>
      <c r="T31" s="59">
        <f t="shared" si="34"/>
        <v>360.05900046417361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8.6</v>
      </c>
      <c r="AI31" s="13">
        <f>IF('Données projet'!$A$62&gt;35,AI30+AH31-AQ30,IF(A31&lt;'Données projet'!$A$62,$AF$205^A31,IF(A31='Données projet'!$A$62,'Données projet'!$B$62,AI30+AH31-AQ30)))</f>
        <v>225.79999999999998</v>
      </c>
      <c r="AJ31" s="13">
        <f>AI31*VLOOKUP('Données projet'!$B$10,Paramètres!$A$1:$I$89,3,0)*VLOOKUP('Données projet'!$B$10,Paramètres!$A$1:$I$89,5,0)</f>
        <v>204.30383999999995</v>
      </c>
      <c r="AK31" s="13">
        <f t="shared" si="35"/>
        <v>50.688846269088558</v>
      </c>
      <c r="AL31" s="20">
        <f t="shared" si="4"/>
        <v>444.11226191866245</v>
      </c>
      <c r="AM31" s="59">
        <f t="shared" si="5"/>
        <v>735.00115080755131</v>
      </c>
      <c r="AN31" s="59">
        <f ca="1">AVERAGE(OFFSET($AM$3,0,0,'Données projet'!$E$10+1,1))-AVERAGE(OFFSET($H$3,0,0,'Données projet'!$E$10+1,1))</f>
        <v>366.43676005661194</v>
      </c>
      <c r="AO31" s="59">
        <f t="shared" si="36"/>
        <v>513.80016421153414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28.819999999999993</v>
      </c>
      <c r="BD31" s="12">
        <f>IF('Données projet'!$A$88&gt;35,BD30+BC31-BL30,IF(A31&lt;'Données projet'!$A$88,$BA$205^A31,IF(A31='Données projet'!$A$88,'Données projet'!$B$88,BD30+BC31-BL30)))</f>
        <v>353.05</v>
      </c>
      <c r="BE31" s="13">
        <f>BD31*VLOOKUP('Données projet'!$B$11,Paramètres!$A$1:$I$89,3,0)*VLOOKUP('Données projet'!$B$11,Paramètres!$A$1:$I$89,5,0)</f>
        <v>156.04810000000001</v>
      </c>
      <c r="BF31" s="13">
        <f t="shared" si="37"/>
        <v>39.949860060736107</v>
      </c>
      <c r="BG31" s="20">
        <f t="shared" si="7"/>
        <v>341.36311377244874</v>
      </c>
      <c r="BH31" s="59">
        <f t="shared" si="8"/>
        <v>632.25200266133766</v>
      </c>
      <c r="BI31" s="59">
        <f ca="1">AVERAGE(OFFSET($BH$3,0,0,'Données projet'!$E$11+1,1))-AVERAGE(OFFSET($H$3,0,0,'Données projet'!$E$11+1,1))</f>
        <v>328.58609979635901</v>
      </c>
      <c r="BJ31" s="59">
        <f t="shared" si="38"/>
        <v>432.3494365423407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14.774533446289574</v>
      </c>
      <c r="BR31" s="21">
        <f>EXP(-LN(2)/2)*BR30+(1-EXP(-LN(2)/2))/(LN(2)/2)*BL31*BO31*VLOOKUP('Données projet'!$B$11,Paramètres!$A$1:$I$89,3,0)*0.475*44/12</f>
        <v>1.1701068831690984</v>
      </c>
      <c r="BS31" s="22">
        <f t="shared" si="9"/>
        <v>15.944640329458672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4.0628205128205126</v>
      </c>
      <c r="BY31" s="12">
        <f>IF('Données projet'!$A$114&gt;35,BY30+BX31-CG30,IF(A31&lt;'Données projet'!$A$114,$BV$205^A31,IF(A31='Données projet'!$A$114,'Données projet'!$B$114,BY30+BX31-CG30)))</f>
        <v>88.488255196060223</v>
      </c>
      <c r="BZ31" s="13">
        <f>BY31*VLOOKUP('Données projet'!$B$12,Paramètres!$A$1:$I$89,3,0)*VLOOKUP('Données projet'!$B$12,Paramètres!$A$1:$I$89,5,0)</f>
        <v>84.205423644570914</v>
      </c>
      <c r="CA31" s="13">
        <f t="shared" si="39"/>
        <v>23.162346086430109</v>
      </c>
      <c r="CB31" s="20">
        <f t="shared" si="10"/>
        <v>186.99886561482674</v>
      </c>
      <c r="CC31" s="59">
        <f t="shared" si="11"/>
        <v>477.8877545037156</v>
      </c>
      <c r="CD31" s="59">
        <f ca="1">AVERAGE(OFFSET($CC$3,0,0,'Données projet'!$E$12+1,1))-AVERAGE(OFFSET($H$3,0,0,'Données projet'!$E$12+1,1))</f>
        <v>555.3092253965317</v>
      </c>
      <c r="CE31" s="59">
        <f t="shared" si="40"/>
        <v>292.20785523952651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9.8000000000000007</v>
      </c>
      <c r="CT31" s="12">
        <f>IF('Données projet'!$A$140&gt;35,CT30+CS31-DB30,IF(A31&lt;'Données projet'!$A$140,$CQ$205^A31,IF(A31='Données projet'!$A$140,'Données projet'!$B$140,CT30+CS31-DB30)))</f>
        <v>129.4</v>
      </c>
      <c r="CU31" s="17">
        <f>CT31*VLOOKUP('Données projet'!$B$13,Paramètres!$A$1:$I$89,3,0)*VLOOKUP('Données projet'!$B$13,Paramètres!$A$1:$I$89,5,0)</f>
        <v>82.764240000000001</v>
      </c>
      <c r="CV31" s="13">
        <f t="shared" si="41"/>
        <v>22.811713176658596</v>
      </c>
      <c r="CW31" s="20">
        <f t="shared" si="13"/>
        <v>183.87811844934708</v>
      </c>
      <c r="CX31" s="59">
        <f t="shared" si="14"/>
        <v>474.76700733823594</v>
      </c>
      <c r="CY31" s="59">
        <f ca="1">AVERAGE(OFFSET($CX$3,0,0,'Données projet'!$E$13+1,1))-AVERAGE(OFFSET($H$3,0,0,'Données projet'!$E$13+1,1))</f>
        <v>269.44168853803717</v>
      </c>
      <c r="CZ31" s="59">
        <f t="shared" si="42"/>
        <v>247.65158389074043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6">
        <f t="shared" si="1"/>
        <v>256.66666666666669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11</v>
      </c>
      <c r="N32" s="13">
        <f>IF('Données projet'!$A$36&gt;35,N31+M32-V31,IF(A32&lt;'Données projet'!$A$36,$K$205^A32,IF(A32='Données projet'!$A$36,'Données projet'!$B$36,N31+M32-V31)))</f>
        <v>158</v>
      </c>
      <c r="O32" s="13">
        <f>N32*VLOOKUP('Données projet'!$B$9,Paramètres!$A$1:$I$89,3,0)*VLOOKUP('Données projet'!$B$9,Paramètres!$A$1:$I$89,5,0)</f>
        <v>138.02880000000002</v>
      </c>
      <c r="P32" s="13">
        <f t="shared" si="33"/>
        <v>35.845059256813073</v>
      </c>
      <c r="Q32" s="20">
        <f t="shared" si="2"/>
        <v>302.8303048722828</v>
      </c>
      <c r="R32" s="59">
        <f t="shared" si="0"/>
        <v>594.94141598339388</v>
      </c>
      <c r="S32" s="59">
        <f ca="1">AVERAGE(OFFSET($R$3,0,0,'Données projet'!$E$9+1,1))-AVERAGE(OFFSET($H$3,0,0,'Données projet'!$E$9+1,1))</f>
        <v>381.72225529388083</v>
      </c>
      <c r="T32" s="59">
        <f t="shared" si="34"/>
        <v>360.05900046417361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8.6</v>
      </c>
      <c r="AI32" s="13">
        <f>IF('Données projet'!$A$62&gt;35,AI31+AH32-AQ31,IF(A32&lt;'Données projet'!$A$62,$AF$205^A32,IF(A32='Données projet'!$A$62,'Données projet'!$B$62,AI31+AH32-AQ31)))</f>
        <v>234.39999999999998</v>
      </c>
      <c r="AJ32" s="13">
        <f>AI32*VLOOKUP('Données projet'!$B$10,Paramètres!$A$1:$I$89,3,0)*VLOOKUP('Données projet'!$B$10,Paramètres!$A$1:$I$89,5,0)</f>
        <v>212.08511999999996</v>
      </c>
      <c r="AK32" s="13">
        <f t="shared" si="35"/>
        <v>52.390974537063087</v>
      </c>
      <c r="AL32" s="20">
        <f t="shared" si="4"/>
        <v>460.62919798538474</v>
      </c>
      <c r="AM32" s="59">
        <f t="shared" si="5"/>
        <v>752.74030909649582</v>
      </c>
      <c r="AN32" s="59">
        <f ca="1">AVERAGE(OFFSET($AM$3,0,0,'Données projet'!$E$10+1,1))-AVERAGE(OFFSET($H$3,0,0,'Données projet'!$E$10+1,1))</f>
        <v>366.43676005661194</v>
      </c>
      <c r="AO32" s="59">
        <f t="shared" si="36"/>
        <v>513.80016421153414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28.819999999999993</v>
      </c>
      <c r="BD32" s="12">
        <f>IF('Données projet'!$A$88&gt;35,BD31+BC32-BL31,IF(A32&lt;'Données projet'!$A$88,$BA$205^A32,IF(A32='Données projet'!$A$88,'Données projet'!$B$88,BD31+BC32-BL31)))</f>
        <v>381.87</v>
      </c>
      <c r="BE32" s="13">
        <f>BD32*VLOOKUP('Données projet'!$B$11,Paramètres!$A$1:$I$89,3,0)*VLOOKUP('Données projet'!$B$11,Paramètres!$A$1:$I$89,5,0)</f>
        <v>168.78654</v>
      </c>
      <c r="BF32" s="13">
        <f t="shared" si="37"/>
        <v>42.81813570701425</v>
      </c>
      <c r="BG32" s="20">
        <f t="shared" si="7"/>
        <v>368.54481018971654</v>
      </c>
      <c r="BH32" s="59">
        <f t="shared" si="8"/>
        <v>660.65592130082769</v>
      </c>
      <c r="BI32" s="59">
        <f ca="1">AVERAGE(OFFSET($BH$3,0,0,'Données projet'!$E$11+1,1))-AVERAGE(OFFSET($H$3,0,0,'Données projet'!$E$11+1,1))</f>
        <v>328.58609979635901</v>
      </c>
      <c r="BJ32" s="59">
        <f t="shared" si="38"/>
        <v>432.3494365423407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14.37052305224184</v>
      </c>
      <c r="BR32" s="21">
        <f>EXP(-LN(2)/2)*BR31+(1-EXP(-LN(2)/2))/(LN(2)/2)*BL32*BO32*VLOOKUP('Données projet'!$B$11,Paramètres!$A$1:$I$89,3,0)*0.475*44/12</f>
        <v>0.8273905118019248</v>
      </c>
      <c r="BS32" s="22">
        <f t="shared" si="9"/>
        <v>15.197913564043764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4.0628205128205126</v>
      </c>
      <c r="BY32" s="12">
        <f>IF('Données projet'!$A$114&gt;35,BY31+BX32-CG31,IF(A32&lt;'Données projet'!$A$114,$BV$205^A32,IF(A32='Données projet'!$A$114,'Données projet'!$B$114,BY31+BX32-CG31)))</f>
        <v>103.85257315361756</v>
      </c>
      <c r="BZ32" s="13">
        <f>BY32*VLOOKUP('Données projet'!$B$12,Paramètres!$A$1:$I$89,3,0)*VLOOKUP('Données projet'!$B$12,Paramètres!$A$1:$I$89,5,0)</f>
        <v>98.826108612982466</v>
      </c>
      <c r="CA32" s="13">
        <f t="shared" si="39"/>
        <v>26.682142205673451</v>
      </c>
      <c r="CB32" s="20">
        <f t="shared" si="10"/>
        <v>218.59353684249234</v>
      </c>
      <c r="CC32" s="59">
        <f t="shared" si="11"/>
        <v>510.70464795360351</v>
      </c>
      <c r="CD32" s="59">
        <f ca="1">AVERAGE(OFFSET($CC$3,0,0,'Données projet'!$E$12+1,1))-AVERAGE(OFFSET($H$3,0,0,'Données projet'!$E$12+1,1))</f>
        <v>555.3092253965317</v>
      </c>
      <c r="CE32" s="59">
        <f t="shared" si="40"/>
        <v>292.20785523952651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9.8000000000000007</v>
      </c>
      <c r="CT32" s="12">
        <f>IF('Données projet'!$A$140&gt;35,CT31+CS32-DB31,IF(A32&lt;'Données projet'!$A$140,$CQ$205^A32,IF(A32='Données projet'!$A$140,'Données projet'!$B$140,CT31+CS32-DB31)))</f>
        <v>139.20000000000002</v>
      </c>
      <c r="CU32" s="17">
        <f>CT32*VLOOKUP('Données projet'!$B$13,Paramètres!$A$1:$I$89,3,0)*VLOOKUP('Données projet'!$B$13,Paramètres!$A$1:$I$89,5,0)</f>
        <v>89.032320000000013</v>
      </c>
      <c r="CV32" s="13">
        <f t="shared" si="41"/>
        <v>24.331697249847547</v>
      </c>
      <c r="CW32" s="20">
        <f t="shared" si="13"/>
        <v>197.4423300434845</v>
      </c>
      <c r="CX32" s="59">
        <f t="shared" si="14"/>
        <v>489.55344115459565</v>
      </c>
      <c r="CY32" s="59">
        <f ca="1">AVERAGE(OFFSET($CX$3,0,0,'Données projet'!$E$13+1,1))-AVERAGE(OFFSET($H$3,0,0,'Données projet'!$E$13+1,1))</f>
        <v>269.44168853803717</v>
      </c>
      <c r="CZ32" s="59">
        <f t="shared" si="42"/>
        <v>247.65158389074043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6">
        <f t="shared" si="1"/>
        <v>256.66666666666669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169</v>
      </c>
      <c r="L33" s="12">
        <f>VLOOKUP(A33,'Données projet'!$A$35:$I$55,9,0)</f>
        <v>11</v>
      </c>
      <c r="M33" s="12">
        <f t="array" ref="M33">INDEX(L:L,MIN(IF(ISNUMBER(L33:L229),ROW(L33:L229),"")))</f>
        <v>11</v>
      </c>
      <c r="N33" s="13">
        <f>IF('Données projet'!$A$36&gt;35,N32+M33-V32,IF(A33&lt;'Données projet'!$A$36,$K$205^A33,IF(A33='Données projet'!$A$36,'Données projet'!$B$36,N32+M33-V32)))</f>
        <v>169</v>
      </c>
      <c r="O33" s="13">
        <f>N33*VLOOKUP('Données projet'!$B$9,Paramètres!$A$1:$I$89,3,0)*VLOOKUP('Données projet'!$B$9,Paramètres!$A$1:$I$89,5,0)</f>
        <v>147.63840000000002</v>
      </c>
      <c r="P33" s="13">
        <f t="shared" si="33"/>
        <v>38.04140887895133</v>
      </c>
      <c r="Q33" s="20">
        <f t="shared" si="2"/>
        <v>323.39233379750692</v>
      </c>
      <c r="R33" s="59">
        <f t="shared" si="0"/>
        <v>616.72566713084029</v>
      </c>
      <c r="S33" s="59">
        <f ca="1">AVERAGE(OFFSET($R$3,0,0,'Données projet'!$E$9+1,1))-AVERAGE(OFFSET($H$3,0,0,'Données projet'!$E$9+1,1))</f>
        <v>381.72225529388083</v>
      </c>
      <c r="T33" s="59">
        <f t="shared" si="34"/>
        <v>360.05900046417361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32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243</v>
      </c>
      <c r="AG33" s="12">
        <f>VLOOKUP(A33,'Données projet'!$A$61:$I$81,9,0)</f>
        <v>8.6</v>
      </c>
      <c r="AH33" s="12">
        <f t="array" ref="AH33">INDEX(AG:AG,MIN(IF(ISNUMBER(AG33:AG229),ROW(AG33:AG229),"")))</f>
        <v>8.6</v>
      </c>
      <c r="AI33" s="13">
        <f>IF('Données projet'!$A$62&gt;35,AI32+AH33-AQ32,IF(A33&lt;'Données projet'!$A$62,$AF$205^A33,IF(A33='Données projet'!$A$62,'Données projet'!$B$62,AI32+AH33-AQ32)))</f>
        <v>242.99999999999997</v>
      </c>
      <c r="AJ33" s="13">
        <f>AI33*VLOOKUP('Données projet'!$B$10,Paramètres!$A$1:$I$89,3,0)*VLOOKUP('Données projet'!$B$10,Paramètres!$A$1:$I$89,5,0)</f>
        <v>219.86639999999997</v>
      </c>
      <c r="AK33" s="13">
        <f t="shared" si="35"/>
        <v>54.085847394182416</v>
      </c>
      <c r="AL33" s="20">
        <f t="shared" si="4"/>
        <v>477.13349754486762</v>
      </c>
      <c r="AM33" s="59">
        <f t="shared" si="5"/>
        <v>770.46683087820088</v>
      </c>
      <c r="AN33" s="59">
        <f ca="1">AVERAGE(OFFSET($AM$3,0,0,'Données projet'!$E$10+1,1))-AVERAGE(OFFSET($H$3,0,0,'Données projet'!$E$10+1,1))</f>
        <v>366.43676005661194</v>
      </c>
      <c r="AO33" s="59">
        <f t="shared" si="36"/>
        <v>513.80016421153414</v>
      </c>
      <c r="AP33" s="15">
        <f>IF(ISNA(VLOOKUP(A33,'Données projet'!$A$61:$I$81,3,0)),0,VLOOKUP(A33,'Données projet'!$A$61:$I$81,3,0))</f>
        <v>6</v>
      </c>
      <c r="AQ33" s="15">
        <f>IF(ISNA(VLOOKUP(A33,'Données projet'!$A$61:$I$81,4,0)),0,VLOOKUP(A33,'Données projet'!$A$61:$I$81,4,0))</f>
        <v>11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410.69</v>
      </c>
      <c r="BB33" s="12">
        <f>VLOOKUP(A33,'Données projet'!$A$87:$I$107,9,0)</f>
        <v>28.819999999999993</v>
      </c>
      <c r="BC33" s="12">
        <f t="array" ref="BC33">INDEX(BB:BB,MIN(IF(ISNUMBER(BB33:BB229),ROW(BB33:BB229),"")))</f>
        <v>28.819999999999993</v>
      </c>
      <c r="BD33" s="12">
        <f>IF('Données projet'!$A$88&gt;35,BD32+BC33-BL32,IF(A33&lt;'Données projet'!$A$88,$BA$205^A33,IF(A33='Données projet'!$A$88,'Données projet'!$B$88,BD32+BC33-BL32)))</f>
        <v>410.69</v>
      </c>
      <c r="BE33" s="13">
        <f>BD33*VLOOKUP('Données projet'!$B$11,Paramètres!$A$1:$I$89,3,0)*VLOOKUP('Données projet'!$B$11,Paramètres!$A$1:$I$89,5,0)</f>
        <v>181.52498000000003</v>
      </c>
      <c r="BF33" s="13">
        <f t="shared" si="37"/>
        <v>45.661299354454037</v>
      </c>
      <c r="BG33" s="20">
        <f t="shared" si="7"/>
        <v>395.68276987567407</v>
      </c>
      <c r="BH33" s="59">
        <f t="shared" si="8"/>
        <v>689.01610320900738</v>
      </c>
      <c r="BI33" s="59">
        <f ca="1">AVERAGE(OFFSET($BH$3,0,0,'Données projet'!$E$11+1,1))-AVERAGE(OFFSET($H$3,0,0,'Données projet'!$E$11+1,1))</f>
        <v>328.58609979635901</v>
      </c>
      <c r="BJ33" s="59">
        <f t="shared" si="38"/>
        <v>432.3494365423407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80.97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0.55000000000000004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39.986586799190022</v>
      </c>
      <c r="BR33" s="21">
        <f>EXP(-LN(2)/2)*BR32+(1-EXP(-LN(2)/2))/(LN(2)/2)*BL33*BO33*VLOOKUP('Données projet'!$B$11,Paramètres!$A$1:$I$89,3,0)*0.475*44/12</f>
        <v>0.58505344158454919</v>
      </c>
      <c r="BS33" s="22">
        <f t="shared" si="9"/>
        <v>40.57164024077457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121.88461538461537</v>
      </c>
      <c r="BW33" s="12">
        <f>VLOOKUP(A33,'Données projet'!$A$113:$I$133,9,0)</f>
        <v>4.0628205128205126</v>
      </c>
      <c r="BX33" s="12">
        <f t="array" ref="BX33">INDEX(BW:BW,MIN(IF(ISNUMBER(BW33:BW229),ROW(BW33:BW229),"")))</f>
        <v>4.0628205128205126</v>
      </c>
      <c r="BY33" s="12">
        <f>IF('Données projet'!$A$114&gt;35,BY32+BX33-CG32,IF(A33&lt;'Données projet'!$A$114,$BV$205^A33,IF(A33='Données projet'!$A$114,'Données projet'!$B$114,BY32+BX33-CG32)))</f>
        <v>121.88461538461537</v>
      </c>
      <c r="BZ33" s="13">
        <f>BY33*VLOOKUP('Données projet'!$B$12,Paramètres!$A$1:$I$89,3,0)*VLOOKUP('Données projet'!$B$12,Paramètres!$A$1:$I$89,5,0)</f>
        <v>115.98539999999998</v>
      </c>
      <c r="CA33" s="13">
        <f t="shared" si="39"/>
        <v>30.736813534656417</v>
      </c>
      <c r="CB33" s="20">
        <f t="shared" si="10"/>
        <v>255.54118857285985</v>
      </c>
      <c r="CC33" s="59">
        <f t="shared" si="11"/>
        <v>548.87452190619319</v>
      </c>
      <c r="CD33" s="59">
        <f ca="1">AVERAGE(OFFSET($CC$3,0,0,'Données projet'!$E$12+1,1))-AVERAGE(OFFSET($H$3,0,0,'Données projet'!$E$12+1,1))</f>
        <v>555.3092253965317</v>
      </c>
      <c r="CE33" s="59">
        <f t="shared" si="40"/>
        <v>292.20785523952651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149</v>
      </c>
      <c r="CR33" s="12">
        <f>VLOOKUP(A33,'Données projet'!$A$139:$I$159,9,0)</f>
        <v>9.8000000000000007</v>
      </c>
      <c r="CS33" s="12">
        <f t="array" ref="CS33">INDEX(CR:CR,MIN(IF(ISNUMBER(CR33:CR229),ROW(CR33:CR229),"")))</f>
        <v>9.8000000000000007</v>
      </c>
      <c r="CT33" s="12">
        <f>IF('Données projet'!$A$140&gt;35,CT32+CS33-DB32,IF(A33&lt;'Données projet'!$A$140,$CQ$205^A33,IF(A33='Données projet'!$A$140,'Données projet'!$B$140,CT32+CS33-DB32)))</f>
        <v>149.00000000000003</v>
      </c>
      <c r="CU33" s="17">
        <f>CT33*VLOOKUP('Données projet'!$B$13,Paramètres!$A$1:$I$89,3,0)*VLOOKUP('Données projet'!$B$13,Paramètres!$A$1:$I$89,5,0)</f>
        <v>95.300400000000025</v>
      </c>
      <c r="CV33" s="13">
        <f t="shared" si="41"/>
        <v>25.839265391812681</v>
      </c>
      <c r="CW33" s="20">
        <f t="shared" si="13"/>
        <v>210.9849172240738</v>
      </c>
      <c r="CX33" s="59">
        <f t="shared" si="14"/>
        <v>504.31825055740711</v>
      </c>
      <c r="CY33" s="59">
        <f ca="1">AVERAGE(OFFSET($CX$3,0,0,'Données projet'!$E$13+1,1))-AVERAGE(OFFSET($H$3,0,0,'Données projet'!$E$13+1,1))</f>
        <v>269.44168853803717</v>
      </c>
      <c r="CZ33" s="59">
        <f t="shared" si="42"/>
        <v>247.65158389074043</v>
      </c>
      <c r="DA33" s="15">
        <f>IF(ISNA(VLOOKUP(A33,'Données projet'!$A$139:$I$159,3,0)),0,VLOOKUP(A33,'Données projet'!$A$139:$I$159,3,0))</f>
        <v>3</v>
      </c>
      <c r="DB33" s="15">
        <f>IF(ISNA(VLOOKUP(A33,'Données projet'!$A$139:$I$159,4,0)),0,VLOOKUP(A33,'Données projet'!$A$139:$I$159,4,0))</f>
        <v>27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6">
        <f t="shared" si="1"/>
        <v>256.66666666666669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10.4</v>
      </c>
      <c r="N34" s="13">
        <f>IF('Données projet'!$A$36&gt;35,N33+M34-V33,IF(A34&lt;'Données projet'!$A$36,$K$205^A34,IF(A34='Données projet'!$A$36,'Données projet'!$B$36,N33+M34-V33)))</f>
        <v>147.4</v>
      </c>
      <c r="O34" s="13">
        <f>N34*VLOOKUP('Données projet'!$B$9,Paramètres!$A$1:$I$89,3,0)*VLOOKUP('Données projet'!$B$9,Paramètres!$A$1:$I$89,5,0)</f>
        <v>128.76864000000003</v>
      </c>
      <c r="P34" s="13">
        <f t="shared" si="33"/>
        <v>33.711670780700224</v>
      </c>
      <c r="Q34" s="20">
        <f t="shared" si="2"/>
        <v>282.98654127638628</v>
      </c>
      <c r="R34" s="59">
        <f t="shared" si="0"/>
        <v>576.31987460971959</v>
      </c>
      <c r="S34" s="59">
        <f ca="1">AVERAGE(OFFSET($R$3,0,0,'Données projet'!$E$9+1,1))-AVERAGE(OFFSET($H$3,0,0,'Données projet'!$E$9+1,1))</f>
        <v>381.72225529388083</v>
      </c>
      <c r="T34" s="59">
        <f t="shared" si="34"/>
        <v>360.05900046417361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7</v>
      </c>
      <c r="AI34" s="13">
        <f>IF('Données projet'!$A$62&gt;35,AI33+AH34-AQ33,IF(A34&lt;'Données projet'!$A$62,$AF$205^A34,IF(A34='Données projet'!$A$62,'Données projet'!$B$62,AI33+AH34-AQ33)))</f>
        <v>238.99999999999997</v>
      </c>
      <c r="AJ34" s="13">
        <f>AI34*VLOOKUP('Données projet'!$B$10,Paramètres!$A$1:$I$89,3,0)*VLOOKUP('Données projet'!$B$10,Paramètres!$A$1:$I$89,5,0)</f>
        <v>216.24719999999996</v>
      </c>
      <c r="AK34" s="13">
        <f t="shared" si="35"/>
        <v>53.298418226645332</v>
      </c>
      <c r="AL34" s="20">
        <f t="shared" si="4"/>
        <v>469.45861841140714</v>
      </c>
      <c r="AM34" s="59">
        <f t="shared" si="5"/>
        <v>762.79195174474046</v>
      </c>
      <c r="AN34" s="59">
        <f ca="1">AVERAGE(OFFSET($AM$3,0,0,'Données projet'!$E$10+1,1))-AVERAGE(OFFSET($H$3,0,0,'Données projet'!$E$10+1,1))</f>
        <v>366.43676005661194</v>
      </c>
      <c r="AO34" s="59">
        <f t="shared" si="36"/>
        <v>513.80016421153414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28.661666666666662</v>
      </c>
      <c r="BD34" s="12">
        <f>IF('Données projet'!$A$88&gt;35,BD33+BC34-BL33,IF(A34&lt;'Données projet'!$A$88,$BA$205^A34,IF(A34='Données projet'!$A$88,'Données projet'!$B$88,BD33+BC34-BL33)))</f>
        <v>358.38166666666666</v>
      </c>
      <c r="BE34" s="13">
        <f>BD34*VLOOKUP('Données projet'!$B$11,Paramètres!$A$1:$I$89,3,0)*VLOOKUP('Données projet'!$B$11,Paramètres!$A$1:$I$89,5,0)</f>
        <v>158.40469666666667</v>
      </c>
      <c r="BF34" s="13">
        <f t="shared" si="37"/>
        <v>40.482480704489674</v>
      </c>
      <c r="BG34" s="20">
        <f t="shared" si="7"/>
        <v>346.39516725476392</v>
      </c>
      <c r="BH34" s="59">
        <f t="shared" si="8"/>
        <v>639.72850058809718</v>
      </c>
      <c r="BI34" s="59">
        <f ca="1">AVERAGE(OFFSET($BH$3,0,0,'Données projet'!$E$11+1,1))-AVERAGE(OFFSET($H$3,0,0,'Données projet'!$E$11+1,1))</f>
        <v>328.58609979635901</v>
      </c>
      <c r="BJ34" s="59">
        <f t="shared" si="38"/>
        <v>432.3494365423407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38.89315148036296</v>
      </c>
      <c r="BR34" s="21">
        <f>EXP(-LN(2)/2)*BR33+(1-EXP(-LN(2)/2))/(LN(2)/2)*BL34*BO34*VLOOKUP('Données projet'!$B$11,Paramètres!$A$1:$I$89,3,0)*0.475*44/12</f>
        <v>0.4136952559009624</v>
      </c>
      <c r="BS34" s="22">
        <f t="shared" si="9"/>
        <v>39.306846736263921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15.881076923076924</v>
      </c>
      <c r="BY34" s="12">
        <f>IF('Données projet'!$A$114&gt;35,BY33+BX34-CG33,IF(A34&lt;'Données projet'!$A$114,$BV$205^A34,IF(A34='Données projet'!$A$114,'Données projet'!$B$114,BY33+BX34-CG33)))</f>
        <v>137.76569230769229</v>
      </c>
      <c r="BZ34" s="13">
        <f>BY34*VLOOKUP('Données projet'!$B$12,Paramètres!$A$1:$I$89,3,0)*VLOOKUP('Données projet'!$B$12,Paramètres!$A$1:$I$89,5,0)</f>
        <v>131.09783279999999</v>
      </c>
      <c r="CA34" s="13">
        <f t="shared" si="39"/>
        <v>34.249911969342861</v>
      </c>
      <c r="CB34" s="20">
        <f t="shared" si="10"/>
        <v>287.98065547327218</v>
      </c>
      <c r="CC34" s="59">
        <f t="shared" si="11"/>
        <v>581.31398880660549</v>
      </c>
      <c r="CD34" s="59">
        <f ca="1">AVERAGE(OFFSET($CC$3,0,0,'Données projet'!$E$12+1,1))-AVERAGE(OFFSET($H$3,0,0,'Données projet'!$E$12+1,1))</f>
        <v>555.3092253965317</v>
      </c>
      <c r="CE34" s="59">
        <f t="shared" si="40"/>
        <v>292.20785523952651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9.1999999999999993</v>
      </c>
      <c r="CT34" s="12">
        <f>IF('Données projet'!$A$140&gt;35,CT33+CS34-DB33,IF(A34&lt;'Données projet'!$A$140,$CQ$205^A34,IF(A34='Données projet'!$A$140,'Données projet'!$B$140,CT33+CS34-DB33)))</f>
        <v>131.20000000000002</v>
      </c>
      <c r="CU34" s="17">
        <f>CT34*VLOOKUP('Données projet'!$B$13,Paramètres!$A$1:$I$89,3,0)*VLOOKUP('Données projet'!$B$13,Paramètres!$A$1:$I$89,5,0)</f>
        <v>83.915520000000001</v>
      </c>
      <c r="CV34" s="13">
        <f t="shared" si="41"/>
        <v>23.091870453158084</v>
      </c>
      <c r="CW34" s="20">
        <f t="shared" si="13"/>
        <v>186.3712050392503</v>
      </c>
      <c r="CX34" s="59">
        <f t="shared" si="14"/>
        <v>479.70453837258361</v>
      </c>
      <c r="CY34" s="59">
        <f ca="1">AVERAGE(OFFSET($CX$3,0,0,'Données projet'!$E$13+1,1))-AVERAGE(OFFSET($H$3,0,0,'Données projet'!$E$13+1,1))</f>
        <v>269.44168853803717</v>
      </c>
      <c r="CZ34" s="59">
        <f t="shared" si="42"/>
        <v>247.65158389074043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6">
        <f t="shared" si="1"/>
        <v>256.66666666666669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10.4</v>
      </c>
      <c r="N35" s="13">
        <f>IF('Données projet'!$A$36&gt;35,N34+M35-V34,IF(A35&lt;'Données projet'!$A$36,$K$205^A35,IF(A35='Données projet'!$A$36,'Données projet'!$B$36,N34+M35-V34)))</f>
        <v>157.80000000000001</v>
      </c>
      <c r="O35" s="13">
        <f>N35*VLOOKUP('Données projet'!$B$9,Paramètres!$A$1:$I$89,3,0)*VLOOKUP('Données projet'!$B$9,Paramètres!$A$1:$I$89,5,0)</f>
        <v>137.85408000000001</v>
      </c>
      <c r="P35" s="13">
        <f t="shared" si="33"/>
        <v>35.804964283629964</v>
      </c>
      <c r="Q35" s="20">
        <f t="shared" ref="Q35:Q66" si="53">(O35+P35)*0.475*44/12</f>
        <v>302.45616879398887</v>
      </c>
      <c r="R35" s="59">
        <f t="shared" si="0"/>
        <v>595.78950212732218</v>
      </c>
      <c r="S35" s="59">
        <f ca="1">AVERAGE(OFFSET($R$3,0,0,'Données projet'!$E$9+1,1))-AVERAGE(OFFSET($H$3,0,0,'Données projet'!$E$9+1,1))</f>
        <v>381.72225529388083</v>
      </c>
      <c r="T35" s="59">
        <f t="shared" si="34"/>
        <v>360.05900046417361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7</v>
      </c>
      <c r="AI35" s="13">
        <f>IF('Données projet'!$A$62&gt;35,AI34+AH35-AQ34,IF(A35&lt;'Données projet'!$A$62,$AF$205^A35,IF(A35='Données projet'!$A$62,'Données projet'!$B$62,AI34+AH35-AQ34)))</f>
        <v>245.99999999999997</v>
      </c>
      <c r="AJ35" s="13">
        <f>AI35*VLOOKUP('Données projet'!$B$10,Paramètres!$A$1:$I$89,3,0)*VLOOKUP('Données projet'!$B$10,Paramètres!$A$1:$I$89,5,0)</f>
        <v>222.58079999999998</v>
      </c>
      <c r="AK35" s="13">
        <f t="shared" si="35"/>
        <v>54.675428546153199</v>
      </c>
      <c r="AL35" s="20">
        <f t="shared" si="4"/>
        <v>482.88793138455003</v>
      </c>
      <c r="AM35" s="59">
        <f t="shared" si="5"/>
        <v>776.22126471788329</v>
      </c>
      <c r="AN35" s="59">
        <f ca="1">AVERAGE(OFFSET($AM$3,0,0,'Données projet'!$E$10+1,1))-AVERAGE(OFFSET($H$3,0,0,'Données projet'!$E$10+1,1))</f>
        <v>366.43676005661194</v>
      </c>
      <c r="AO35" s="59">
        <f t="shared" si="36"/>
        <v>513.80016421153414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28.661666666666662</v>
      </c>
      <c r="BD35" s="12">
        <f>IF('Données projet'!$A$88&gt;35,BD34+BC35-BL34,IF(A35&lt;'Données projet'!$A$88,$BA$205^A35,IF(A35='Données projet'!$A$88,'Données projet'!$B$88,BD34+BC35-BL34)))</f>
        <v>387.04333333333329</v>
      </c>
      <c r="BE35" s="13">
        <f>BD35*VLOOKUP('Données projet'!$B$11,Paramètres!$A$1:$I$89,3,0)*VLOOKUP('Données projet'!$B$11,Paramètres!$A$1:$I$89,5,0)</f>
        <v>171.07315333333332</v>
      </c>
      <c r="BF35" s="13">
        <f t="shared" si="37"/>
        <v>43.330286135433603</v>
      </c>
      <c r="BG35" s="20">
        <f t="shared" si="7"/>
        <v>373.41932374143568</v>
      </c>
      <c r="BH35" s="59">
        <f t="shared" si="8"/>
        <v>666.75265707476899</v>
      </c>
      <c r="BI35" s="59">
        <f ca="1">AVERAGE(OFFSET($BH$3,0,0,'Données projet'!$E$11+1,1))-AVERAGE(OFFSET($H$3,0,0,'Données projet'!$E$11+1,1))</f>
        <v>328.58609979635901</v>
      </c>
      <c r="BJ35" s="59">
        <f t="shared" si="38"/>
        <v>432.3494365423407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37.82961620783049</v>
      </c>
      <c r="BR35" s="21">
        <f>EXP(-LN(2)/2)*BR34+(1-EXP(-LN(2)/2))/(LN(2)/2)*BL35*BO35*VLOOKUP('Données projet'!$B$11,Paramètres!$A$1:$I$89,3,0)*0.475*44/12</f>
        <v>0.2925267207922746</v>
      </c>
      <c r="BS35" s="22">
        <f t="shared" si="9"/>
        <v>38.122142928622765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15.881076923076924</v>
      </c>
      <c r="BY35" s="12">
        <f>IF('Données projet'!$A$114&gt;35,BY34+BX35-CG34,IF(A35&lt;'Données projet'!$A$114,$BV$205^A35,IF(A35='Données projet'!$A$114,'Données projet'!$B$114,BY34+BX35-CG34)))</f>
        <v>153.64676923076922</v>
      </c>
      <c r="BZ35" s="13">
        <f>BY35*VLOOKUP('Données projet'!$B$12,Paramètres!$A$1:$I$89,3,0)*VLOOKUP('Données projet'!$B$12,Paramètres!$A$1:$I$89,5,0)</f>
        <v>146.21026559999999</v>
      </c>
      <c r="CA35" s="13">
        <f t="shared" si="39"/>
        <v>37.716076443239849</v>
      </c>
      <c r="CB35" s="20">
        <f t="shared" si="10"/>
        <v>320.33837905864272</v>
      </c>
      <c r="CC35" s="59">
        <f t="shared" si="11"/>
        <v>613.67171239197603</v>
      </c>
      <c r="CD35" s="59">
        <f ca="1">AVERAGE(OFFSET($CC$3,0,0,'Données projet'!$E$12+1,1))-AVERAGE(OFFSET($H$3,0,0,'Données projet'!$E$12+1,1))</f>
        <v>555.3092253965317</v>
      </c>
      <c r="CE35" s="59">
        <f t="shared" si="40"/>
        <v>292.20785523952651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9.1999999999999993</v>
      </c>
      <c r="CT35" s="12">
        <f>IF('Données projet'!$A$140&gt;35,CT34+CS35-DB34,IF(A35&lt;'Données projet'!$A$140,$CQ$205^A35,IF(A35='Données projet'!$A$140,'Données projet'!$B$140,CT34+CS35-DB34)))</f>
        <v>140.4</v>
      </c>
      <c r="CU35" s="17">
        <f>CT35*VLOOKUP('Données projet'!$B$13,Paramètres!$A$1:$I$89,3,0)*VLOOKUP('Données projet'!$B$13,Paramètres!$A$1:$I$89,5,0)</f>
        <v>89.799840000000003</v>
      </c>
      <c r="CV35" s="13">
        <f t="shared" si="41"/>
        <v>24.516944968171948</v>
      </c>
      <c r="CW35" s="20">
        <f t="shared" si="13"/>
        <v>199.10173381956614</v>
      </c>
      <c r="CX35" s="59">
        <f t="shared" si="14"/>
        <v>492.43506715289948</v>
      </c>
      <c r="CY35" s="59">
        <f ca="1">AVERAGE(OFFSET($CX$3,0,0,'Données projet'!$E$13+1,1))-AVERAGE(OFFSET($H$3,0,0,'Données projet'!$E$13+1,1))</f>
        <v>269.44168853803717</v>
      </c>
      <c r="CZ35" s="59">
        <f t="shared" si="42"/>
        <v>247.65158389074043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6">
        <f t="shared" si="1"/>
        <v>256.66666666666669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10.4</v>
      </c>
      <c r="N36" s="13">
        <f>IF('Données projet'!$A$36&gt;35,N35+M36-V35,IF(A36&lt;'Données projet'!$A$36,$K$205^A36,IF(A36='Données projet'!$A$36,'Données projet'!$B$36,N35+M36-V35)))</f>
        <v>168.20000000000002</v>
      </c>
      <c r="O36" s="13">
        <f>N36*VLOOKUP('Données projet'!$B$9,Paramètres!$A$1:$I$89,3,0)*VLOOKUP('Données projet'!$B$9,Paramètres!$A$1:$I$89,5,0)</f>
        <v>146.93952000000004</v>
      </c>
      <c r="P36" s="13">
        <f t="shared" si="33"/>
        <v>37.882248330654257</v>
      </c>
      <c r="Q36" s="20">
        <f t="shared" si="53"/>
        <v>321.89791317588953</v>
      </c>
      <c r="R36" s="59">
        <f t="shared" si="0"/>
        <v>615.23124650922284</v>
      </c>
      <c r="S36" s="59">
        <f ca="1">AVERAGE(OFFSET($R$3,0,0,'Données projet'!$E$9+1,1))-AVERAGE(OFFSET($H$3,0,0,'Données projet'!$E$9+1,1))</f>
        <v>381.72225529388083</v>
      </c>
      <c r="T36" s="59">
        <f t="shared" si="34"/>
        <v>360.05900046417361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7</v>
      </c>
      <c r="AI36" s="13">
        <f>IF('Données projet'!$A$62&gt;35,AI35+AH36-AQ35,IF(A36&lt;'Données projet'!$A$62,$AF$205^A36,IF(A36='Données projet'!$A$62,'Données projet'!$B$62,AI35+AH36-AQ35)))</f>
        <v>252.99999999999997</v>
      </c>
      <c r="AJ36" s="13">
        <f>AI36*VLOOKUP('Données projet'!$B$10,Paramètres!$A$1:$I$89,3,0)*VLOOKUP('Données projet'!$B$10,Paramètres!$A$1:$I$89,5,0)</f>
        <v>228.91439999999997</v>
      </c>
      <c r="AK36" s="13">
        <f t="shared" si="35"/>
        <v>56.047884834417424</v>
      </c>
      <c r="AL36" s="20">
        <f t="shared" si="4"/>
        <v>496.30931275327697</v>
      </c>
      <c r="AM36" s="59">
        <f t="shared" si="5"/>
        <v>789.64264608661028</v>
      </c>
      <c r="AN36" s="59">
        <f ca="1">AVERAGE(OFFSET($AM$3,0,0,'Données projet'!$E$10+1,1))-AVERAGE(OFFSET($H$3,0,0,'Données projet'!$E$10+1,1))</f>
        <v>366.43676005661194</v>
      </c>
      <c r="AO36" s="59">
        <f t="shared" si="36"/>
        <v>513.80016421153414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28.661666666666662</v>
      </c>
      <c r="BD36" s="12">
        <f>IF('Données projet'!$A$88&gt;35,BD35+BC36-BL35,IF(A36&lt;'Données projet'!$A$88,$BA$205^A36,IF(A36='Données projet'!$A$88,'Données projet'!$B$88,BD35+BC36-BL35)))</f>
        <v>415.70499999999993</v>
      </c>
      <c r="BE36" s="13">
        <f>BD36*VLOOKUP('Données projet'!$B$11,Paramètres!$A$1:$I$89,3,0)*VLOOKUP('Données projet'!$B$11,Paramètres!$A$1:$I$89,5,0)</f>
        <v>183.74161000000001</v>
      </c>
      <c r="BF36" s="13">
        <f t="shared" si="37"/>
        <v>46.153626087636923</v>
      </c>
      <c r="BG36" s="20">
        <f t="shared" si="7"/>
        <v>400.40086951930101</v>
      </c>
      <c r="BH36" s="59">
        <f t="shared" si="8"/>
        <v>693.73420285263433</v>
      </c>
      <c r="BI36" s="59">
        <f ca="1">AVERAGE(OFFSET($BH$3,0,0,'Données projet'!$E$11+1,1))-AVERAGE(OFFSET($H$3,0,0,'Données projet'!$E$11+1,1))</f>
        <v>328.58609979635901</v>
      </c>
      <c r="BJ36" s="59">
        <f t="shared" si="38"/>
        <v>432.3494365423407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36.795163363254311</v>
      </c>
      <c r="BR36" s="21">
        <f>EXP(-LN(2)/2)*BR35+(1-EXP(-LN(2)/2))/(LN(2)/2)*BL36*BO36*VLOOKUP('Données projet'!$B$11,Paramètres!$A$1:$I$89,3,0)*0.475*44/12</f>
        <v>0.2068476279504812</v>
      </c>
      <c r="BS36" s="22">
        <f t="shared" si="9"/>
        <v>37.002010991204791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15.881076923076924</v>
      </c>
      <c r="BY36" s="12">
        <f>IF('Données projet'!$A$114&gt;35,BY35+BX36-CG35,IF(A36&lt;'Données projet'!$A$114,$BV$205^A36,IF(A36='Données projet'!$A$114,'Données projet'!$B$114,BY35+BX36-CG35)))</f>
        <v>169.52784615384616</v>
      </c>
      <c r="BZ36" s="13">
        <f>BY36*VLOOKUP('Données projet'!$B$12,Paramètres!$A$1:$I$89,3,0)*VLOOKUP('Données projet'!$B$12,Paramètres!$A$1:$I$89,5,0)</f>
        <v>161.32269840000001</v>
      </c>
      <c r="CA36" s="13">
        <f t="shared" si="39"/>
        <v>41.140710622595101</v>
      </c>
      <c r="CB36" s="20">
        <f t="shared" si="10"/>
        <v>352.62377071435316</v>
      </c>
      <c r="CC36" s="59">
        <f t="shared" si="11"/>
        <v>645.95710404768647</v>
      </c>
      <c r="CD36" s="59">
        <f ca="1">AVERAGE(OFFSET($CC$3,0,0,'Données projet'!$E$12+1,1))-AVERAGE(OFFSET($H$3,0,0,'Données projet'!$E$12+1,1))</f>
        <v>555.3092253965317</v>
      </c>
      <c r="CE36" s="59">
        <f t="shared" si="40"/>
        <v>292.20785523952651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9.1999999999999993</v>
      </c>
      <c r="CT36" s="12">
        <f>IF('Données projet'!$A$140&gt;35,CT35+CS36-DB35,IF(A36&lt;'Données projet'!$A$140,$CQ$205^A36,IF(A36='Données projet'!$A$140,'Données projet'!$B$140,CT35+CS36-DB35)))</f>
        <v>149.6</v>
      </c>
      <c r="CU36" s="17">
        <f>CT36*VLOOKUP('Données projet'!$B$13,Paramètres!$A$1:$I$89,3,0)*VLOOKUP('Données projet'!$B$13,Paramètres!$A$1:$I$89,5,0)</f>
        <v>95.684159999999991</v>
      </c>
      <c r="CV36" s="13">
        <f t="shared" si="41"/>
        <v>25.931183104719384</v>
      </c>
      <c r="CW36" s="20">
        <f t="shared" si="13"/>
        <v>211.81338924071954</v>
      </c>
      <c r="CX36" s="59">
        <f t="shared" si="14"/>
        <v>505.14672257405289</v>
      </c>
      <c r="CY36" s="59">
        <f ca="1">AVERAGE(OFFSET($CX$3,0,0,'Données projet'!$E$13+1,1))-AVERAGE(OFFSET($H$3,0,0,'Données projet'!$E$13+1,1))</f>
        <v>269.44168853803717</v>
      </c>
      <c r="CZ36" s="59">
        <f t="shared" si="42"/>
        <v>247.65158389074043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6">
        <f t="shared" si="1"/>
        <v>256.66666666666669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10.4</v>
      </c>
      <c r="N37" s="13">
        <f>IF('Données projet'!$A$36&gt;35,N36+M37-V36,IF(A37&lt;'Données projet'!$A$36,$K$205^A37,IF(A37='Données projet'!$A$36,'Données projet'!$B$36,N36+M37-V36)))</f>
        <v>178.60000000000002</v>
      </c>
      <c r="O37" s="13">
        <f>N37*VLOOKUP('Données projet'!$B$9,Paramètres!$A$1:$I$89,3,0)*VLOOKUP('Données projet'!$B$9,Paramètres!$A$1:$I$89,5,0)</f>
        <v>156.02496000000005</v>
      </c>
      <c r="P37" s="13">
        <f t="shared" si="33"/>
        <v>39.944625507905997</v>
      </c>
      <c r="Q37" s="20">
        <f t="shared" si="53"/>
        <v>341.31369475960304</v>
      </c>
      <c r="R37" s="59">
        <f t="shared" si="0"/>
        <v>634.64702809293635</v>
      </c>
      <c r="S37" s="59">
        <f ca="1">AVERAGE(OFFSET($R$3,0,0,'Données projet'!$E$9+1,1))-AVERAGE(OFFSET($H$3,0,0,'Données projet'!$E$9+1,1))</f>
        <v>381.72225529388083</v>
      </c>
      <c r="T37" s="59">
        <f t="shared" si="34"/>
        <v>360.05900046417361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7</v>
      </c>
      <c r="AI37" s="13">
        <f>IF('Données projet'!$A$62&gt;35,AI36+AH37-AQ36,IF(A37&lt;'Données projet'!$A$62,$AF$205^A37,IF(A37='Données projet'!$A$62,'Données projet'!$B$62,AI36+AH37-AQ36)))</f>
        <v>260</v>
      </c>
      <c r="AJ37" s="13">
        <f>AI37*VLOOKUP('Données projet'!$B$10,Paramètres!$A$1:$I$89,3,0)*VLOOKUP('Données projet'!$B$10,Paramètres!$A$1:$I$89,5,0)</f>
        <v>235.24799999999999</v>
      </c>
      <c r="AK37" s="13">
        <f t="shared" si="35"/>
        <v>57.41592756883739</v>
      </c>
      <c r="AL37" s="20">
        <f t="shared" si="4"/>
        <v>509.72300718239177</v>
      </c>
      <c r="AM37" s="59">
        <f t="shared" si="5"/>
        <v>803.05634051572508</v>
      </c>
      <c r="AN37" s="59">
        <f ca="1">AVERAGE(OFFSET($AM$3,0,0,'Données projet'!$E$10+1,1))-AVERAGE(OFFSET($H$3,0,0,'Données projet'!$E$10+1,1))</f>
        <v>366.43676005661194</v>
      </c>
      <c r="AO37" s="59">
        <f t="shared" si="36"/>
        <v>513.80016421153414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28.661666666666662</v>
      </c>
      <c r="BD37" s="12">
        <f>IF('Données projet'!$A$88&gt;35,BD36+BC37-BL36,IF(A37&lt;'Données projet'!$A$88,$BA$205^A37,IF(A37='Données projet'!$A$88,'Données projet'!$B$88,BD36+BC37-BL36)))</f>
        <v>444.36666666666656</v>
      </c>
      <c r="BE37" s="13">
        <f>BD37*VLOOKUP('Données projet'!$B$11,Paramètres!$A$1:$I$89,3,0)*VLOOKUP('Données projet'!$B$11,Paramètres!$A$1:$I$89,5,0)</f>
        <v>196.41006666666664</v>
      </c>
      <c r="BF37" s="13">
        <f t="shared" si="37"/>
        <v>48.954379274967508</v>
      </c>
      <c r="BG37" s="20">
        <f t="shared" si="7"/>
        <v>427.34307668167941</v>
      </c>
      <c r="BH37" s="59">
        <f t="shared" si="8"/>
        <v>720.67641001501272</v>
      </c>
      <c r="BI37" s="59">
        <f ca="1">AVERAGE(OFFSET($BH$3,0,0,'Données projet'!$E$11+1,1))-AVERAGE(OFFSET($H$3,0,0,'Données projet'!$E$11+1,1))</f>
        <v>328.58609979635901</v>
      </c>
      <c r="BJ37" s="59">
        <f t="shared" si="38"/>
        <v>432.3494365423407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35.78899768611258</v>
      </c>
      <c r="BR37" s="21">
        <f>EXP(-LN(2)/2)*BR36+(1-EXP(-LN(2)/2))/(LN(2)/2)*BL37*BO37*VLOOKUP('Données projet'!$B$11,Paramètres!$A$1:$I$89,3,0)*0.475*44/12</f>
        <v>0.1462633603961373</v>
      </c>
      <c r="BS37" s="22">
        <f t="shared" si="9"/>
        <v>35.935261046508721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15.881076923076924</v>
      </c>
      <c r="BY37" s="12">
        <f>IF('Données projet'!$A$114&gt;35,BY36+BX37-CG36,IF(A37&lt;'Données projet'!$A$114,$BV$205^A37,IF(A37='Données projet'!$A$114,'Données projet'!$B$114,BY36+BX37-CG36)))</f>
        <v>185.40892307692309</v>
      </c>
      <c r="BZ37" s="13">
        <f>BY37*VLOOKUP('Données projet'!$B$12,Paramètres!$A$1:$I$89,3,0)*VLOOKUP('Données projet'!$B$12,Paramètres!$A$1:$I$89,5,0)</f>
        <v>176.4351312</v>
      </c>
      <c r="CA37" s="13">
        <f t="shared" si="39"/>
        <v>44.528147548524352</v>
      </c>
      <c r="CB37" s="20">
        <f t="shared" si="10"/>
        <v>384.84437715367989</v>
      </c>
      <c r="CC37" s="59">
        <f t="shared" si="11"/>
        <v>678.1777104870132</v>
      </c>
      <c r="CD37" s="59">
        <f ca="1">AVERAGE(OFFSET($CC$3,0,0,'Données projet'!$E$12+1,1))-AVERAGE(OFFSET($H$3,0,0,'Données projet'!$E$12+1,1))</f>
        <v>555.3092253965317</v>
      </c>
      <c r="CE37" s="59">
        <f t="shared" si="40"/>
        <v>292.20785523952651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9.1999999999999993</v>
      </c>
      <c r="CT37" s="12">
        <f>IF('Données projet'!$A$140&gt;35,CT36+CS37-DB36,IF(A37&lt;'Données projet'!$A$140,$CQ$205^A37,IF(A37='Données projet'!$A$140,'Données projet'!$B$140,CT36+CS37-DB36)))</f>
        <v>158.79999999999998</v>
      </c>
      <c r="CU37" s="17">
        <f>CT37*VLOOKUP('Données projet'!$B$13,Paramètres!$A$1:$I$89,3,0)*VLOOKUP('Données projet'!$B$13,Paramètres!$A$1:$I$89,5,0)</f>
        <v>101.56847999999999</v>
      </c>
      <c r="CV37" s="13">
        <f t="shared" si="41"/>
        <v>27.335327148650801</v>
      </c>
      <c r="CW37" s="20">
        <f t="shared" si="13"/>
        <v>224.50746411723344</v>
      </c>
      <c r="CX37" s="59">
        <f t="shared" si="14"/>
        <v>517.8407974505667</v>
      </c>
      <c r="CY37" s="59">
        <f ca="1">AVERAGE(OFFSET($CX$3,0,0,'Données projet'!$E$13+1,1))-AVERAGE(OFFSET($H$3,0,0,'Données projet'!$E$13+1,1))</f>
        <v>269.44168853803717</v>
      </c>
      <c r="CZ37" s="59">
        <f t="shared" si="42"/>
        <v>247.65158389074043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6">
        <f t="shared" si="1"/>
        <v>256.66666666666669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189</v>
      </c>
      <c r="L38" s="12">
        <f>VLOOKUP(A38,'Données projet'!$A$35:$I$55,9,0)</f>
        <v>10.4</v>
      </c>
      <c r="M38" s="12">
        <f t="array" ref="M38">INDEX(L:L,MIN(IF(ISNUMBER(L38:L234),ROW(L38:L234),"")))</f>
        <v>10.4</v>
      </c>
      <c r="N38" s="13">
        <f>IF('Données projet'!$A$36&gt;35,N37+M38-V37,IF(A38&lt;'Données projet'!$A$36,$K$205^A38,IF(A38='Données projet'!$A$36,'Données projet'!$B$36,N37+M38-V37)))</f>
        <v>189.00000000000003</v>
      </c>
      <c r="O38" s="13">
        <f>N38*VLOOKUP('Données projet'!$B$9,Paramètres!$A$1:$I$89,3,0)*VLOOKUP('Données projet'!$B$9,Paramètres!$A$1:$I$89,5,0)</f>
        <v>165.11040000000006</v>
      </c>
      <c r="P38" s="13">
        <f t="shared" si="33"/>
        <v>41.993062739333482</v>
      </c>
      <c r="Q38" s="20">
        <f t="shared" si="53"/>
        <v>360.70519760433922</v>
      </c>
      <c r="R38" s="59">
        <f t="shared" si="0"/>
        <v>654.03853093767248</v>
      </c>
      <c r="S38" s="59">
        <f ca="1">AVERAGE(OFFSET($R$3,0,0,'Données projet'!$E$9+1,1))-AVERAGE(OFFSET($H$3,0,0,'Données projet'!$E$9+1,1))</f>
        <v>381.72225529388083</v>
      </c>
      <c r="T38" s="59">
        <f t="shared" si="34"/>
        <v>360.05900046417361</v>
      </c>
      <c r="U38" s="15">
        <f>IF(ISNA(VLOOKUP(A38,'Données projet'!$A$35:$I$55,3,0)),0,VLOOKUP(A38,'Données projet'!$A$35:$I$55,3,0))</f>
        <v>5</v>
      </c>
      <c r="V38" s="15">
        <f>IF(ISNA(VLOOKUP(A38,'Données projet'!$A$35:$I$55,4,0)),0,VLOOKUP(A38,'Données projet'!$A$35:$I$55,4,0))</f>
        <v>32</v>
      </c>
      <c r="W38" s="16">
        <f>IF(ISNA(VLOOKUP(A38,'Données projet'!$A$35:$I$55,5,0)),0%,VLOOKUP(A38,'Données projet'!$A$35:$I$55,5,0)*VLOOKUP('Données projet'!$B$9,Paramètres!$A$1:$I$89,7,0))</f>
        <v>0.43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13.288567588185396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13.288567588185396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267</v>
      </c>
      <c r="AG38" s="12">
        <f>VLOOKUP(A38,'Données projet'!$A$61:$I$81,9,0)</f>
        <v>7</v>
      </c>
      <c r="AH38" s="12">
        <f t="array" ref="AH38">INDEX(AG:AG,MIN(IF(ISNUMBER(AG38:AG234),ROW(AG38:AG234),"")))</f>
        <v>7</v>
      </c>
      <c r="AI38" s="13">
        <f>IF('Données projet'!$A$62&gt;35,AI37+AH38-AQ37,IF(A38&lt;'Données projet'!$A$62,$AF$205^A38,IF(A38='Données projet'!$A$62,'Données projet'!$B$62,AI37+AH38-AQ37)))</f>
        <v>267</v>
      </c>
      <c r="AJ38" s="13">
        <f>AI38*VLOOKUP('Données projet'!$B$10,Paramètres!$A$1:$I$89,3,0)*VLOOKUP('Données projet'!$B$10,Paramètres!$A$1:$I$89,5,0)</f>
        <v>241.58159999999998</v>
      </c>
      <c r="AK38" s="13">
        <f t="shared" si="35"/>
        <v>58.779689232021951</v>
      </c>
      <c r="AL38" s="20">
        <f t="shared" si="4"/>
        <v>523.12924541243819</v>
      </c>
      <c r="AM38" s="59">
        <f t="shared" si="5"/>
        <v>816.46257874577145</v>
      </c>
      <c r="AN38" s="59">
        <f ca="1">AVERAGE(OFFSET($AM$3,0,0,'Données projet'!$E$10+1,1))-AVERAGE(OFFSET($H$3,0,0,'Données projet'!$E$10+1,1))</f>
        <v>366.43676005661194</v>
      </c>
      <c r="AO38" s="59">
        <f t="shared" si="36"/>
        <v>513.80016421153414</v>
      </c>
      <c r="AP38" s="15">
        <f>IF(ISNA(VLOOKUP(A38,'Données projet'!$A$61:$I$81,3,0)),0,VLOOKUP(A38,'Données projet'!$A$61:$I$81,3,0))</f>
        <v>7</v>
      </c>
      <c r="AQ38" s="15">
        <f>IF(ISNA(VLOOKUP(A38,'Données projet'!$A$61:$I$81,4,0)),0,VLOOKUP(A38,'Données projet'!$A$61:$I$81,4,0))</f>
        <v>9</v>
      </c>
      <c r="AR38" s="16">
        <f>IF(ISNA(VLOOKUP(A38,'Données projet'!$A$61:$I$81,5,0)),0%,VLOOKUP(A38,'Données projet'!$A$61:$I$81,5,0)*VLOOKUP('Données projet'!$B$10,Paramètres!$A$1:$I$89,7,0))</f>
        <v>0.3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2.7006199183838153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2.7006199183838153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28.661666666666662</v>
      </c>
      <c r="BD38" s="12">
        <f>IF('Données projet'!$A$88&gt;35,BD37+BC38-BL37,IF(A38&lt;'Données projet'!$A$88,$BA$205^A38,IF(A38='Données projet'!$A$88,'Données projet'!$B$88,BD37+BC38-BL37)))</f>
        <v>473.02833333333319</v>
      </c>
      <c r="BE38" s="13">
        <f>BD38*VLOOKUP('Données projet'!$B$11,Paramètres!$A$1:$I$89,3,0)*VLOOKUP('Données projet'!$B$11,Paramètres!$A$1:$I$89,5,0)</f>
        <v>209.07852333333329</v>
      </c>
      <c r="BF38" s="13">
        <f t="shared" si="37"/>
        <v>51.734168353507812</v>
      </c>
      <c r="BG38" s="20">
        <f t="shared" si="7"/>
        <v>454.24877135458155</v>
      </c>
      <c r="BH38" s="59">
        <f t="shared" si="8"/>
        <v>747.58210468791481</v>
      </c>
      <c r="BI38" s="59">
        <f ca="1">AVERAGE(OFFSET($BH$3,0,0,'Données projet'!$E$11+1,1))-AVERAGE(OFFSET($H$3,0,0,'Données projet'!$E$11+1,1))</f>
        <v>328.58609979635901</v>
      </c>
      <c r="BJ38" s="59">
        <f t="shared" si="38"/>
        <v>432.3494365423407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34.810345662324238</v>
      </c>
      <c r="BR38" s="21">
        <f>EXP(-LN(2)/2)*BR37+(1-EXP(-LN(2)/2))/(LN(2)/2)*BL38*BO38*VLOOKUP('Données projet'!$B$11,Paramètres!$A$1:$I$89,3,0)*0.475*44/12</f>
        <v>0.1034238139752406</v>
      </c>
      <c r="BS38" s="22">
        <f t="shared" si="9"/>
        <v>34.913769476299478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201.29</v>
      </c>
      <c r="BW38" s="12">
        <f>VLOOKUP(A38,'Données projet'!$A$113:$I$133,9,0)</f>
        <v>15.881076923076924</v>
      </c>
      <c r="BX38" s="12">
        <f t="array" ref="BX38">INDEX(BW:BW,MIN(IF(ISNUMBER(BW38:BW234),ROW(BW38:BW234),"")))</f>
        <v>15.881076923076924</v>
      </c>
      <c r="BY38" s="12">
        <f>IF('Données projet'!$A$114&gt;35,BY37+BX38-CG37,IF(A38&lt;'Données projet'!$A$114,$BV$205^A38,IF(A38='Données projet'!$A$114,'Données projet'!$B$114,BY37+BX38-CG37)))</f>
        <v>201.29000000000002</v>
      </c>
      <c r="BZ38" s="13">
        <f>BY38*VLOOKUP('Données projet'!$B$12,Paramètres!$A$1:$I$89,3,0)*VLOOKUP('Données projet'!$B$12,Paramètres!$A$1:$I$89,5,0)</f>
        <v>191.54756400000002</v>
      </c>
      <c r="CA38" s="13">
        <f t="shared" si="39"/>
        <v>47.881935577216041</v>
      </c>
      <c r="CB38" s="20">
        <f t="shared" si="10"/>
        <v>417.00637843031797</v>
      </c>
      <c r="CC38" s="59">
        <f t="shared" si="11"/>
        <v>710.33971176365128</v>
      </c>
      <c r="CD38" s="59">
        <f ca="1">AVERAGE(OFFSET($CC$3,0,0,'Données projet'!$E$12+1,1))-AVERAGE(OFFSET($H$3,0,0,'Données projet'!$E$12+1,1))</f>
        <v>555.3092253965317</v>
      </c>
      <c r="CE38" s="59">
        <f t="shared" si="40"/>
        <v>292.20785523952651</v>
      </c>
      <c r="CF38" s="15">
        <f>IF(ISNA(VLOOKUP(A38,'Données projet'!$A$113:$I$133,3,0)),0,VLOOKUP(A38,'Données projet'!$A$113:$I$133,3,0))</f>
        <v>1</v>
      </c>
      <c r="CG38" s="15">
        <f>IF(ISNA(VLOOKUP(A38,'Données projet'!$A$113:$I$133,4,0)),0,VLOOKUP(A38,'Données projet'!$A$113:$I$133,4,0))</f>
        <v>69.58</v>
      </c>
      <c r="CH38" s="16">
        <f>IF(ISNA(VLOOKUP(A38,'Données projet'!$A$113:$I$133,5,0)),0%,VLOOKUP(A38,'Données projet'!$A$113:$I$133,5,0)*VLOOKUP('Données projet'!$B$12,Paramètres!$A$1:$I$89,7,0))</f>
        <v>0.43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31.474179966485682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31.474179966485682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168</v>
      </c>
      <c r="CR38" s="12">
        <f>VLOOKUP(A38,'Données projet'!$A$139:$I$159,9,0)</f>
        <v>9.1999999999999993</v>
      </c>
      <c r="CS38" s="12">
        <f t="array" ref="CS38">INDEX(CR:CR,MIN(IF(ISNUMBER(CR38:CR234),ROW(CR38:CR234),"")))</f>
        <v>9.1999999999999993</v>
      </c>
      <c r="CT38" s="12">
        <f>IF('Données projet'!$A$140&gt;35,CT37+CS38-DB37,IF(A38&lt;'Données projet'!$A$140,$CQ$205^A38,IF(A38='Données projet'!$A$140,'Données projet'!$B$140,CT37+CS38-DB37)))</f>
        <v>167.99999999999997</v>
      </c>
      <c r="CU38" s="17">
        <f>CT38*VLOOKUP('Données projet'!$B$13,Paramètres!$A$1:$I$89,3,0)*VLOOKUP('Données projet'!$B$13,Paramètres!$A$1:$I$89,5,0)</f>
        <v>107.45279999999997</v>
      </c>
      <c r="CV38" s="13">
        <f t="shared" si="41"/>
        <v>28.7300285196239</v>
      </c>
      <c r="CW38" s="20">
        <f t="shared" si="13"/>
        <v>237.18509300501151</v>
      </c>
      <c r="CX38" s="59">
        <f t="shared" si="14"/>
        <v>530.51842633834485</v>
      </c>
      <c r="CY38" s="59">
        <f ca="1">AVERAGE(OFFSET($CX$3,0,0,'Données projet'!$E$13+1,1))-AVERAGE(OFFSET($H$3,0,0,'Données projet'!$E$13+1,1))</f>
        <v>269.44168853803717</v>
      </c>
      <c r="CZ38" s="59">
        <f t="shared" si="42"/>
        <v>247.65158389074043</v>
      </c>
      <c r="DA38" s="15">
        <f>IF(ISNA(VLOOKUP(A38,'Données projet'!$A$139:$I$159,3,0)),0,VLOOKUP(A38,'Données projet'!$A$139:$I$159,3,0))</f>
        <v>4</v>
      </c>
      <c r="DB38" s="15">
        <f>IF(ISNA(VLOOKUP(A38,'Données projet'!$A$139:$I$159,4,0)),0,VLOOKUP(A38,'Données projet'!$A$139:$I$159,4,0))</f>
        <v>27</v>
      </c>
      <c r="DC38" s="16">
        <f>IF(ISNA(VLOOKUP(A38,'Données projet'!$A$139:$I$159,5,0)),0%,VLOOKUP(A38,'Données projet'!$A$139:$I$159,5,0)*VLOOKUP('Données projet'!$B$13,Paramètres!$A$1:$I$89,7,0))</f>
        <v>0.43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8.2089533036390812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8.2089533036390812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6">
        <f t="shared" si="1"/>
        <v>256.66666666666669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9.8000000000000007</v>
      </c>
      <c r="N39" s="13">
        <f>IF('Données projet'!$A$36&gt;35,N38+M39-V38,IF(A39&lt;'Données projet'!$A$36,$K$205^A39,IF(A39='Données projet'!$A$36,'Données projet'!$B$36,N38+M39-V38)))</f>
        <v>166.80000000000004</v>
      </c>
      <c r="O39" s="13">
        <f>N39*VLOOKUP('Données projet'!$B$9,Paramètres!$A$1:$I$89,3,0)*VLOOKUP('Données projet'!$B$9,Paramètres!$A$1:$I$89,5,0)</f>
        <v>145.71648000000005</v>
      </c>
      <c r="P39" s="13">
        <f t="shared" si="33"/>
        <v>37.60350500083149</v>
      </c>
      <c r="Q39" s="20">
        <f t="shared" si="53"/>
        <v>319.28230720978155</v>
      </c>
      <c r="R39" s="59">
        <f t="shared" si="0"/>
        <v>612.61564054311486</v>
      </c>
      <c r="S39" s="59">
        <f ca="1">AVERAGE(OFFSET($R$3,0,0,'Données projet'!$E$9+1,1))-AVERAGE(OFFSET($H$3,0,0,'Données projet'!$E$9+1,1))</f>
        <v>381.72225529388083</v>
      </c>
      <c r="T39" s="59">
        <f t="shared" si="34"/>
        <v>360.05900046417361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13.027986883006985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13.027986883006985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6.2</v>
      </c>
      <c r="AI39" s="13">
        <f>IF('Données projet'!$A$62&gt;35,AI38+AH39-AQ38,IF(A39&lt;'Données projet'!$A$62,$AF$205^A39,IF(A39='Données projet'!$A$62,'Données projet'!$B$62,AI38+AH39-AQ38)))</f>
        <v>264.2</v>
      </c>
      <c r="AJ39" s="13">
        <f>AI39*VLOOKUP('Données projet'!$B$10,Paramètres!$A$1:$I$89,3,0)*VLOOKUP('Données projet'!$B$10,Paramètres!$A$1:$I$89,5,0)</f>
        <v>239.04816</v>
      </c>
      <c r="AK39" s="13">
        <f t="shared" si="35"/>
        <v>58.234690128947292</v>
      </c>
      <c r="AL39" s="20">
        <f t="shared" si="4"/>
        <v>517.76763064124987</v>
      </c>
      <c r="AM39" s="59">
        <f t="shared" si="5"/>
        <v>811.10096397458324</v>
      </c>
      <c r="AN39" s="59">
        <f ca="1">AVERAGE(OFFSET($AM$3,0,0,'Données projet'!$E$10+1,1))-AVERAGE(OFFSET($H$3,0,0,'Données projet'!$E$10+1,1))</f>
        <v>366.43676005661194</v>
      </c>
      <c r="AO39" s="59">
        <f t="shared" si="36"/>
        <v>513.80016421153414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2.64766240899981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2.64766240899981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>
        <f>VLOOKUP(A39,'Données projet'!$A$87:$I$107,2,0)</f>
        <v>501.69</v>
      </c>
      <c r="BB39" s="12">
        <f>VLOOKUP(A39,'Données projet'!$A$87:$I$107,9,0)</f>
        <v>28.661666666666662</v>
      </c>
      <c r="BC39" s="12">
        <f t="array" ref="BC39">INDEX(BB:BB,MIN(IF(ISNUMBER(BB39:BB235),ROW(BB39:BB235),"")))</f>
        <v>28.661666666666662</v>
      </c>
      <c r="BD39" s="12">
        <f>IF('Données projet'!$A$88&gt;35,BD38+BC39-BL38,IF(A39&lt;'Données projet'!$A$88,$BA$205^A39,IF(A39='Données projet'!$A$88,'Données projet'!$B$88,BD38+BC39-BL38)))</f>
        <v>501.68999999999983</v>
      </c>
      <c r="BE39" s="13">
        <f>BD39*VLOOKUP('Données projet'!$B$11,Paramètres!$A$1:$I$89,3,0)*VLOOKUP('Données projet'!$B$11,Paramètres!$A$1:$I$89,5,0)</f>
        <v>221.74697999999995</v>
      </c>
      <c r="BF39" s="13">
        <f t="shared" si="37"/>
        <v>54.49440822916835</v>
      </c>
      <c r="BG39" s="20">
        <f t="shared" si="7"/>
        <v>481.12041783246809</v>
      </c>
      <c r="BH39" s="59">
        <f t="shared" si="8"/>
        <v>774.45375116580135</v>
      </c>
      <c r="BI39" s="59">
        <f ca="1">AVERAGE(OFFSET($BH$3,0,0,'Données projet'!$E$11+1,1))-AVERAGE(OFFSET($H$3,0,0,'Données projet'!$E$11+1,1))</f>
        <v>328.58609979635901</v>
      </c>
      <c r="BJ39" s="59">
        <f t="shared" si="38"/>
        <v>432.3494365423407</v>
      </c>
      <c r="BK39" s="15">
        <f>IF(ISNA(VLOOKUP(A39,'Données projet'!$A$87:$I$107,3,0)),0,VLOOKUP(A39,'Données projet'!$A$87:$I$107,3,0))</f>
        <v>4</v>
      </c>
      <c r="BL39" s="15">
        <f>IF(ISNA(VLOOKUP(A39,'Données projet'!$A$87:$I$107,4,0)),0,VLOOKUP(A39,'Données projet'!$A$87:$I$107,4,0))</f>
        <v>85.88</v>
      </c>
      <c r="BM39" s="16">
        <f>IF(ISNA(VLOOKUP(A39,'Données projet'!$A$87:$I$107,5,0)),0%,VLOOKUP(A39,'Données projet'!$A$87:$I$107,5,0)*VLOOKUP('Données projet'!$B$11,Paramètres!$A$1:$I$89,7,0))</f>
        <v>0.55000000000000004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27.695253905798214</v>
      </c>
      <c r="BQ39" s="21">
        <f>EXP(-LN(2)/25)*BQ38+(1-EXP(-LN(2)/25))/(LN(2)/25)*Calculateur!BL39*Calculateur!BN39*VLOOKUP('Données projet'!$B$11,Paramètres!$A$1:$I$89,3,0)*0.475*44/12</f>
        <v>33.858454929591467</v>
      </c>
      <c r="BR39" s="21">
        <f>EXP(-LN(2)/2)*BR38+(1-EXP(-LN(2)/2))/(LN(2)/2)*BL39*BO39*VLOOKUP('Données projet'!$B$11,Paramètres!$A$1:$I$89,3,0)*0.475*44/12</f>
        <v>7.3131680198068649E-2</v>
      </c>
      <c r="BS39" s="22">
        <f t="shared" si="9"/>
        <v>61.626840515587752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12.86166666666667</v>
      </c>
      <c r="BY39" s="12">
        <f>IF('Données projet'!$A$114&gt;35,BY38+BX39-CG38,IF(A39&lt;'Données projet'!$A$114,$BV$205^A39,IF(A39='Données projet'!$A$114,'Données projet'!$B$114,BY38+BX39-CG38)))</f>
        <v>144.57166666666672</v>
      </c>
      <c r="BZ39" s="13">
        <f>BY39*VLOOKUP('Données projet'!$B$12,Paramètres!$A$1:$I$89,3,0)*VLOOKUP('Données projet'!$B$12,Paramètres!$A$1:$I$89,5,0)</f>
        <v>137.57439800000006</v>
      </c>
      <c r="CA39" s="13">
        <f t="shared" si="39"/>
        <v>35.740770176803096</v>
      </c>
      <c r="CB39" s="20">
        <f t="shared" si="10"/>
        <v>301.85725124126549</v>
      </c>
      <c r="CC39" s="59">
        <f t="shared" si="11"/>
        <v>595.1905845745988</v>
      </c>
      <c r="CD39" s="59">
        <f ca="1">AVERAGE(OFFSET($CC$3,0,0,'Données projet'!$E$12+1,1))-AVERAGE(OFFSET($H$3,0,0,'Données projet'!$E$12+1,1))</f>
        <v>555.3092253965317</v>
      </c>
      <c r="CE39" s="59">
        <f t="shared" si="40"/>
        <v>292.20785523952651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30.856990494697097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30.856990494697097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8.8000000000000007</v>
      </c>
      <c r="CT39" s="12">
        <f>IF('Données projet'!$A$140&gt;35,CT38+CS39-DB38,IF(A39&lt;'Données projet'!$A$140,$CQ$205^A39,IF(A39='Données projet'!$A$140,'Données projet'!$B$140,CT38+CS39-DB38)))</f>
        <v>149.79999999999998</v>
      </c>
      <c r="CU39" s="17">
        <f>CT39*VLOOKUP('Données projet'!$B$13,Paramètres!$A$1:$I$89,3,0)*VLOOKUP('Données projet'!$B$13,Paramètres!$A$1:$I$89,5,0)</f>
        <v>95.812079999999995</v>
      </c>
      <c r="CV39" s="13">
        <f t="shared" si="41"/>
        <v>25.9618127992258</v>
      </c>
      <c r="CW39" s="20">
        <f t="shared" si="13"/>
        <v>212.08952995865158</v>
      </c>
      <c r="CX39" s="59">
        <f t="shared" si="14"/>
        <v>505.42286329198487</v>
      </c>
      <c r="CY39" s="59">
        <f ca="1">AVERAGE(OFFSET($CX$3,0,0,'Données projet'!$E$13+1,1))-AVERAGE(OFFSET($H$3,0,0,'Données projet'!$E$13+1,1))</f>
        <v>269.44168853803717</v>
      </c>
      <c r="CZ39" s="59">
        <f t="shared" si="42"/>
        <v>247.65158389074043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8.0479807363218363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8.0479807363218363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6">
        <f t="shared" si="1"/>
        <v>256.66666666666669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9.8000000000000007</v>
      </c>
      <c r="N40" s="13">
        <f>IF('Données projet'!$A$36&gt;35,N39+M40-V39,IF(A40&lt;'Données projet'!$A$36,$K$205^A40,IF(A40='Données projet'!$A$36,'Données projet'!$B$36,N39+M40-V39)))</f>
        <v>176.60000000000005</v>
      </c>
      <c r="O40" s="13">
        <f>N40*VLOOKUP('Données projet'!$B$9,Paramètres!$A$1:$I$89,3,0)*VLOOKUP('Données projet'!$B$9,Paramètres!$A$1:$I$89,5,0)</f>
        <v>154.27776000000009</v>
      </c>
      <c r="P40" s="13">
        <f t="shared" si="33"/>
        <v>39.549125277353333</v>
      </c>
      <c r="Q40" s="20">
        <f t="shared" si="53"/>
        <v>337.58182519139058</v>
      </c>
      <c r="R40" s="59">
        <f t="shared" si="0"/>
        <v>630.91515852472389</v>
      </c>
      <c r="S40" s="59">
        <f ca="1">AVERAGE(OFFSET($R$3,0,0,'Données projet'!$E$9+1,1))-AVERAGE(OFFSET($H$3,0,0,'Données projet'!$E$9+1,1))</f>
        <v>381.72225529388083</v>
      </c>
      <c r="T40" s="59">
        <f t="shared" si="34"/>
        <v>360.05900046417361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12.772516006518586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12.772516006518586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6.2</v>
      </c>
      <c r="AI40" s="13">
        <f>IF('Données projet'!$A$62&gt;35,AI39+AH40-AQ39,IF(A40&lt;'Données projet'!$A$62,$AF$205^A40,IF(A40='Données projet'!$A$62,'Données projet'!$B$62,AI39+AH40-AQ39)))</f>
        <v>270.39999999999998</v>
      </c>
      <c r="AJ40" s="13">
        <f>AI40*VLOOKUP('Données projet'!$B$10,Paramètres!$A$1:$I$89,3,0)*VLOOKUP('Données projet'!$B$10,Paramètres!$A$1:$I$89,5,0)</f>
        <v>244.65791999999996</v>
      </c>
      <c r="AK40" s="13">
        <f t="shared" si="35"/>
        <v>59.44058075210868</v>
      </c>
      <c r="AL40" s="20">
        <f t="shared" si="4"/>
        <v>529.6382221432558</v>
      </c>
      <c r="AM40" s="59">
        <f t="shared" si="5"/>
        <v>822.97155547658917</v>
      </c>
      <c r="AN40" s="59">
        <f ca="1">AVERAGE(OFFSET($AM$3,0,0,'Données projet'!$E$10+1,1))-AVERAGE(OFFSET($H$3,0,0,'Données projet'!$E$10+1,1))</f>
        <v>366.43676005661194</v>
      </c>
      <c r="AO40" s="59">
        <f t="shared" si="36"/>
        <v>513.80016421153414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2.5957433640739338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2.5957433640739338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28.093333333333334</v>
      </c>
      <c r="BD40" s="12">
        <f>IF('Données projet'!$A$88&gt;35,BD39+BC40-BL39,IF(A40&lt;'Données projet'!$A$88,$BA$205^A40,IF(A40='Données projet'!$A$88,'Données projet'!$B$88,BD39+BC40-BL39)))</f>
        <v>443.90333333333319</v>
      </c>
      <c r="BE40" s="13">
        <f>BD40*VLOOKUP('Données projet'!$B$11,Paramètres!$A$1:$I$89,3,0)*VLOOKUP('Données projet'!$B$11,Paramètres!$A$1:$I$89,5,0)</f>
        <v>196.20527333333331</v>
      </c>
      <c r="BF40" s="13">
        <f t="shared" si="37"/>
        <v>48.909274170661185</v>
      </c>
      <c r="BG40" s="20">
        <f t="shared" si="7"/>
        <v>426.90783690279039</v>
      </c>
      <c r="BH40" s="59">
        <f t="shared" si="8"/>
        <v>720.24117023612371</v>
      </c>
      <c r="BI40" s="59">
        <f ca="1">AVERAGE(OFFSET($BH$3,0,0,'Données projet'!$E$11+1,1))-AVERAGE(OFFSET($H$3,0,0,'Données projet'!$E$11+1,1))</f>
        <v>328.58609979635901</v>
      </c>
      <c r="BJ40" s="59">
        <f t="shared" si="38"/>
        <v>432.3494365423407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27.152166869142405</v>
      </c>
      <c r="BQ40" s="21">
        <f>EXP(-LN(2)/25)*BQ39+(1-EXP(-LN(2)/25))/(LN(2)/25)*Calculateur!BL40*Calculateur!BN40*VLOOKUP('Données projet'!$B$11,Paramètres!$A$1:$I$89,3,0)*0.475*44/12</f>
        <v>32.932593699003029</v>
      </c>
      <c r="BR40" s="21">
        <f>EXP(-LN(2)/2)*BR39+(1-EXP(-LN(2)/2))/(LN(2)/2)*BL40*BO40*VLOOKUP('Données projet'!$B$11,Paramètres!$A$1:$I$89,3,0)*0.475*44/12</f>
        <v>5.17119069876203E-2</v>
      </c>
      <c r="BS40" s="22">
        <f t="shared" si="9"/>
        <v>60.136472475133054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12.86166666666667</v>
      </c>
      <c r="BY40" s="12">
        <f>IF('Données projet'!$A$114&gt;35,BY39+BX40-CG39,IF(A40&lt;'Données projet'!$A$114,$BV$205^A40,IF(A40='Données projet'!$A$114,'Données projet'!$B$114,BY39+BX40-CG39)))</f>
        <v>157.43333333333339</v>
      </c>
      <c r="BZ40" s="13">
        <f>BY40*VLOOKUP('Données projet'!$B$12,Paramètres!$A$1:$I$89,3,0)*VLOOKUP('Données projet'!$B$12,Paramètres!$A$1:$I$89,5,0)</f>
        <v>149.81356000000005</v>
      </c>
      <c r="CA40" s="13">
        <f t="shared" si="39"/>
        <v>38.53621339548981</v>
      </c>
      <c r="CB40" s="20">
        <f t="shared" si="10"/>
        <v>328.04252199714483</v>
      </c>
      <c r="CC40" s="59">
        <f t="shared" si="11"/>
        <v>621.37585533047809</v>
      </c>
      <c r="CD40" s="59">
        <f ca="1">AVERAGE(OFFSET($CC$3,0,0,'Données projet'!$E$12+1,1))-AVERAGE(OFFSET($H$3,0,0,'Données projet'!$E$12+1,1))</f>
        <v>555.3092253965317</v>
      </c>
      <c r="CE40" s="59">
        <f t="shared" si="40"/>
        <v>292.20785523952651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30.251903732001878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30.251903732001878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8.8000000000000007</v>
      </c>
      <c r="CT40" s="12">
        <f>IF('Données projet'!$A$140&gt;35,CT39+CS40-DB39,IF(A40&lt;'Données projet'!$A$140,$CQ$205^A40,IF(A40='Données projet'!$A$140,'Données projet'!$B$140,CT39+CS40-DB39)))</f>
        <v>158.6</v>
      </c>
      <c r="CU40" s="17">
        <f>CT40*VLOOKUP('Données projet'!$B$13,Paramètres!$A$1:$I$89,3,0)*VLOOKUP('Données projet'!$B$13,Paramètres!$A$1:$I$89,5,0)</f>
        <v>101.44055999999999</v>
      </c>
      <c r="CV40" s="13">
        <f t="shared" si="41"/>
        <v>27.304904898847315</v>
      </c>
      <c r="CW40" s="20">
        <f t="shared" si="13"/>
        <v>224.23168469882569</v>
      </c>
      <c r="CX40" s="59">
        <f t="shared" si="14"/>
        <v>517.56501803215906</v>
      </c>
      <c r="CY40" s="59">
        <f ca="1">AVERAGE(OFFSET($CX$3,0,0,'Données projet'!$E$13+1,1))-AVERAGE(OFFSET($H$3,0,0,'Données projet'!$E$13+1,1))</f>
        <v>269.44168853803717</v>
      </c>
      <c r="CZ40" s="59">
        <f t="shared" si="42"/>
        <v>247.65158389074043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7.8901647428661121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7.8901647428661121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6">
        <f t="shared" si="1"/>
        <v>256.66666666666669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9.8000000000000007</v>
      </c>
      <c r="N41" s="13">
        <f>IF('Données projet'!$A$36&gt;35,N40+M41-V40,IF(A41&lt;'Données projet'!$A$36,$K$205^A41,IF(A41='Données projet'!$A$36,'Données projet'!$B$36,N40+M41-V40)))</f>
        <v>186.40000000000006</v>
      </c>
      <c r="O41" s="13">
        <f>N41*VLOOKUP('Données projet'!$B$9,Paramètres!$A$1:$I$89,3,0)*VLOOKUP('Données projet'!$B$9,Paramètres!$A$1:$I$89,5,0)</f>
        <v>162.83904000000007</v>
      </c>
      <c r="P41" s="13">
        <f t="shared" si="33"/>
        <v>41.482211836000111</v>
      </c>
      <c r="Q41" s="20">
        <f t="shared" si="53"/>
        <v>355.85951361436696</v>
      </c>
      <c r="R41" s="59">
        <f t="shared" si="0"/>
        <v>649.19284694770022</v>
      </c>
      <c r="S41" s="59">
        <f ca="1">AVERAGE(OFFSET($R$3,0,0,'Données projet'!$E$9+1,1))-AVERAGE(OFFSET($H$3,0,0,'Données projet'!$E$9+1,1))</f>
        <v>381.72225529388083</v>
      </c>
      <c r="T41" s="59">
        <f t="shared" si="34"/>
        <v>360.05900046417361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12.522054758096276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12.522054758096276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6.2</v>
      </c>
      <c r="AI41" s="13">
        <f>IF('Données projet'!$A$62&gt;35,AI40+AH41-AQ40,IF(A41&lt;'Données projet'!$A$62,$AF$205^A41,IF(A41='Données projet'!$A$62,'Données projet'!$B$62,AI40+AH41-AQ40)))</f>
        <v>276.59999999999997</v>
      </c>
      <c r="AJ41" s="13">
        <f>AI41*VLOOKUP('Données projet'!$B$10,Paramètres!$A$1:$I$89,3,0)*VLOOKUP('Données projet'!$B$10,Paramètres!$A$1:$I$89,5,0)</f>
        <v>250.26767999999996</v>
      </c>
      <c r="AK41" s="13">
        <f t="shared" si="35"/>
        <v>60.643256925083442</v>
      </c>
      <c r="AL41" s="20">
        <f t="shared" si="4"/>
        <v>541.50321514452014</v>
      </c>
      <c r="AM41" s="59">
        <f t="shared" si="5"/>
        <v>834.83654847785351</v>
      </c>
      <c r="AN41" s="59">
        <f ca="1">AVERAGE(OFFSET($AM$3,0,0,'Données projet'!$E$10+1,1))-AVERAGE(OFFSET($H$3,0,0,'Données projet'!$E$10+1,1))</f>
        <v>366.43676005661194</v>
      </c>
      <c r="AO41" s="59">
        <f t="shared" si="36"/>
        <v>513.80016421153414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2.5448424199515634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2.5448424199515634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28.093333333333334</v>
      </c>
      <c r="BD41" s="12">
        <f>IF('Données projet'!$A$88&gt;35,BD40+BC41-BL40,IF(A41&lt;'Données projet'!$A$88,$BA$205^A41,IF(A41='Données projet'!$A$88,'Données projet'!$B$88,BD40+BC41-BL40)))</f>
        <v>471.99666666666656</v>
      </c>
      <c r="BE41" s="13">
        <f>BD41*VLOOKUP('Données projet'!$B$11,Paramètres!$A$1:$I$89,3,0)*VLOOKUP('Données projet'!$B$11,Paramètres!$A$1:$I$89,5,0)</f>
        <v>208.62252666666666</v>
      </c>
      <c r="BF41" s="13">
        <f t="shared" si="37"/>
        <v>51.634457923137269</v>
      </c>
      <c r="BG41" s="20">
        <f t="shared" si="7"/>
        <v>453.28091482724193</v>
      </c>
      <c r="BH41" s="59">
        <f t="shared" si="8"/>
        <v>746.61424816057524</v>
      </c>
      <c r="BI41" s="59">
        <f ca="1">AVERAGE(OFFSET($BH$3,0,0,'Données projet'!$E$11+1,1))-AVERAGE(OFFSET($H$3,0,0,'Données projet'!$E$11+1,1))</f>
        <v>328.58609979635901</v>
      </c>
      <c r="BJ41" s="59">
        <f t="shared" si="38"/>
        <v>432.3494365423407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26.619729438025033</v>
      </c>
      <c r="BQ41" s="21">
        <f>EXP(-LN(2)/25)*BQ40+(1-EXP(-LN(2)/25))/(LN(2)/25)*Calculateur!BL41*Calculateur!BN41*VLOOKUP('Données projet'!$B$11,Paramètres!$A$1:$I$89,3,0)*0.475*44/12</f>
        <v>32.032050192453958</v>
      </c>
      <c r="BR41" s="21">
        <f>EXP(-LN(2)/2)*BR40+(1-EXP(-LN(2)/2))/(LN(2)/2)*BL41*BO41*VLOOKUP('Données projet'!$B$11,Paramètres!$A$1:$I$89,3,0)*0.475*44/12</f>
        <v>3.6565840099034325E-2</v>
      </c>
      <c r="BS41" s="22">
        <f t="shared" si="9"/>
        <v>58.688345470578028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12.86166666666667</v>
      </c>
      <c r="BY41" s="12">
        <f>IF('Données projet'!$A$114&gt;35,BY40+BX41-CG40,IF(A41&lt;'Données projet'!$A$114,$BV$205^A41,IF(A41='Données projet'!$A$114,'Données projet'!$B$114,BY40+BX41-CG40)))</f>
        <v>170.29500000000007</v>
      </c>
      <c r="BZ41" s="13">
        <f>BY41*VLOOKUP('Données projet'!$B$12,Paramètres!$A$1:$I$89,3,0)*VLOOKUP('Données projet'!$B$12,Paramètres!$A$1:$I$89,5,0)</f>
        <v>162.05272200000007</v>
      </c>
      <c r="CA41" s="13">
        <f t="shared" si="39"/>
        <v>41.305168513396602</v>
      </c>
      <c r="CB41" s="20">
        <f t="shared" si="10"/>
        <v>354.18165931083257</v>
      </c>
      <c r="CC41" s="59">
        <f t="shared" si="11"/>
        <v>647.51499264416589</v>
      </c>
      <c r="CD41" s="59">
        <f ca="1">AVERAGE(OFFSET($CC$3,0,0,'Données projet'!$E$12+1,1))-AVERAGE(OFFSET($H$3,0,0,'Données projet'!$E$12+1,1))</f>
        <v>555.3092253965317</v>
      </c>
      <c r="CE41" s="59">
        <f t="shared" si="40"/>
        <v>292.20785523952651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29.65868235165663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29.65868235165663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8.8000000000000007</v>
      </c>
      <c r="CT41" s="12">
        <f>IF('Données projet'!$A$140&gt;35,CT40+CS41-DB40,IF(A41&lt;'Données projet'!$A$140,$CQ$205^A41,IF(A41='Données projet'!$A$140,'Données projet'!$B$140,CT40+CS41-DB40)))</f>
        <v>167.4</v>
      </c>
      <c r="CU41" s="17">
        <f>CT41*VLOOKUP('Données projet'!$B$13,Paramètres!$A$1:$I$89,3,0)*VLOOKUP('Données projet'!$B$13,Paramètres!$A$1:$I$89,5,0)</f>
        <v>107.06904</v>
      </c>
      <c r="CV41" s="13">
        <f t="shared" si="41"/>
        <v>28.639345887991663</v>
      </c>
      <c r="CW41" s="20">
        <f t="shared" si="13"/>
        <v>236.3587720882521</v>
      </c>
      <c r="CX41" s="59">
        <f t="shared" si="14"/>
        <v>529.69210542158544</v>
      </c>
      <c r="CY41" s="59">
        <f ca="1">AVERAGE(OFFSET($CX$3,0,0,'Données projet'!$E$13+1,1))-AVERAGE(OFFSET($H$3,0,0,'Données projet'!$E$13+1,1))</f>
        <v>269.44168853803717</v>
      </c>
      <c r="CZ41" s="59">
        <f t="shared" si="42"/>
        <v>247.65158389074043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7.7354434247838038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7.7354434247838038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6">
        <f t="shared" si="1"/>
        <v>256.66666666666669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9.8000000000000007</v>
      </c>
      <c r="N42" s="13">
        <f>IF('Données projet'!$A$36&gt;35,N41+M42-V41,IF(A42&lt;'Données projet'!$A$36,$K$205^A42,IF(A42='Données projet'!$A$36,'Données projet'!$B$36,N41+M42-V41)))</f>
        <v>196.20000000000007</v>
      </c>
      <c r="O42" s="13">
        <f>N42*VLOOKUP('Données projet'!$B$9,Paramètres!$A$1:$I$89,3,0)*VLOOKUP('Données projet'!$B$9,Paramètres!$A$1:$I$89,5,0)</f>
        <v>171.40032000000011</v>
      </c>
      <c r="P42" s="13">
        <f t="shared" si="33"/>
        <v>43.40349878862115</v>
      </c>
      <c r="Q42" s="20">
        <f t="shared" si="53"/>
        <v>374.11665105684864</v>
      </c>
      <c r="R42" s="59">
        <f t="shared" si="0"/>
        <v>667.44998439018195</v>
      </c>
      <c r="S42" s="59">
        <f ca="1">AVERAGE(OFFSET($R$3,0,0,'Données projet'!$E$9+1,1))-AVERAGE(OFFSET($H$3,0,0,'Données projet'!$E$9+1,1))</f>
        <v>381.72225529388083</v>
      </c>
      <c r="T42" s="59">
        <f t="shared" si="34"/>
        <v>360.05900046417361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12.27650490198925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12.27650490198925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6.2</v>
      </c>
      <c r="AI42" s="13">
        <f>IF('Données projet'!$A$62&gt;35,AI41+AH42-AQ41,IF(A42&lt;'Données projet'!$A$62,$AF$205^A42,IF(A42='Données projet'!$A$62,'Données projet'!$B$62,AI41+AH42-AQ41)))</f>
        <v>282.79999999999995</v>
      </c>
      <c r="AJ42" s="13">
        <f>AI42*VLOOKUP('Données projet'!$B$10,Paramètres!$A$1:$I$89,3,0)*VLOOKUP('Données projet'!$B$10,Paramètres!$A$1:$I$89,5,0)</f>
        <v>255.87743999999998</v>
      </c>
      <c r="AK42" s="13">
        <f t="shared" si="35"/>
        <v>61.842798995505326</v>
      </c>
      <c r="AL42" s="20">
        <f t="shared" si="4"/>
        <v>553.36274958383854</v>
      </c>
      <c r="AM42" s="59">
        <f t="shared" si="5"/>
        <v>846.69608291717191</v>
      </c>
      <c r="AN42" s="59">
        <f ca="1">AVERAGE(OFFSET($AM$3,0,0,'Données projet'!$E$10+1,1))-AVERAGE(OFFSET($H$3,0,0,'Données projet'!$E$10+1,1))</f>
        <v>366.43676005661194</v>
      </c>
      <c r="AO42" s="59">
        <f t="shared" si="36"/>
        <v>513.80016421153414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2.4949396122969221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2.4949396122969221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28.093333333333334</v>
      </c>
      <c r="BD42" s="12">
        <f>IF('Données projet'!$A$88&gt;35,BD41+BC42-BL41,IF(A42&lt;'Données projet'!$A$88,$BA$205^A42,IF(A42='Données projet'!$A$88,'Données projet'!$B$88,BD41+BC42-BL41)))</f>
        <v>500.08999999999992</v>
      </c>
      <c r="BE42" s="13">
        <f>BD42*VLOOKUP('Données projet'!$B$11,Paramètres!$A$1:$I$89,3,0)*VLOOKUP('Données projet'!$B$11,Paramètres!$A$1:$I$89,5,0)</f>
        <v>221.03978000000001</v>
      </c>
      <c r="BF42" s="13">
        <f t="shared" si="37"/>
        <v>54.340814712157709</v>
      </c>
      <c r="BG42" s="20">
        <f t="shared" si="7"/>
        <v>479.62120245700811</v>
      </c>
      <c r="BH42" s="59">
        <f t="shared" si="8"/>
        <v>772.95453579034142</v>
      </c>
      <c r="BI42" s="59">
        <f ca="1">AVERAGE(OFFSET($BH$3,0,0,'Données projet'!$E$11+1,1))-AVERAGE(OFFSET($H$3,0,0,'Données projet'!$E$11+1,1))</f>
        <v>328.58609979635901</v>
      </c>
      <c r="BJ42" s="59">
        <f t="shared" si="38"/>
        <v>432.3494365423407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26.097732780177104</v>
      </c>
      <c r="BQ42" s="21">
        <f>EXP(-LN(2)/25)*BQ41+(1-EXP(-LN(2)/25))/(LN(2)/25)*Calculateur!BL42*Calculateur!BN42*VLOOKUP('Données projet'!$B$11,Paramètres!$A$1:$I$89,3,0)*0.475*44/12</f>
        <v>31.156132095448996</v>
      </c>
      <c r="BR42" s="21">
        <f>EXP(-LN(2)/2)*BR41+(1-EXP(-LN(2)/2))/(LN(2)/2)*BL42*BO42*VLOOKUP('Données projet'!$B$11,Paramètres!$A$1:$I$89,3,0)*0.475*44/12</f>
        <v>2.585595349381015E-2</v>
      </c>
      <c r="BS42" s="22">
        <f t="shared" si="9"/>
        <v>57.27972082911991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12.86166666666667</v>
      </c>
      <c r="BY42" s="12">
        <f>IF('Données projet'!$A$114&gt;35,BY41+BX42-CG41,IF(A42&lt;'Données projet'!$A$114,$BV$205^A42,IF(A42='Données projet'!$A$114,'Données projet'!$B$114,BY41+BX42-CG41)))</f>
        <v>183.15666666666675</v>
      </c>
      <c r="BZ42" s="13">
        <f>BY42*VLOOKUP('Données projet'!$B$12,Paramètres!$A$1:$I$89,3,0)*VLOOKUP('Données projet'!$B$12,Paramètres!$A$1:$I$89,5,0)</f>
        <v>174.2918840000001</v>
      </c>
      <c r="CA42" s="13">
        <f t="shared" si="39"/>
        <v>44.049863537485052</v>
      </c>
      <c r="CB42" s="20">
        <f t="shared" si="10"/>
        <v>380.27854362778663</v>
      </c>
      <c r="CC42" s="59">
        <f t="shared" si="11"/>
        <v>673.61187696111995</v>
      </c>
      <c r="CD42" s="59">
        <f ca="1">AVERAGE(OFFSET($CC$3,0,0,'Données projet'!$E$12+1,1))-AVERAGE(OFFSET($H$3,0,0,'Données projet'!$E$12+1,1))</f>
        <v>555.3092253965317</v>
      </c>
      <c r="CE42" s="59">
        <f t="shared" si="40"/>
        <v>292.20785523952651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29.077093680750636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29.077093680750636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8.8000000000000007</v>
      </c>
      <c r="CT42" s="12">
        <f>IF('Données projet'!$A$140&gt;35,CT41+CS42-DB41,IF(A42&lt;'Données projet'!$A$140,$CQ$205^A42,IF(A42='Données projet'!$A$140,'Données projet'!$B$140,CT41+CS42-DB41)))</f>
        <v>176.20000000000002</v>
      </c>
      <c r="CU42" s="17">
        <f>CT42*VLOOKUP('Données projet'!$B$13,Paramètres!$A$1:$I$89,3,0)*VLOOKUP('Données projet'!$B$13,Paramètres!$A$1:$I$89,5,0)</f>
        <v>112.69752000000001</v>
      </c>
      <c r="CV42" s="13">
        <f t="shared" si="41"/>
        <v>29.965642408774354</v>
      </c>
      <c r="CW42" s="20">
        <f t="shared" si="13"/>
        <v>248.4716745286153</v>
      </c>
      <c r="CX42" s="59">
        <f t="shared" si="14"/>
        <v>541.80500786194864</v>
      </c>
      <c r="CY42" s="59">
        <f ca="1">AVERAGE(OFFSET($CX$3,0,0,'Données projet'!$E$13+1,1))-AVERAGE(OFFSET($H$3,0,0,'Données projet'!$E$13+1,1))</f>
        <v>269.44168853803717</v>
      </c>
      <c r="CZ42" s="59">
        <f t="shared" si="42"/>
        <v>247.65158389074043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7.5837560973784033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7.5837560973784033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6">
        <f t="shared" si="1"/>
        <v>256.66666666666669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206</v>
      </c>
      <c r="L43" s="12">
        <f>VLOOKUP(A43,'Données projet'!$A$35:$I$55,9,0)</f>
        <v>9.8000000000000007</v>
      </c>
      <c r="M43" s="12">
        <f t="array" ref="M43">INDEX(L:L,MIN(IF(ISNUMBER(L43:L239),ROW(L43:L239),"")))</f>
        <v>9.8000000000000007</v>
      </c>
      <c r="N43" s="13">
        <f>IF('Données projet'!$A$36&gt;35,N42+M43-V42,IF(A43&lt;'Données projet'!$A$36,$K$205^A43,IF(A43='Données projet'!$A$36,'Données projet'!$B$36,N42+M43-V42)))</f>
        <v>206.00000000000009</v>
      </c>
      <c r="O43" s="13">
        <f>N43*VLOOKUP('Données projet'!$B$9,Paramètres!$A$1:$I$89,3,0)*VLOOKUP('Données projet'!$B$9,Paramètres!$A$1:$I$89,5,0)</f>
        <v>179.96160000000009</v>
      </c>
      <c r="P43" s="13">
        <f t="shared" si="33"/>
        <v>45.313642767960104</v>
      </c>
      <c r="Q43" s="20">
        <f t="shared" si="53"/>
        <v>392.35438115419737</v>
      </c>
      <c r="R43" s="59">
        <f t="shared" si="0"/>
        <v>685.68771448753068</v>
      </c>
      <c r="S43" s="59">
        <f ca="1">AVERAGE(OFFSET($R$3,0,0,'Données projet'!$E$9+1,1))-AVERAGE(OFFSET($H$3,0,0,'Données projet'!$E$9+1,1))</f>
        <v>381.72225529388083</v>
      </c>
      <c r="T43" s="59">
        <f t="shared" si="34"/>
        <v>360.05900046417361</v>
      </c>
      <c r="U43" s="15">
        <f>IF(ISNA(VLOOKUP(A43,'Données projet'!$A$35:$I$55,3,0)),0,VLOOKUP(A43,'Données projet'!$A$35:$I$55,3,0))</f>
        <v>6</v>
      </c>
      <c r="V43" s="15">
        <f>IF(ISNA(VLOOKUP(A43,'Données projet'!$A$35:$I$55,4,0)),0,VLOOKUP(A43,'Données projet'!$A$35:$I$55,4,0))</f>
        <v>31</v>
      </c>
      <c r="W43" s="16">
        <f>IF(ISNA(VLOOKUP(A43,'Données projet'!$A$35:$I$55,5,0)),0%,VLOOKUP(A43,'Données projet'!$A$35:$I$55,5,0)*VLOOKUP('Données projet'!$B$9,Paramètres!$A$1:$I$89,7,0))</f>
        <v>0.43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24.909069979844464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24.909069979844464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289</v>
      </c>
      <c r="AG43" s="12">
        <f>VLOOKUP(A43,'Données projet'!$A$61:$I$81,9,0)</f>
        <v>6.2</v>
      </c>
      <c r="AH43" s="12">
        <f t="array" ref="AH43">INDEX(AG:AG,MIN(IF(ISNUMBER(AG43:AG239),ROW(AG43:AG239),"")))</f>
        <v>6.2</v>
      </c>
      <c r="AI43" s="13">
        <f>IF('Données projet'!$A$62&gt;35,AI42+AH43-AQ42,IF(A43&lt;'Données projet'!$A$62,$AF$205^A43,IF(A43='Données projet'!$A$62,'Données projet'!$B$62,AI42+AH43-AQ42)))</f>
        <v>288.99999999999994</v>
      </c>
      <c r="AJ43" s="13">
        <f>AI43*VLOOKUP('Données projet'!$B$10,Paramètres!$A$1:$I$89,3,0)*VLOOKUP('Données projet'!$B$10,Paramètres!$A$1:$I$89,5,0)</f>
        <v>261.48719999999992</v>
      </c>
      <c r="AK43" s="13">
        <f t="shared" si="35"/>
        <v>63.039283586802391</v>
      </c>
      <c r="AL43" s="20">
        <f t="shared" si="4"/>
        <v>565.21695891368074</v>
      </c>
      <c r="AM43" s="59">
        <f t="shared" si="5"/>
        <v>858.55029224701411</v>
      </c>
      <c r="AN43" s="59">
        <f ca="1">AVERAGE(OFFSET($AM$3,0,0,'Données projet'!$E$10+1,1))-AVERAGE(OFFSET($H$3,0,0,'Données projet'!$E$10+1,1))</f>
        <v>366.43676005661194</v>
      </c>
      <c r="AO43" s="59">
        <f t="shared" si="36"/>
        <v>513.80016421153414</v>
      </c>
      <c r="AP43" s="15">
        <f>IF(ISNA(VLOOKUP(A43,'Données projet'!$A$61:$I$81,3,0)),0,VLOOKUP(A43,'Données projet'!$A$61:$I$81,3,0))</f>
        <v>8</v>
      </c>
      <c r="AQ43" s="15">
        <f>IF(ISNA(VLOOKUP(A43,'Données projet'!$A$61:$I$81,4,0)),0,VLOOKUP(A43,'Données projet'!$A$61:$I$81,4,0))</f>
        <v>7</v>
      </c>
      <c r="AR43" s="16">
        <f>IF(ISNA(VLOOKUP(A43,'Données projet'!$A$61:$I$81,5,0)),0%,VLOOKUP(A43,'Données projet'!$A$61:$I$81,5,0)*VLOOKUP('Données projet'!$B$10,Paramètres!$A$1:$I$89,7,0))</f>
        <v>0.3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4.5464975270056485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4.5464975270056485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28.093333333333334</v>
      </c>
      <c r="BD43" s="12">
        <f>IF('Données projet'!$A$88&gt;35,BD42+BC43-BL42,IF(A43&lt;'Données projet'!$A$88,$BA$205^A43,IF(A43='Données projet'!$A$88,'Données projet'!$B$88,BD42+BC43-BL42)))</f>
        <v>528.18333333333328</v>
      </c>
      <c r="BE43" s="13">
        <f>BD43*VLOOKUP('Données projet'!$B$11,Paramètres!$A$1:$I$89,3,0)*VLOOKUP('Données projet'!$B$11,Paramètres!$A$1:$I$89,5,0)</f>
        <v>233.45703333333336</v>
      </c>
      <c r="BF43" s="13">
        <f t="shared" si="37"/>
        <v>57.029522701541026</v>
      </c>
      <c r="BG43" s="20">
        <f t="shared" si="7"/>
        <v>505.93075176073961</v>
      </c>
      <c r="BH43" s="59">
        <f t="shared" si="8"/>
        <v>799.26408509407293</v>
      </c>
      <c r="BI43" s="59">
        <f ca="1">AVERAGE(OFFSET($BH$3,0,0,'Données projet'!$E$11+1,1))-AVERAGE(OFFSET($H$3,0,0,'Données projet'!$E$11+1,1))</f>
        <v>328.58609979635901</v>
      </c>
      <c r="BJ43" s="59">
        <f t="shared" si="38"/>
        <v>432.3494365423407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25.585972158403049</v>
      </c>
      <c r="BQ43" s="21">
        <f>EXP(-LN(2)/25)*BQ42+(1-EXP(-LN(2)/25))/(LN(2)/25)*Calculateur!BL43*Calculateur!BN43*VLOOKUP('Données projet'!$B$11,Paramètres!$A$1:$I$89,3,0)*0.475*44/12</f>
        <v>30.304166024869165</v>
      </c>
      <c r="BR43" s="21">
        <f>EXP(-LN(2)/2)*BR42+(1-EXP(-LN(2)/2))/(LN(2)/2)*BL43*BO43*VLOOKUP('Données projet'!$B$11,Paramètres!$A$1:$I$89,3,0)*0.475*44/12</f>
        <v>1.8282920049517162E-2</v>
      </c>
      <c r="BS43" s="22">
        <f t="shared" si="9"/>
        <v>55.908421103321729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12.86166666666667</v>
      </c>
      <c r="BY43" s="12">
        <f>IF('Données projet'!$A$114&gt;35,BY42+BX43-CG42,IF(A43&lt;'Données projet'!$A$114,$BV$205^A43,IF(A43='Données projet'!$A$114,'Données projet'!$B$114,BY42+BX43-CG42)))</f>
        <v>196.01833333333343</v>
      </c>
      <c r="BZ43" s="13">
        <f>BY43*VLOOKUP('Données projet'!$B$12,Paramètres!$A$1:$I$89,3,0)*VLOOKUP('Données projet'!$B$12,Paramètres!$A$1:$I$89,5,0)</f>
        <v>186.53104600000009</v>
      </c>
      <c r="CA43" s="13">
        <f t="shared" si="39"/>
        <v>46.772195840563178</v>
      </c>
      <c r="CB43" s="20">
        <f t="shared" si="10"/>
        <v>406.336479538981</v>
      </c>
      <c r="CC43" s="59">
        <f t="shared" si="11"/>
        <v>699.66981287231431</v>
      </c>
      <c r="CD43" s="59">
        <f ca="1">AVERAGE(OFFSET($CC$3,0,0,'Données projet'!$E$12+1,1))-AVERAGE(OFFSET($H$3,0,0,'Données projet'!$E$12+1,1))</f>
        <v>555.3092253965317</v>
      </c>
      <c r="CE43" s="59">
        <f t="shared" si="40"/>
        <v>292.20785523952651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28.506909608947048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28.506909608947048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185</v>
      </c>
      <c r="CR43" s="12">
        <f>VLOOKUP(A43,'Données projet'!$A$139:$I$159,9,0)</f>
        <v>8.8000000000000007</v>
      </c>
      <c r="CS43" s="12">
        <f t="array" ref="CS43">INDEX(CR:CR,MIN(IF(ISNUMBER(CR43:CR239),ROW(CR43:CR239),"")))</f>
        <v>8.8000000000000007</v>
      </c>
      <c r="CT43" s="12">
        <f>IF('Données projet'!$A$140&gt;35,CT42+CS43-DB42,IF(A43&lt;'Données projet'!$A$140,$CQ$205^A43,IF(A43='Données projet'!$A$140,'Données projet'!$B$140,CT42+CS43-DB42)))</f>
        <v>185.00000000000003</v>
      </c>
      <c r="CU43" s="17">
        <f>CT43*VLOOKUP('Données projet'!$B$13,Paramètres!$A$1:$I$89,3,0)*VLOOKUP('Données projet'!$B$13,Paramètres!$A$1:$I$89,5,0)</f>
        <v>118.32600000000002</v>
      </c>
      <c r="CV43" s="13">
        <f t="shared" si="41"/>
        <v>31.284247637844491</v>
      </c>
      <c r="CW43" s="20">
        <f t="shared" si="13"/>
        <v>260.57118130257919</v>
      </c>
      <c r="CX43" s="59">
        <f t="shared" si="14"/>
        <v>553.90451463591251</v>
      </c>
      <c r="CY43" s="59">
        <f ca="1">AVERAGE(OFFSET($CX$3,0,0,'Données projet'!$E$13+1,1))-AVERAGE(OFFSET($H$3,0,0,'Données projet'!$E$13+1,1))</f>
        <v>269.44168853803717</v>
      </c>
      <c r="CZ43" s="59">
        <f t="shared" si="42"/>
        <v>247.65158389074043</v>
      </c>
      <c r="DA43" s="15">
        <f>IF(ISNA(VLOOKUP(A43,'Données projet'!$A$139:$I$159,3,0)),0,VLOOKUP(A43,'Données projet'!$A$139:$I$159,3,0))</f>
        <v>5</v>
      </c>
      <c r="DB43" s="15">
        <f>IF(ISNA(VLOOKUP(A43,'Données projet'!$A$139:$I$159,4,0)),0,VLOOKUP(A43,'Données projet'!$A$139:$I$159,4,0))</f>
        <v>27</v>
      </c>
      <c r="DC43" s="16">
        <f>IF(ISNA(VLOOKUP(A43,'Données projet'!$A$139:$I$159,5,0)),0%,VLOOKUP(A43,'Données projet'!$A$139:$I$159,5,0)*VLOOKUP('Données projet'!$B$13,Paramètres!$A$1:$I$89,7,0))</f>
        <v>0.43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15.64399656958237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15.64399656958237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6">
        <f t="shared" si="1"/>
        <v>256.66666666666669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8.8000000000000007</v>
      </c>
      <c r="N44" s="13">
        <f>IF('Données projet'!$A$36&gt;35,N43+M44-V43,IF(A44&lt;'Données projet'!$A$36,$K$205^A44,IF(A44='Données projet'!$A$36,'Données projet'!$B$36,N43+M44-V43)))</f>
        <v>183.8000000000001</v>
      </c>
      <c r="O44" s="13">
        <f>N44*VLOOKUP('Données projet'!$B$9,Paramètres!$A$1:$I$89,3,0)*VLOOKUP('Données projet'!$B$9,Paramètres!$A$1:$I$89,5,0)</f>
        <v>160.56768000000011</v>
      </c>
      <c r="P44" s="13">
        <f t="shared" si="33"/>
        <v>40.970530810309917</v>
      </c>
      <c r="Q44" s="20">
        <f t="shared" si="53"/>
        <v>351.01238382795663</v>
      </c>
      <c r="R44" s="59">
        <f t="shared" si="0"/>
        <v>644.34571716128994</v>
      </c>
      <c r="S44" s="59">
        <f ca="1">AVERAGE(OFFSET($R$3,0,0,'Données projet'!$E$9+1,1))-AVERAGE(OFFSET($H$3,0,0,'Données projet'!$E$9+1,1))</f>
        <v>381.72225529388083</v>
      </c>
      <c r="T44" s="59">
        <f t="shared" si="34"/>
        <v>360.05900046417361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24.420618310572216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24.420618310572216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6</v>
      </c>
      <c r="AI44" s="13">
        <f>IF('Données projet'!$A$62&gt;35,AI43+AH44-AQ43,IF(A44&lt;'Données projet'!$A$62,$AF$205^A44,IF(A44='Données projet'!$A$62,'Données projet'!$B$62,AI43+AH44-AQ43)))</f>
        <v>287.99999999999994</v>
      </c>
      <c r="AJ44" s="13">
        <f>AI44*VLOOKUP('Données projet'!$B$10,Paramètres!$A$1:$I$89,3,0)*VLOOKUP('Données projet'!$B$10,Paramètres!$A$1:$I$89,5,0)</f>
        <v>260.58239999999995</v>
      </c>
      <c r="AK44" s="13">
        <f t="shared" si="35"/>
        <v>62.846505929896907</v>
      </c>
      <c r="AL44" s="20">
        <f t="shared" si="4"/>
        <v>563.30534449457025</v>
      </c>
      <c r="AM44" s="59">
        <f t="shared" si="5"/>
        <v>856.63867782790362</v>
      </c>
      <c r="AN44" s="59">
        <f ca="1">AVERAGE(OFFSET($AM$3,0,0,'Données projet'!$E$10+1,1))-AVERAGE(OFFSET($H$3,0,0,'Données projet'!$E$10+1,1))</f>
        <v>366.43676005661194</v>
      </c>
      <c r="AO44" s="59">
        <f t="shared" si="36"/>
        <v>513.80016421153414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4.4573434835907397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4.4573434835907397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28.093333333333334</v>
      </c>
      <c r="BD44" s="12">
        <f>IF('Données projet'!$A$88&gt;35,BD43+BC44-BL43,IF(A44&lt;'Données projet'!$A$88,$BA$205^A44,IF(A44='Données projet'!$A$88,'Données projet'!$B$88,BD43+BC44-BL43)))</f>
        <v>556.27666666666664</v>
      </c>
      <c r="BE44" s="13">
        <f>BD44*VLOOKUP('Données projet'!$B$11,Paramètres!$A$1:$I$89,3,0)*VLOOKUP('Données projet'!$B$11,Paramètres!$A$1:$I$89,5,0)</f>
        <v>245.87428666666671</v>
      </c>
      <c r="BF44" s="13">
        <f t="shared" si="37"/>
        <v>59.701627646860622</v>
      </c>
      <c r="BG44" s="20">
        <f t="shared" si="7"/>
        <v>532.2113840960601</v>
      </c>
      <c r="BH44" s="59">
        <f t="shared" si="8"/>
        <v>825.54471742939336</v>
      </c>
      <c r="BI44" s="59">
        <f ca="1">AVERAGE(OFFSET($BH$3,0,0,'Données projet'!$E$11+1,1))-AVERAGE(OFFSET($H$3,0,0,'Données projet'!$E$11+1,1))</f>
        <v>328.58609979635901</v>
      </c>
      <c r="BJ44" s="59">
        <f t="shared" si="38"/>
        <v>432.3494365423407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25.084246850278827</v>
      </c>
      <c r="BQ44" s="21">
        <f>EXP(-LN(2)/25)*BQ43+(1-EXP(-LN(2)/25))/(LN(2)/25)*Calculateur!BL44*Calculateur!BN44*VLOOKUP('Données projet'!$B$11,Paramètres!$A$1:$I$89,3,0)*0.475*44/12</f>
        <v>29.475497011292287</v>
      </c>
      <c r="BR44" s="21">
        <f>EXP(-LN(2)/2)*BR43+(1-EXP(-LN(2)/2))/(LN(2)/2)*BL44*BO44*VLOOKUP('Données projet'!$B$11,Paramètres!$A$1:$I$89,3,0)*0.475*44/12</f>
        <v>1.2927976746905075E-2</v>
      </c>
      <c r="BS44" s="22">
        <f t="shared" si="9"/>
        <v>54.572671838318023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>
        <f>VLOOKUP(A44,'Données projet'!$A$113:$I$133,2,0)</f>
        <v>208.88</v>
      </c>
      <c r="BW44" s="12">
        <f>VLOOKUP(A44,'Données projet'!$A$113:$I$133,9,0)</f>
        <v>12.86166666666667</v>
      </c>
      <c r="BX44" s="12">
        <f t="array" ref="BX44">INDEX(BW:BW,MIN(IF(ISNUMBER(BW44:BW240),ROW(BW44:BW240),"")))</f>
        <v>12.86166666666667</v>
      </c>
      <c r="BY44" s="12">
        <f>IF('Données projet'!$A$114&gt;35,BY43+BX44-CG43,IF(A44&lt;'Données projet'!$A$114,$BV$205^A44,IF(A44='Données projet'!$A$114,'Données projet'!$B$114,BY43+BX44-CG43)))</f>
        <v>208.88000000000011</v>
      </c>
      <c r="BZ44" s="13">
        <f>BY44*VLOOKUP('Données projet'!$B$12,Paramètres!$A$1:$I$89,3,0)*VLOOKUP('Données projet'!$B$12,Paramètres!$A$1:$I$89,5,0)</f>
        <v>198.77020800000011</v>
      </c>
      <c r="CA44" s="13">
        <f t="shared" si="39"/>
        <v>49.473799722078354</v>
      </c>
      <c r="CB44" s="20">
        <f t="shared" si="10"/>
        <v>432.35831344928664</v>
      </c>
      <c r="CC44" s="59">
        <f t="shared" si="11"/>
        <v>725.69164678261996</v>
      </c>
      <c r="CD44" s="59">
        <f ca="1">AVERAGE(OFFSET($CC$3,0,0,'Données projet'!$E$12+1,1))-AVERAGE(OFFSET($H$3,0,0,'Données projet'!$E$12+1,1))</f>
        <v>555.3092253965317</v>
      </c>
      <c r="CE44" s="59">
        <f t="shared" si="40"/>
        <v>292.20785523952651</v>
      </c>
      <c r="CF44" s="15">
        <f>IF(ISNA(VLOOKUP(A44,'Données projet'!$A$113:$I$133,3,0)),0,VLOOKUP(A44,'Données projet'!$A$113:$I$133,3,0))</f>
        <v>2</v>
      </c>
      <c r="CG44" s="15">
        <f>IF(ISNA(VLOOKUP(A44,'Données projet'!$A$113:$I$133,4,0)),0,VLOOKUP(A44,'Données projet'!$A$113:$I$133,4,0))</f>
        <v>47.41</v>
      </c>
      <c r="CH44" s="16">
        <f>IF(ISNA(VLOOKUP(A44,'Données projet'!$A$113:$I$133,5,0)),0%,VLOOKUP(A44,'Données projet'!$A$113:$I$133,5,0)*VLOOKUP('Données projet'!$B$12,Paramètres!$A$1:$I$89,7,0))</f>
        <v>0.43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49.393593078649772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49.393593078649772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8</v>
      </c>
      <c r="CT44" s="12">
        <f>IF('Données projet'!$A$140&gt;35,CT43+CS44-DB43,IF(A44&lt;'Données projet'!$A$140,$CQ$205^A44,IF(A44='Données projet'!$A$140,'Données projet'!$B$140,CT43+CS44-DB43)))</f>
        <v>166.00000000000003</v>
      </c>
      <c r="CU44" s="17">
        <f>CT44*VLOOKUP('Données projet'!$B$13,Paramètres!$A$1:$I$89,3,0)*VLOOKUP('Données projet'!$B$13,Paramètres!$A$1:$I$89,5,0)</f>
        <v>106.17360000000001</v>
      </c>
      <c r="CV44" s="13">
        <f t="shared" si="41"/>
        <v>28.427605657895548</v>
      </c>
      <c r="CW44" s="20">
        <f t="shared" si="13"/>
        <v>234.43043318750142</v>
      </c>
      <c r="CX44" s="59">
        <f t="shared" si="14"/>
        <v>527.76376652083468</v>
      </c>
      <c r="CY44" s="59">
        <f ca="1">AVERAGE(OFFSET($CX$3,0,0,'Données projet'!$E$13+1,1))-AVERAGE(OFFSET($H$3,0,0,'Données projet'!$E$13+1,1))</f>
        <v>269.44168853803717</v>
      </c>
      <c r="CZ44" s="59">
        <f t="shared" si="42"/>
        <v>247.65158389074043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15.337227338748583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15.337227338748583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6">
        <f t="shared" si="1"/>
        <v>256.66666666666669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8.8000000000000007</v>
      </c>
      <c r="N45" s="13">
        <f>IF('Données projet'!$A$36&gt;35,N44+M45-V44,IF(A45&lt;'Données projet'!$A$36,$K$205^A45,IF(A45='Données projet'!$A$36,'Données projet'!$B$36,N44+M45-V44)))</f>
        <v>192.60000000000011</v>
      </c>
      <c r="O45" s="13">
        <f>N45*VLOOKUP('Données projet'!$B$9,Paramètres!$A$1:$I$89,3,0)*VLOOKUP('Données projet'!$B$9,Paramètres!$A$1:$I$89,5,0)</f>
        <v>168.25536000000011</v>
      </c>
      <c r="P45" s="13">
        <f t="shared" si="33"/>
        <v>42.699047982710923</v>
      </c>
      <c r="Q45" s="20">
        <f t="shared" si="53"/>
        <v>367.41226056988836</v>
      </c>
      <c r="R45" s="59">
        <f t="shared" si="0"/>
        <v>660.74559390322167</v>
      </c>
      <c r="S45" s="59">
        <f ca="1">AVERAGE(OFFSET($R$3,0,0,'Données projet'!$E$9+1,1))-AVERAGE(OFFSET($H$3,0,0,'Données projet'!$E$9+1,1))</f>
        <v>381.72225529388083</v>
      </c>
      <c r="T45" s="59">
        <f t="shared" si="34"/>
        <v>360.05900046417361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23.941744880608294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23.941744880608294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6</v>
      </c>
      <c r="AI45" s="13">
        <f>IF('Données projet'!$A$62&gt;35,AI44+AH45-AQ44,IF(A45&lt;'Données projet'!$A$62,$AF$205^A45,IF(A45='Données projet'!$A$62,'Données projet'!$B$62,AI44+AH45-AQ44)))</f>
        <v>293.99999999999994</v>
      </c>
      <c r="AJ45" s="13">
        <f>AI45*VLOOKUP('Données projet'!$B$10,Paramètres!$A$1:$I$89,3,0)*VLOOKUP('Données projet'!$B$10,Paramètres!$A$1:$I$89,5,0)</f>
        <v>266.01119999999992</v>
      </c>
      <c r="AK45" s="13">
        <f t="shared" si="35"/>
        <v>64.00201337612566</v>
      </c>
      <c r="AL45" s="20">
        <f t="shared" si="4"/>
        <v>574.77301329675208</v>
      </c>
      <c r="AM45" s="59">
        <f t="shared" si="5"/>
        <v>868.10634663008545</v>
      </c>
      <c r="AN45" s="59">
        <f ca="1">AVERAGE(OFFSET($AM$3,0,0,'Données projet'!$E$10+1,1))-AVERAGE(OFFSET($H$3,0,0,'Données projet'!$E$10+1,1))</f>
        <v>366.43676005661194</v>
      </c>
      <c r="AO45" s="59">
        <f t="shared" si="36"/>
        <v>513.80016421153414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4.3699376965886003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4.3699376965886003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584.37</v>
      </c>
      <c r="BB45" s="12">
        <f>VLOOKUP(A45,'Données projet'!$A$87:$I$107,9,0)</f>
        <v>28.093333333333334</v>
      </c>
      <c r="BC45" s="12">
        <f t="array" ref="BC45">INDEX(BB:BB,MIN(IF(ISNUMBER(BB45:BB241),ROW(BB45:BB241),"")))</f>
        <v>28.093333333333334</v>
      </c>
      <c r="BD45" s="12">
        <f>IF('Données projet'!$A$88&gt;35,BD44+BC45-BL44,IF(A45&lt;'Données projet'!$A$88,$BA$205^A45,IF(A45='Données projet'!$A$88,'Données projet'!$B$88,BD44+BC45-BL44)))</f>
        <v>584.37</v>
      </c>
      <c r="BE45" s="13">
        <f>BD45*VLOOKUP('Données projet'!$B$11,Paramètres!$A$1:$I$89,3,0)*VLOOKUP('Données projet'!$B$11,Paramètres!$A$1:$I$89,5,0)</f>
        <v>258.29154000000005</v>
      </c>
      <c r="BF45" s="13">
        <f t="shared" si="37"/>
        <v>62.358063710739934</v>
      </c>
      <c r="BG45" s="20">
        <f t="shared" si="7"/>
        <v>558.46472646287214</v>
      </c>
      <c r="BH45" s="59">
        <f t="shared" si="8"/>
        <v>851.79805979620551</v>
      </c>
      <c r="BI45" s="59">
        <f ca="1">AVERAGE(OFFSET($BH$3,0,0,'Données projet'!$E$11+1,1))-AVERAGE(OFFSET($H$3,0,0,'Données projet'!$E$11+1,1))</f>
        <v>328.58609979635901</v>
      </c>
      <c r="BJ45" s="59">
        <f t="shared" si="38"/>
        <v>432.3494365423407</v>
      </c>
      <c r="BK45" s="15">
        <f>IF(ISNA(VLOOKUP(A45,'Données projet'!$A$87:$I$107,3,0)),0,VLOOKUP(A45,'Données projet'!$A$87:$I$107,3,0))</f>
        <v>5</v>
      </c>
      <c r="BL45" s="15">
        <f>IF(ISNA(VLOOKUP(A45,'Données projet'!$A$87:$I$107,4,0)),0,VLOOKUP(A45,'Données projet'!$A$87:$I$107,4,0))</f>
        <v>91.25</v>
      </c>
      <c r="BM45" s="16">
        <f>IF(ISNA(VLOOKUP(A45,'Données projet'!$A$87:$I$107,5,0)),0%,VLOOKUP(A45,'Données projet'!$A$87:$I$107,5,0)*VLOOKUP('Données projet'!$B$11,Paramètres!$A$1:$I$89,7,0))</f>
        <v>0.55000000000000004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54.019373563883093</v>
      </c>
      <c r="BQ45" s="21">
        <f>EXP(-LN(2)/25)*BQ44+(1-EXP(-LN(2)/25))/(LN(2)/25)*Calculateur!BL45*Calculateur!BN45*VLOOKUP('Données projet'!$B$11,Paramètres!$A$1:$I$89,3,0)*0.475*44/12</f>
        <v>28.669487995469478</v>
      </c>
      <c r="BR45" s="21">
        <f>EXP(-LN(2)/2)*BR44+(1-EXP(-LN(2)/2))/(LN(2)/2)*BL45*BO45*VLOOKUP('Données projet'!$B$11,Paramètres!$A$1:$I$89,3,0)*0.475*44/12</f>
        <v>9.1414600247585812E-3</v>
      </c>
      <c r="BS45" s="22">
        <f t="shared" si="9"/>
        <v>82.698003019377339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13.059999999999999</v>
      </c>
      <c r="BY45" s="12">
        <f>IF('Données projet'!$A$114&gt;35,BY44+BX45-CG44,IF(A45&lt;'Données projet'!$A$114,$BV$205^A45,IF(A45='Données projet'!$A$114,'Données projet'!$B$114,BY44+BX45-CG44)))</f>
        <v>174.53000000000011</v>
      </c>
      <c r="BZ45" s="13">
        <f>BY45*VLOOKUP('Données projet'!$B$12,Paramètres!$A$1:$I$89,3,0)*VLOOKUP('Données projet'!$B$12,Paramètres!$A$1:$I$89,5,0)</f>
        <v>166.08274800000009</v>
      </c>
      <c r="CA45" s="13">
        <f t="shared" si="39"/>
        <v>42.211502655677691</v>
      </c>
      <c r="CB45" s="20">
        <f t="shared" si="10"/>
        <v>362.77915322530544</v>
      </c>
      <c r="CC45" s="59">
        <f t="shared" si="11"/>
        <v>656.11248655863869</v>
      </c>
      <c r="CD45" s="59">
        <f ca="1">AVERAGE(OFFSET($CC$3,0,0,'Données projet'!$E$12+1,1))-AVERAGE(OFFSET($H$3,0,0,'Données projet'!$E$12+1,1))</f>
        <v>555.3092253965317</v>
      </c>
      <c r="CE45" s="59">
        <f t="shared" si="40"/>
        <v>292.20785523952651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48.425014845494424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48.425014845494424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8</v>
      </c>
      <c r="CT45" s="12">
        <f>IF('Données projet'!$A$140&gt;35,CT44+CS45-DB44,IF(A45&lt;'Données projet'!$A$140,$CQ$205^A45,IF(A45='Données projet'!$A$140,'Données projet'!$B$140,CT44+CS45-DB44)))</f>
        <v>174.00000000000003</v>
      </c>
      <c r="CU45" s="17">
        <f>CT45*VLOOKUP('Données projet'!$B$13,Paramètres!$A$1:$I$89,3,0)*VLOOKUP('Données projet'!$B$13,Paramètres!$A$1:$I$89,5,0)</f>
        <v>111.29040000000001</v>
      </c>
      <c r="CV45" s="13">
        <f t="shared" si="41"/>
        <v>29.634806205918245</v>
      </c>
      <c r="CW45" s="20">
        <f t="shared" si="13"/>
        <v>245.44473414197429</v>
      </c>
      <c r="CX45" s="59">
        <f t="shared" si="14"/>
        <v>538.77806747530758</v>
      </c>
      <c r="CY45" s="59">
        <f ca="1">AVERAGE(OFFSET($CX$3,0,0,'Données projet'!$E$13+1,1))-AVERAGE(OFFSET($H$3,0,0,'Données projet'!$E$13+1,1))</f>
        <v>269.44168853803717</v>
      </c>
      <c r="CZ45" s="59">
        <f t="shared" si="42"/>
        <v>247.65158389074043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15.036473665420692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15.036473665420692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6">
        <f t="shared" si="1"/>
        <v>256.66666666666669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8.8000000000000007</v>
      </c>
      <c r="N46" s="13">
        <f>IF('Données projet'!$A$36&gt;35,N45+M46-V45,IF(A46&lt;'Données projet'!$A$36,$K$205^A46,IF(A46='Données projet'!$A$36,'Données projet'!$B$36,N45+M46-V45)))</f>
        <v>201.40000000000012</v>
      </c>
      <c r="O46" s="13">
        <f>N46*VLOOKUP('Données projet'!$B$9,Paramètres!$A$1:$I$89,3,0)*VLOOKUP('Données projet'!$B$9,Paramètres!$A$1:$I$89,5,0)</f>
        <v>175.94304000000014</v>
      </c>
      <c r="P46" s="13">
        <f t="shared" si="33"/>
        <v>44.418393276556458</v>
      </c>
      <c r="Q46" s="20">
        <f t="shared" si="53"/>
        <v>383.79616295666938</v>
      </c>
      <c r="R46" s="59">
        <f t="shared" si="0"/>
        <v>677.12949629000263</v>
      </c>
      <c r="S46" s="59">
        <f ca="1">AVERAGE(OFFSET($R$3,0,0,'Données projet'!$E$9+1,1))-AVERAGE(OFFSET($H$3,0,0,'Données projet'!$E$9+1,1))</f>
        <v>381.72225529388083</v>
      </c>
      <c r="T46" s="59">
        <f t="shared" si="34"/>
        <v>360.05900046417361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23.472261866522015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23.472261866522015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6</v>
      </c>
      <c r="AI46" s="13">
        <f>IF('Données projet'!$A$62&gt;35,AI45+AH46-AQ45,IF(A46&lt;'Données projet'!$A$62,$AF$205^A46,IF(A46='Données projet'!$A$62,'Données projet'!$B$62,AI45+AH46-AQ45)))</f>
        <v>299.99999999999994</v>
      </c>
      <c r="AJ46" s="13">
        <f>AI46*VLOOKUP('Données projet'!$B$10,Paramètres!$A$1:$I$89,3,0)*VLOOKUP('Données projet'!$B$10,Paramètres!$A$1:$I$89,5,0)</f>
        <v>271.43999999999994</v>
      </c>
      <c r="AK46" s="13">
        <f t="shared" si="35"/>
        <v>65.154778959151173</v>
      </c>
      <c r="AL46" s="20">
        <f t="shared" si="4"/>
        <v>586.23590668718805</v>
      </c>
      <c r="AM46" s="59">
        <f t="shared" si="5"/>
        <v>879.56924002052142</v>
      </c>
      <c r="AN46" s="59">
        <f ca="1">AVERAGE(OFFSET($AM$3,0,0,'Données projet'!$E$10+1,1))-AVERAGE(OFFSET($H$3,0,0,'Données projet'!$E$10+1,1))</f>
        <v>366.43676005661194</v>
      </c>
      <c r="AO46" s="59">
        <f t="shared" si="36"/>
        <v>513.80016421153414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4.2842458837573067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4.2842458837573067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27.100000000000005</v>
      </c>
      <c r="BD46" s="12">
        <f>IF('Données projet'!$A$88&gt;35,BD45+BC46-BL45,IF(A46&lt;'Données projet'!$A$88,$BA$205^A46,IF(A46='Données projet'!$A$88,'Données projet'!$B$88,BD45+BC46-BL45)))</f>
        <v>520.22</v>
      </c>
      <c r="BE46" s="13">
        <f>BD46*VLOOKUP('Données projet'!$B$11,Paramètres!$A$1:$I$89,3,0)*VLOOKUP('Données projet'!$B$11,Paramètres!$A$1:$I$89,5,0)</f>
        <v>229.93724000000003</v>
      </c>
      <c r="BF46" s="13">
        <f t="shared" si="37"/>
        <v>56.26911113628195</v>
      </c>
      <c r="BG46" s="20">
        <f t="shared" si="7"/>
        <v>498.47606156235776</v>
      </c>
      <c r="BH46" s="59">
        <f t="shared" si="8"/>
        <v>791.80939489569107</v>
      </c>
      <c r="BI46" s="59">
        <f ca="1">AVERAGE(OFFSET($BH$3,0,0,'Données projet'!$E$11+1,1))-AVERAGE(OFFSET($H$3,0,0,'Données projet'!$E$11+1,1))</f>
        <v>328.58609979635901</v>
      </c>
      <c r="BJ46" s="59">
        <f t="shared" si="38"/>
        <v>432.3494365423407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52.960086596859817</v>
      </c>
      <c r="BQ46" s="21">
        <f>EXP(-LN(2)/25)*BQ45+(1-EXP(-LN(2)/25))/(LN(2)/25)*Calculateur!BL46*Calculateur!BN46*VLOOKUP('Données projet'!$B$11,Paramètres!$A$1:$I$89,3,0)*0.475*44/12</f>
        <v>27.885519338570518</v>
      </c>
      <c r="BR46" s="21">
        <f>EXP(-LN(2)/2)*BR45+(1-EXP(-LN(2)/2))/(LN(2)/2)*BL46*BO46*VLOOKUP('Données projet'!$B$11,Paramètres!$A$1:$I$89,3,0)*0.475*44/12</f>
        <v>6.4639883734525375E-3</v>
      </c>
      <c r="BS46" s="22">
        <f t="shared" si="9"/>
        <v>80.852069923803796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13.059999999999999</v>
      </c>
      <c r="BY46" s="12">
        <f>IF('Données projet'!$A$114&gt;35,BY45+BX46-CG45,IF(A46&lt;'Données projet'!$A$114,$BV$205^A46,IF(A46='Données projet'!$A$114,'Données projet'!$B$114,BY45+BX46-CG45)))</f>
        <v>187.59000000000012</v>
      </c>
      <c r="BZ46" s="13">
        <f>BY46*VLOOKUP('Données projet'!$B$12,Paramètres!$A$1:$I$89,3,0)*VLOOKUP('Données projet'!$B$12,Paramètres!$A$1:$I$89,5,0)</f>
        <v>178.51064400000013</v>
      </c>
      <c r="CA46" s="13">
        <f t="shared" si="39"/>
        <v>44.990671836390661</v>
      </c>
      <c r="CB46" s="20">
        <f t="shared" si="10"/>
        <v>389.26479174838067</v>
      </c>
      <c r="CC46" s="59">
        <f t="shared" si="11"/>
        <v>682.59812508171399</v>
      </c>
      <c r="CD46" s="59">
        <f ca="1">AVERAGE(OFFSET($CC$3,0,0,'Données projet'!$E$12+1,1))-AVERAGE(OFFSET($H$3,0,0,'Données projet'!$E$12+1,1))</f>
        <v>555.3092253965317</v>
      </c>
      <c r="CE46" s="59">
        <f t="shared" si="40"/>
        <v>292.20785523952651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47.475429840716863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47.475429840716863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8</v>
      </c>
      <c r="CT46" s="12">
        <f>IF('Données projet'!$A$140&gt;35,CT45+CS46-DB45,IF(A46&lt;'Données projet'!$A$140,$CQ$205^A46,IF(A46='Données projet'!$A$140,'Données projet'!$B$140,CT45+CS46-DB45)))</f>
        <v>182.00000000000003</v>
      </c>
      <c r="CU46" s="17">
        <f>CT46*VLOOKUP('Données projet'!$B$13,Paramètres!$A$1:$I$89,3,0)*VLOOKUP('Données projet'!$B$13,Paramètres!$A$1:$I$89,5,0)</f>
        <v>116.40720000000002</v>
      </c>
      <c r="CV46" s="13">
        <f t="shared" si="41"/>
        <v>30.835561008615706</v>
      </c>
      <c r="CW46" s="20">
        <f t="shared" si="13"/>
        <v>256.44780875667237</v>
      </c>
      <c r="CX46" s="59">
        <f t="shared" si="14"/>
        <v>549.78114209000569</v>
      </c>
      <c r="CY46" s="59">
        <f ca="1">AVERAGE(OFFSET($CX$3,0,0,'Données projet'!$E$13+1,1))-AVERAGE(OFFSET($H$3,0,0,'Données projet'!$E$13+1,1))</f>
        <v>269.44168853803717</v>
      </c>
      <c r="CZ46" s="59">
        <f t="shared" si="42"/>
        <v>247.65158389074043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14.741617588185132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14.741617588185132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6">
        <f t="shared" si="1"/>
        <v>256.66666666666669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8.8000000000000007</v>
      </c>
      <c r="N47" s="13">
        <f>IF('Données projet'!$A$36&gt;35,N46+M47-V46,IF(A47&lt;'Données projet'!$A$36,$K$205^A47,IF(A47='Données projet'!$A$36,'Données projet'!$B$36,N46+M47-V46)))</f>
        <v>210.20000000000013</v>
      </c>
      <c r="O47" s="13">
        <f>N47*VLOOKUP('Données projet'!$B$9,Paramètres!$A$1:$I$89,3,0)*VLOOKUP('Données projet'!$B$9,Paramètres!$A$1:$I$89,5,0)</f>
        <v>183.63072000000014</v>
      </c>
      <c r="P47" s="13">
        <f t="shared" si="33"/>
        <v>46.129013251634483</v>
      </c>
      <c r="Q47" s="20">
        <f t="shared" si="53"/>
        <v>400.16486874659699</v>
      </c>
      <c r="R47" s="59">
        <f t="shared" si="0"/>
        <v>693.49820207993025</v>
      </c>
      <c r="S47" s="59">
        <f ca="1">AVERAGE(OFFSET($R$3,0,0,'Données projet'!$E$9+1,1))-AVERAGE(OFFSET($H$3,0,0,'Données projet'!$E$9+1,1))</f>
        <v>381.72225529388083</v>
      </c>
      <c r="T47" s="59">
        <f t="shared" si="34"/>
        <v>360.05900046417361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23.011985127985604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23.011985127985604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6</v>
      </c>
      <c r="AI47" s="13">
        <f>IF('Données projet'!$A$62&gt;35,AI46+AH47-AQ46,IF(A47&lt;'Données projet'!$A$62,$AF$205^A47,IF(A47='Données projet'!$A$62,'Données projet'!$B$62,AI46+AH47-AQ46)))</f>
        <v>305.99999999999994</v>
      </c>
      <c r="AJ47" s="13">
        <f>AI47*VLOOKUP('Données projet'!$B$10,Paramètres!$A$1:$I$89,3,0)*VLOOKUP('Données projet'!$B$10,Paramètres!$A$1:$I$89,5,0)</f>
        <v>276.86879999999996</v>
      </c>
      <c r="AK47" s="13">
        <f t="shared" si="35"/>
        <v>66.30486383631866</v>
      </c>
      <c r="AL47" s="20">
        <f t="shared" si="4"/>
        <v>597.6941311815882</v>
      </c>
      <c r="AM47" s="59">
        <f t="shared" si="5"/>
        <v>891.02746451492158</v>
      </c>
      <c r="AN47" s="59">
        <f ca="1">AVERAGE(OFFSET($AM$3,0,0,'Données projet'!$E$10+1,1))-AVERAGE(OFFSET($H$3,0,0,'Données projet'!$E$10+1,1))</f>
        <v>366.43676005661194</v>
      </c>
      <c r="AO47" s="59">
        <f t="shared" si="36"/>
        <v>513.80016421153414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4.2002344351087899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4.2002344351087899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27.100000000000005</v>
      </c>
      <c r="BD47" s="12">
        <f>IF('Données projet'!$A$88&gt;35,BD46+BC47-BL46,IF(A47&lt;'Données projet'!$A$88,$BA$205^A47,IF(A47='Données projet'!$A$88,'Données projet'!$B$88,BD46+BC47-BL46)))</f>
        <v>547.32000000000005</v>
      </c>
      <c r="BE47" s="13">
        <f>BD47*VLOOKUP('Données projet'!$B$11,Paramètres!$A$1:$I$89,3,0)*VLOOKUP('Données projet'!$B$11,Paramètres!$A$1:$I$89,5,0)</f>
        <v>241.91544000000005</v>
      </c>
      <c r="BF47" s="13">
        <f t="shared" si="37"/>
        <v>58.851455869611726</v>
      </c>
      <c r="BG47" s="20">
        <f t="shared" si="7"/>
        <v>523.83567697290721</v>
      </c>
      <c r="BH47" s="59">
        <f t="shared" si="8"/>
        <v>817.16901030624058</v>
      </c>
      <c r="BI47" s="59">
        <f ca="1">AVERAGE(OFFSET($BH$3,0,0,'Données projet'!$E$11+1,1))-AVERAGE(OFFSET($H$3,0,0,'Données projet'!$E$11+1,1))</f>
        <v>328.58609979635901</v>
      </c>
      <c r="BJ47" s="59">
        <f t="shared" si="38"/>
        <v>432.3494365423407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51.921571601158618</v>
      </c>
      <c r="BQ47" s="21">
        <f>EXP(-LN(2)/25)*BQ46+(1-EXP(-LN(2)/25))/(LN(2)/25)*Calculateur!BL47*Calculateur!BN47*VLOOKUP('Données projet'!$B$11,Paramètres!$A$1:$I$89,3,0)*0.475*44/12</f>
        <v>27.122988345821579</v>
      </c>
      <c r="BR47" s="21">
        <f>EXP(-LN(2)/2)*BR46+(1-EXP(-LN(2)/2))/(LN(2)/2)*BL47*BO47*VLOOKUP('Données projet'!$B$11,Paramètres!$A$1:$I$89,3,0)*0.475*44/12</f>
        <v>4.5707300123792906E-3</v>
      </c>
      <c r="BS47" s="22">
        <f t="shared" si="9"/>
        <v>79.049130676992576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13.059999999999999</v>
      </c>
      <c r="BY47" s="12">
        <f>IF('Données projet'!$A$114&gt;35,BY46+BX47-CG46,IF(A47&lt;'Données projet'!$A$114,$BV$205^A47,IF(A47='Données projet'!$A$114,'Données projet'!$B$114,BY46+BX47-CG46)))</f>
        <v>200.65000000000012</v>
      </c>
      <c r="BZ47" s="13">
        <f>BY47*VLOOKUP('Données projet'!$B$12,Paramètres!$A$1:$I$89,3,0)*VLOOKUP('Données projet'!$B$12,Paramètres!$A$1:$I$89,5,0)</f>
        <v>190.93854000000013</v>
      </c>
      <c r="CA47" s="13">
        <f t="shared" si="39"/>
        <v>47.747391175523354</v>
      </c>
      <c r="CB47" s="20">
        <f t="shared" si="10"/>
        <v>415.71133013070335</v>
      </c>
      <c r="CC47" s="59">
        <f t="shared" si="11"/>
        <v>709.0446634640366</v>
      </c>
      <c r="CD47" s="59">
        <f ca="1">AVERAGE(OFFSET($CC$3,0,0,'Données projet'!$E$12+1,1))-AVERAGE(OFFSET($H$3,0,0,'Données projet'!$E$12+1,1))</f>
        <v>555.3092253965317</v>
      </c>
      <c r="CE47" s="59">
        <f t="shared" si="40"/>
        <v>292.20785523952651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46.54446561869333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46.54446561869333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8</v>
      </c>
      <c r="CT47" s="12">
        <f>IF('Données projet'!$A$140&gt;35,CT46+CS47-DB46,IF(A47&lt;'Données projet'!$A$140,$CQ$205^A47,IF(A47='Données projet'!$A$140,'Données projet'!$B$140,CT46+CS47-DB46)))</f>
        <v>190.00000000000003</v>
      </c>
      <c r="CU47" s="17">
        <f>CT47*VLOOKUP('Données projet'!$B$13,Paramètres!$A$1:$I$89,3,0)*VLOOKUP('Données projet'!$B$13,Paramètres!$A$1:$I$89,5,0)</f>
        <v>121.52400000000002</v>
      </c>
      <c r="CV47" s="13">
        <f t="shared" si="41"/>
        <v>32.030185774775809</v>
      </c>
      <c r="CW47" s="20">
        <f t="shared" si="13"/>
        <v>267.44020689106782</v>
      </c>
      <c r="CX47" s="59">
        <f t="shared" si="14"/>
        <v>560.77354022440113</v>
      </c>
      <c r="CY47" s="59">
        <f ca="1">AVERAGE(OFFSET($CX$3,0,0,'Données projet'!$E$13+1,1))-AVERAGE(OFFSET($H$3,0,0,'Données projet'!$E$13+1,1))</f>
        <v>269.44168853803717</v>
      </c>
      <c r="CZ47" s="59">
        <f t="shared" si="42"/>
        <v>247.65158389074043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14.452543458779713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14.452543458779713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6">
        <f t="shared" si="1"/>
        <v>256.66666666666669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219</v>
      </c>
      <c r="L48" s="12">
        <f>VLOOKUP(A48,'Données projet'!$A$35:$I$55,9,0)</f>
        <v>8.8000000000000007</v>
      </c>
      <c r="M48" s="12">
        <f t="array" ref="M48">INDEX(L:L,MIN(IF(ISNUMBER(L48:L244),ROW(L48:L244),"")))</f>
        <v>8.8000000000000007</v>
      </c>
      <c r="N48" s="13">
        <f>IF('Données projet'!$A$36&gt;35,N47+M48-V47,IF(A48&lt;'Données projet'!$A$36,$K$205^A48,IF(A48='Données projet'!$A$36,'Données projet'!$B$36,N47+M48-V47)))</f>
        <v>219.00000000000014</v>
      </c>
      <c r="O48" s="13">
        <f>N48*VLOOKUP('Données projet'!$B$9,Paramètres!$A$1:$I$89,3,0)*VLOOKUP('Données projet'!$B$9,Paramètres!$A$1:$I$89,5,0)</f>
        <v>191.31840000000014</v>
      </c>
      <c r="P48" s="13">
        <f t="shared" si="33"/>
        <v>47.831314962098396</v>
      </c>
      <c r="Q48" s="20">
        <f t="shared" si="53"/>
        <v>416.51908689232158</v>
      </c>
      <c r="R48" s="59">
        <f t="shared" si="0"/>
        <v>709.8524202256549</v>
      </c>
      <c r="S48" s="59">
        <f ca="1">AVERAGE(OFFSET($R$3,0,0,'Données projet'!$E$9+1,1))-AVERAGE(OFFSET($H$3,0,0,'Données projet'!$E$9+1,1))</f>
        <v>381.72225529388083</v>
      </c>
      <c r="T48" s="59">
        <f t="shared" si="34"/>
        <v>360.05900046417361</v>
      </c>
      <c r="U48" s="15">
        <f>IF(ISNA(VLOOKUP(A48,'Données projet'!$A$35:$I$55,3,0)),0,VLOOKUP(A48,'Données projet'!$A$35:$I$55,3,0))</f>
        <v>7</v>
      </c>
      <c r="V48" s="15">
        <f>IF(ISNA(VLOOKUP(A48,'Données projet'!$A$35:$I$55,4,0)),0,VLOOKUP(A48,'Données projet'!$A$35:$I$55,4,0))</f>
        <v>30</v>
      </c>
      <c r="W48" s="16">
        <f>IF(ISNA(VLOOKUP(A48,'Données projet'!$A$35:$I$55,5,0)),0%,VLOOKUP(A48,'Données projet'!$A$35:$I$55,5,0)*VLOOKUP('Données projet'!$B$9,Paramètres!$A$1:$I$89,7,0))</f>
        <v>0.43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35.018766249474616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35.018766249474616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312</v>
      </c>
      <c r="AG48" s="12">
        <f>VLOOKUP(A48,'Données projet'!$A$61:$I$81,9,0)</f>
        <v>6</v>
      </c>
      <c r="AH48" s="12">
        <f t="array" ref="AH48">INDEX(AG:AG,MIN(IF(ISNUMBER(AG48:AG244),ROW(AG48:AG244),"")))</f>
        <v>6</v>
      </c>
      <c r="AI48" s="13">
        <f>IF('Données projet'!$A$62&gt;35,AI47+AH48-AQ47,IF(A48&lt;'Données projet'!$A$62,$AF$205^A48,IF(A48='Données projet'!$A$62,'Données projet'!$B$62,AI47+AH48-AQ47)))</f>
        <v>311.99999999999994</v>
      </c>
      <c r="AJ48" s="13">
        <f>AI48*VLOOKUP('Données projet'!$B$10,Paramètres!$A$1:$I$89,3,0)*VLOOKUP('Données projet'!$B$10,Paramètres!$A$1:$I$89,5,0)</f>
        <v>282.29759999999993</v>
      </c>
      <c r="AK48" s="13">
        <f t="shared" si="35"/>
        <v>67.452326629470178</v>
      </c>
      <c r="AL48" s="20">
        <f t="shared" si="4"/>
        <v>609.14778887966042</v>
      </c>
      <c r="AM48" s="59">
        <f t="shared" si="5"/>
        <v>902.4811222129938</v>
      </c>
      <c r="AN48" s="59">
        <f ca="1">AVERAGE(OFFSET($AM$3,0,0,'Données projet'!$E$10+1,1))-AVERAGE(OFFSET($H$3,0,0,'Données projet'!$E$10+1,1))</f>
        <v>366.43676005661194</v>
      </c>
      <c r="AO48" s="59">
        <f t="shared" si="36"/>
        <v>513.80016421153414</v>
      </c>
      <c r="AP48" s="15">
        <f>IF(ISNA(VLOOKUP(A48,'Données projet'!$A$61:$I$81,3,0)),0,VLOOKUP(A48,'Données projet'!$A$61:$I$81,3,0))</f>
        <v>9</v>
      </c>
      <c r="AQ48" s="15">
        <f>IF(ISNA(VLOOKUP(A48,'Données projet'!$A$61:$I$81,4,0)),0,VLOOKUP(A48,'Données projet'!$A$61:$I$81,4,0))</f>
        <v>7</v>
      </c>
      <c r="AR48" s="16">
        <f>IF(ISNA(VLOOKUP(A48,'Données projet'!$A$61:$I$81,5,0)),0%,VLOOKUP(A48,'Données projet'!$A$61:$I$81,5,0)*VLOOKUP('Données projet'!$B$10,Paramètres!$A$1:$I$89,7,0))</f>
        <v>0.3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6.2183525584693138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6.2183525584693138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27.100000000000005</v>
      </c>
      <c r="BD48" s="12">
        <f>IF('Données projet'!$A$88&gt;35,BD47+BC48-BL47,IF(A48&lt;'Données projet'!$A$88,$BA$205^A48,IF(A48='Données projet'!$A$88,'Données projet'!$B$88,BD47+BC48-BL47)))</f>
        <v>574.42000000000007</v>
      </c>
      <c r="BE48" s="13">
        <f>BD48*VLOOKUP('Données projet'!$B$11,Paramètres!$A$1:$I$89,3,0)*VLOOKUP('Données projet'!$B$11,Paramètres!$A$1:$I$89,5,0)</f>
        <v>253.89364000000006</v>
      </c>
      <c r="BF48" s="13">
        <f t="shared" si="37"/>
        <v>61.418953844103619</v>
      </c>
      <c r="BG48" s="20">
        <f t="shared" si="7"/>
        <v>549.16943427848048</v>
      </c>
      <c r="BH48" s="59">
        <f t="shared" si="8"/>
        <v>842.50276761181385</v>
      </c>
      <c r="BI48" s="59">
        <f ca="1">AVERAGE(OFFSET($BH$3,0,0,'Données projet'!$E$11+1,1))-AVERAGE(OFFSET($H$3,0,0,'Données projet'!$E$11+1,1))</f>
        <v>328.58609979635901</v>
      </c>
      <c r="BJ48" s="59">
        <f t="shared" si="38"/>
        <v>432.3494365423407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50.903421251091515</v>
      </c>
      <c r="BQ48" s="21">
        <f>EXP(-LN(2)/25)*BQ47+(1-EXP(-LN(2)/25))/(LN(2)/25)*Calculateur!BL48*Calculateur!BN48*VLOOKUP('Données projet'!$B$11,Paramètres!$A$1:$I$89,3,0)*0.475*44/12</f>
        <v>26.381308803169119</v>
      </c>
      <c r="BR48" s="21">
        <f>EXP(-LN(2)/2)*BR47+(1-EXP(-LN(2)/2))/(LN(2)/2)*BL48*BO48*VLOOKUP('Données projet'!$B$11,Paramètres!$A$1:$I$89,3,0)*0.475*44/12</f>
        <v>3.2319941867262687E-3</v>
      </c>
      <c r="BS48" s="22">
        <f t="shared" si="9"/>
        <v>77.287962048447355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13.059999999999999</v>
      </c>
      <c r="BY48" s="12">
        <f>IF('Données projet'!$A$114&gt;35,BY47+BX48-CG47,IF(A48&lt;'Données projet'!$A$114,$BV$205^A48,IF(A48='Données projet'!$A$114,'Données projet'!$B$114,BY47+BX48-CG47)))</f>
        <v>213.71000000000012</v>
      </c>
      <c r="BZ48" s="13">
        <f>BY48*VLOOKUP('Données projet'!$B$12,Paramètres!$A$1:$I$89,3,0)*VLOOKUP('Données projet'!$B$12,Paramètres!$A$1:$I$89,5,0)</f>
        <v>203.36643600000011</v>
      </c>
      <c r="CA48" s="13">
        <f t="shared" si="39"/>
        <v>50.483288193815937</v>
      </c>
      <c r="CB48" s="20">
        <f t="shared" si="10"/>
        <v>442.12160297089622</v>
      </c>
      <c r="CC48" s="59">
        <f t="shared" si="11"/>
        <v>735.45493630422948</v>
      </c>
      <c r="CD48" s="59">
        <f ca="1">AVERAGE(OFFSET($CC$3,0,0,'Données projet'!$E$12+1,1))-AVERAGE(OFFSET($H$3,0,0,'Données projet'!$E$12+1,1))</f>
        <v>555.3092253965317</v>
      </c>
      <c r="CE48" s="59">
        <f t="shared" si="40"/>
        <v>292.20785523952651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45.631757037231566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45.631757037231566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198</v>
      </c>
      <c r="CR48" s="12">
        <f>VLOOKUP(A48,'Données projet'!$A$139:$I$159,9,0)</f>
        <v>8</v>
      </c>
      <c r="CS48" s="12">
        <f t="array" ref="CS48">INDEX(CR:CR,MIN(IF(ISNUMBER(CR48:CR244),ROW(CR48:CR244),"")))</f>
        <v>8</v>
      </c>
      <c r="CT48" s="12">
        <f>IF('Données projet'!$A$140&gt;35,CT47+CS48-DB47,IF(A48&lt;'Données projet'!$A$140,$CQ$205^A48,IF(A48='Données projet'!$A$140,'Données projet'!$B$140,CT47+CS48-DB47)))</f>
        <v>198.00000000000003</v>
      </c>
      <c r="CU48" s="17">
        <f>CT48*VLOOKUP('Données projet'!$B$13,Paramètres!$A$1:$I$89,3,0)*VLOOKUP('Données projet'!$B$13,Paramètres!$A$1:$I$89,5,0)</f>
        <v>126.64080000000001</v>
      </c>
      <c r="CV48" s="13">
        <f t="shared" si="41"/>
        <v>33.218968123231406</v>
      </c>
      <c r="CW48" s="20">
        <f t="shared" si="13"/>
        <v>278.42242948129473</v>
      </c>
      <c r="CX48" s="59">
        <f t="shared" si="14"/>
        <v>571.75576281462804</v>
      </c>
      <c r="CY48" s="59">
        <f ca="1">AVERAGE(OFFSET($CX$3,0,0,'Données projet'!$E$13+1,1))-AVERAGE(OFFSET($H$3,0,0,'Données projet'!$E$13+1,1))</f>
        <v>269.44168853803717</v>
      </c>
      <c r="CZ48" s="59">
        <f t="shared" si="42"/>
        <v>247.65158389074043</v>
      </c>
      <c r="DA48" s="15">
        <f>IF(ISNA(VLOOKUP(A48,'Données projet'!$A$139:$I$159,3,0)),0,VLOOKUP(A48,'Données projet'!$A$139:$I$159,3,0))</f>
        <v>6</v>
      </c>
      <c r="DB48" s="15">
        <f>IF(ISNA(VLOOKUP(A48,'Données projet'!$A$139:$I$159,4,0)),0,VLOOKUP(A48,'Données projet'!$A$139:$I$159,4,0))</f>
        <v>26</v>
      </c>
      <c r="DC48" s="16">
        <f>IF(ISNA(VLOOKUP(A48,'Données projet'!$A$139:$I$159,5,0)),0%,VLOOKUP(A48,'Données projet'!$A$139:$I$159,5,0)*VLOOKUP('Données projet'!$B$13,Paramètres!$A$1:$I$89,7,0))</f>
        <v>0.43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22.074055892831019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22.074055892831019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6">
        <f t="shared" si="1"/>
        <v>256.66666666666669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8.1999999999999993</v>
      </c>
      <c r="N49" s="13">
        <f>IF('Données projet'!$A$36&gt;35,N48+M49-V48,IF(A49&lt;'Données projet'!$A$36,$K$205^A49,IF(A49='Données projet'!$A$36,'Données projet'!$B$36,N48+M49-V48)))</f>
        <v>197.20000000000013</v>
      </c>
      <c r="O49" s="13">
        <f>N49*VLOOKUP('Données projet'!$B$9,Paramètres!$A$1:$I$89,3,0)*VLOOKUP('Données projet'!$B$9,Paramètres!$A$1:$I$89,5,0)</f>
        <v>172.27392000000015</v>
      </c>
      <c r="P49" s="13">
        <f t="shared" si="33"/>
        <v>43.59891151369964</v>
      </c>
      <c r="Q49" s="20">
        <f t="shared" si="53"/>
        <v>375.97851488636047</v>
      </c>
      <c r="R49" s="59">
        <f t="shared" si="0"/>
        <v>669.31184821969373</v>
      </c>
      <c r="S49" s="59">
        <f ca="1">AVERAGE(OFFSET($R$3,0,0,'Données projet'!$E$9+1,1))-AVERAGE(OFFSET($H$3,0,0,'Données projet'!$E$9+1,1))</f>
        <v>381.72225529388083</v>
      </c>
      <c r="T49" s="59">
        <f t="shared" si="34"/>
        <v>360.05900046417361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34.332069602660773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34.332069602660773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304.99999999999994</v>
      </c>
      <c r="AJ49" s="13">
        <f>AI49*VLOOKUP('Données projet'!$B$10,Paramètres!$A$1:$I$89,3,0)*VLOOKUP('Données projet'!$B$10,Paramètres!$A$1:$I$89,5,0)</f>
        <v>275.96399999999994</v>
      </c>
      <c r="AK49" s="13">
        <f t="shared" si="35"/>
        <v>66.113366665488911</v>
      </c>
      <c r="AL49" s="20">
        <f t="shared" si="4"/>
        <v>595.7847469423931</v>
      </c>
      <c r="AM49" s="59">
        <f t="shared" si="5"/>
        <v>889.11808027572647</v>
      </c>
      <c r="AN49" s="59">
        <f ca="1">AVERAGE(OFFSET($AM$3,0,0,'Données projet'!$E$10+1,1))-AVERAGE(OFFSET($H$3,0,0,'Données projet'!$E$10+1,1))</f>
        <v>366.43676005661194</v>
      </c>
      <c r="AO49" s="59">
        <f t="shared" si="36"/>
        <v>513.80016421153414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6.0964144576182813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6.0964144576182813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27.100000000000005</v>
      </c>
      <c r="BD49" s="12">
        <f>IF('Données projet'!$A$88&gt;35,BD48+BC49-BL48,IF(A49&lt;'Données projet'!$A$88,$BA$205^A49,IF(A49='Données projet'!$A$88,'Données projet'!$B$88,BD48+BC49-BL48)))</f>
        <v>601.5200000000001</v>
      </c>
      <c r="BE49" s="13">
        <f>BD49*VLOOKUP('Données projet'!$B$11,Paramètres!$A$1:$I$89,3,0)*VLOOKUP('Données projet'!$B$11,Paramètres!$A$1:$I$89,5,0)</f>
        <v>265.87184000000008</v>
      </c>
      <c r="BF49" s="13">
        <f t="shared" si="37"/>
        <v>63.9723854807132</v>
      </c>
      <c r="BG49" s="20">
        <f t="shared" si="7"/>
        <v>574.47869271224215</v>
      </c>
      <c r="BH49" s="59">
        <f t="shared" si="8"/>
        <v>867.81202604557552</v>
      </c>
      <c r="BI49" s="59">
        <f ca="1">AVERAGE(OFFSET($BH$3,0,0,'Données projet'!$E$11+1,1))-AVERAGE(OFFSET($H$3,0,0,'Données projet'!$E$11+1,1))</f>
        <v>328.58609979635901</v>
      </c>
      <c r="BJ49" s="59">
        <f t="shared" si="38"/>
        <v>432.3494365423407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49.905236208378838</v>
      </c>
      <c r="BQ49" s="21">
        <f>EXP(-LN(2)/25)*BQ48+(1-EXP(-LN(2)/25))/(LN(2)/25)*Calculateur!BL49*Calculateur!BN49*VLOOKUP('Données projet'!$B$11,Paramètres!$A$1:$I$89,3,0)*0.475*44/12</f>
        <v>25.659910526613725</v>
      </c>
      <c r="BR49" s="21">
        <f>EXP(-LN(2)/2)*BR48+(1-EXP(-LN(2)/2))/(LN(2)/2)*BL49*BO49*VLOOKUP('Données projet'!$B$11,Paramètres!$A$1:$I$89,3,0)*0.475*44/12</f>
        <v>2.2853650061896453E-3</v>
      </c>
      <c r="BS49" s="22">
        <f t="shared" si="9"/>
        <v>75.567432099998754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13.059999999999999</v>
      </c>
      <c r="BY49" s="12">
        <f>IF('Données projet'!$A$114&gt;35,BY48+BX49-CG48,IF(A49&lt;'Données projet'!$A$114,$BV$205^A49,IF(A49='Données projet'!$A$114,'Données projet'!$B$114,BY48+BX49-CG48)))</f>
        <v>226.77000000000012</v>
      </c>
      <c r="BZ49" s="13">
        <f>BY49*VLOOKUP('Données projet'!$B$12,Paramètres!$A$1:$I$89,3,0)*VLOOKUP('Données projet'!$B$12,Paramètres!$A$1:$I$89,5,0)</f>
        <v>215.79433200000011</v>
      </c>
      <c r="CA49" s="13">
        <f t="shared" si="39"/>
        <v>53.199780253369482</v>
      </c>
      <c r="CB49" s="20">
        <f t="shared" si="10"/>
        <v>468.49807884128541</v>
      </c>
      <c r="CC49" s="59">
        <f t="shared" si="11"/>
        <v>761.83141217461866</v>
      </c>
      <c r="CD49" s="59">
        <f ca="1">AVERAGE(OFFSET($CC$3,0,0,'Données projet'!$E$12+1,1))-AVERAGE(OFFSET($H$3,0,0,'Données projet'!$E$12+1,1))</f>
        <v>555.3092253965317</v>
      </c>
      <c r="CE49" s="59">
        <f t="shared" si="40"/>
        <v>292.20785523952651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44.736946114355007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44.736946114355007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7.4</v>
      </c>
      <c r="CT49" s="12">
        <f>IF('Données projet'!$A$140&gt;35,CT48+CS49-DB48,IF(A49&lt;'Données projet'!$A$140,$CQ$205^A49,IF(A49='Données projet'!$A$140,'Données projet'!$B$140,CT48+CS49-DB48)))</f>
        <v>179.40000000000003</v>
      </c>
      <c r="CU49" s="17">
        <f>CT49*VLOOKUP('Données projet'!$B$13,Paramètres!$A$1:$I$89,3,0)*VLOOKUP('Données projet'!$B$13,Paramètres!$A$1:$I$89,5,0)</f>
        <v>114.74424000000003</v>
      </c>
      <c r="CV49" s="13">
        <f t="shared" si="41"/>
        <v>30.446002774202523</v>
      </c>
      <c r="CW49" s="20">
        <f t="shared" si="13"/>
        <v>252.87300616506943</v>
      </c>
      <c r="CX49" s="59">
        <f t="shared" si="14"/>
        <v>546.20633949840271</v>
      </c>
      <c r="CY49" s="59">
        <f ca="1">AVERAGE(OFFSET($CX$3,0,0,'Données projet'!$E$13+1,1))-AVERAGE(OFFSET($H$3,0,0,'Données projet'!$E$13+1,1))</f>
        <v>269.44168853803717</v>
      </c>
      <c r="CZ49" s="59">
        <f t="shared" si="42"/>
        <v>247.65158389074043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21.641197120617253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21.641197120617253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6">
        <f t="shared" si="1"/>
        <v>256.66666666666669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8.1999999999999993</v>
      </c>
      <c r="N50" s="13">
        <f>IF('Données projet'!$A$36&gt;35,N49+M50-V49,IF(A50&lt;'Données projet'!$A$36,$K$205^A50,IF(A50='Données projet'!$A$36,'Données projet'!$B$36,N49+M50-V49)))</f>
        <v>205.40000000000012</v>
      </c>
      <c r="O50" s="13">
        <f>N50*VLOOKUP('Données projet'!$B$9,Paramètres!$A$1:$I$89,3,0)*VLOOKUP('Données projet'!$B$9,Paramètres!$A$1:$I$89,5,0)</f>
        <v>179.43744000000012</v>
      </c>
      <c r="P50" s="13">
        <f t="shared" si="33"/>
        <v>45.197004138831659</v>
      </c>
      <c r="Q50" s="20">
        <f t="shared" si="53"/>
        <v>391.23832354179859</v>
      </c>
      <c r="R50" s="59">
        <f t="shared" si="0"/>
        <v>684.57165687513191</v>
      </c>
      <c r="S50" s="59">
        <f ca="1">AVERAGE(OFFSET($R$3,0,0,'Données projet'!$E$9+1,1))-AVERAGE(OFFSET($H$3,0,0,'Données projet'!$E$9+1,1))</f>
        <v>381.72225529388083</v>
      </c>
      <c r="T50" s="59">
        <f t="shared" si="34"/>
        <v>360.05900046417361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33.658838658247355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33.658838658247355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304.99999999999994</v>
      </c>
      <c r="AJ50" s="13">
        <f>AI50*VLOOKUP('Données projet'!$B$10,Paramètres!$A$1:$I$89,3,0)*VLOOKUP('Données projet'!$B$10,Paramètres!$A$1:$I$89,5,0)</f>
        <v>275.96399999999994</v>
      </c>
      <c r="AK50" s="13">
        <f t="shared" si="35"/>
        <v>66.113366665488911</v>
      </c>
      <c r="AL50" s="20">
        <f t="shared" si="4"/>
        <v>595.7847469423931</v>
      </c>
      <c r="AM50" s="59">
        <f t="shared" si="5"/>
        <v>889.11808027572647</v>
      </c>
      <c r="AN50" s="59">
        <f ca="1">AVERAGE(OFFSET($AM$3,0,0,'Données projet'!$E$10+1,1))-AVERAGE(OFFSET($H$3,0,0,'Données projet'!$E$10+1,1))</f>
        <v>366.43676005661194</v>
      </c>
      <c r="AO50" s="59">
        <f t="shared" si="36"/>
        <v>513.80016421153414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5.9768674885500399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5.9768674885500399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27.100000000000005</v>
      </c>
      <c r="BD50" s="12">
        <f>IF('Données projet'!$A$88&gt;35,BD49+BC50-BL49,IF(A50&lt;'Données projet'!$A$88,$BA$205^A50,IF(A50='Données projet'!$A$88,'Données projet'!$B$88,BD49+BC50-BL49)))</f>
        <v>628.62000000000012</v>
      </c>
      <c r="BE50" s="13">
        <f>BD50*VLOOKUP('Données projet'!$B$11,Paramètres!$A$1:$I$89,3,0)*VLOOKUP('Données projet'!$B$11,Paramètres!$A$1:$I$89,5,0)</f>
        <v>277.85004000000009</v>
      </c>
      <c r="BF50" s="13">
        <f t="shared" si="37"/>
        <v>66.512456905279024</v>
      </c>
      <c r="BG50" s="20">
        <f t="shared" si="7"/>
        <v>599.76468211002782</v>
      </c>
      <c r="BH50" s="59">
        <f t="shared" si="8"/>
        <v>893.09801544336119</v>
      </c>
      <c r="BI50" s="59">
        <f ca="1">AVERAGE(OFFSET($BH$3,0,0,'Données projet'!$E$11+1,1))-AVERAGE(OFFSET($H$3,0,0,'Données projet'!$E$11+1,1))</f>
        <v>328.58609979635901</v>
      </c>
      <c r="BJ50" s="59">
        <f t="shared" si="38"/>
        <v>432.3494365423407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48.926624965520993</v>
      </c>
      <c r="BQ50" s="21">
        <f>EXP(-LN(2)/25)*BQ49+(1-EXP(-LN(2)/25))/(LN(2)/25)*Calculateur!BL50*Calculateur!BN50*VLOOKUP('Données projet'!$B$11,Paramètres!$A$1:$I$89,3,0)*0.475*44/12</f>
        <v>24.958238923867423</v>
      </c>
      <c r="BR50" s="21">
        <f>EXP(-LN(2)/2)*BR49+(1-EXP(-LN(2)/2))/(LN(2)/2)*BL50*BO50*VLOOKUP('Données projet'!$B$11,Paramètres!$A$1:$I$89,3,0)*0.475*44/12</f>
        <v>1.6159970933631344E-3</v>
      </c>
      <c r="BS50" s="22">
        <f t="shared" si="9"/>
        <v>73.88647988648178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13.059999999999999</v>
      </c>
      <c r="BY50" s="12">
        <f>IF('Données projet'!$A$114&gt;35,BY49+BX50-CG49,IF(A50&lt;'Données projet'!$A$114,$BV$205^A50,IF(A50='Données projet'!$A$114,'Données projet'!$B$114,BY49+BX50-CG49)))</f>
        <v>239.83000000000013</v>
      </c>
      <c r="BZ50" s="13">
        <f>BY50*VLOOKUP('Données projet'!$B$12,Paramètres!$A$1:$I$89,3,0)*VLOOKUP('Données projet'!$B$12,Paramètres!$A$1:$I$89,5,0)</f>
        <v>228.22222800000014</v>
      </c>
      <c r="CA50" s="13">
        <f t="shared" si="39"/>
        <v>55.898112239120728</v>
      </c>
      <c r="CB50" s="20">
        <f t="shared" si="10"/>
        <v>494.8429259164688</v>
      </c>
      <c r="CC50" s="59">
        <f t="shared" si="11"/>
        <v>788.17625924980211</v>
      </c>
      <c r="CD50" s="59">
        <f ca="1">AVERAGE(OFFSET($CC$3,0,0,'Données projet'!$E$12+1,1))-AVERAGE(OFFSET($H$3,0,0,'Données projet'!$E$12+1,1))</f>
        <v>555.3092253965317</v>
      </c>
      <c r="CE50" s="59">
        <f t="shared" si="40"/>
        <v>292.20785523952651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43.859681887895285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43.859681887895285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7.4</v>
      </c>
      <c r="CT50" s="12">
        <f>IF('Données projet'!$A$140&gt;35,CT49+CS50-DB49,IF(A50&lt;'Données projet'!$A$140,$CQ$205^A50,IF(A50='Données projet'!$A$140,'Données projet'!$B$140,CT49+CS50-DB49)))</f>
        <v>186.80000000000004</v>
      </c>
      <c r="CU50" s="17">
        <f>CT50*VLOOKUP('Données projet'!$B$13,Paramètres!$A$1:$I$89,3,0)*VLOOKUP('Données projet'!$B$13,Paramètres!$A$1:$I$89,5,0)</f>
        <v>119.47728000000002</v>
      </c>
      <c r="CV50" s="13">
        <f t="shared" si="41"/>
        <v>31.553052479931626</v>
      </c>
      <c r="CW50" s="20">
        <f t="shared" si="13"/>
        <v>263.04449573588096</v>
      </c>
      <c r="CX50" s="59">
        <f t="shared" si="14"/>
        <v>556.37782906921427</v>
      </c>
      <c r="CY50" s="59">
        <f ca="1">AVERAGE(OFFSET($CX$3,0,0,'Données projet'!$E$13+1,1))-AVERAGE(OFFSET($H$3,0,0,'Données projet'!$E$13+1,1))</f>
        <v>269.44168853803717</v>
      </c>
      <c r="CZ50" s="59">
        <f t="shared" si="42"/>
        <v>247.65158389074043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21.216826444908818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21.216826444908818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6">
        <f t="shared" si="1"/>
        <v>256.66666666666669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8.1999999999999993</v>
      </c>
      <c r="N51" s="13">
        <f>IF('Données projet'!$A$36&gt;35,N50+M51-V50,IF(A51&lt;'Données projet'!$A$36,$K$205^A51,IF(A51='Données projet'!$A$36,'Données projet'!$B$36,N50+M51-V50)))</f>
        <v>213.60000000000011</v>
      </c>
      <c r="O51" s="13">
        <f>N51*VLOOKUP('Données projet'!$B$9,Paramètres!$A$1:$I$89,3,0)*VLOOKUP('Données projet'!$B$9,Paramètres!$A$1:$I$89,5,0)</f>
        <v>186.60096000000013</v>
      </c>
      <c r="P51" s="13">
        <f t="shared" si="33"/>
        <v>46.787685683664144</v>
      </c>
      <c r="Q51" s="20">
        <f t="shared" si="53"/>
        <v>406.48522456571527</v>
      </c>
      <c r="R51" s="59">
        <f t="shared" si="0"/>
        <v>699.81855789904853</v>
      </c>
      <c r="S51" s="59">
        <f ca="1">AVERAGE(OFFSET($R$3,0,0,'Données projet'!$E$9+1,1))-AVERAGE(OFFSET($H$3,0,0,'Données projet'!$E$9+1,1))</f>
        <v>381.72225529388083</v>
      </c>
      <c r="T51" s="59">
        <f t="shared" si="34"/>
        <v>360.05900046417361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32.99880936202355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32.99880936202355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304.99999999999994</v>
      </c>
      <c r="AJ51" s="13">
        <f>AI51*VLOOKUP('Données projet'!$B$10,Paramètres!$A$1:$I$89,3,0)*VLOOKUP('Données projet'!$B$10,Paramètres!$A$1:$I$89,5,0)</f>
        <v>275.96399999999994</v>
      </c>
      <c r="AK51" s="13">
        <f t="shared" si="35"/>
        <v>66.113366665488911</v>
      </c>
      <c r="AL51" s="20">
        <f t="shared" si="4"/>
        <v>595.7847469423931</v>
      </c>
      <c r="AM51" s="59">
        <f t="shared" si="5"/>
        <v>889.11808027572647</v>
      </c>
      <c r="AN51" s="59">
        <f ca="1">AVERAGE(OFFSET($AM$3,0,0,'Données projet'!$E$10+1,1))-AVERAGE(OFFSET($H$3,0,0,'Données projet'!$E$10+1,1))</f>
        <v>366.43676005661194</v>
      </c>
      <c r="AO51" s="59">
        <f t="shared" si="36"/>
        <v>513.80016421153414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5.8596647626287757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5.8596647626287757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>
        <f>VLOOKUP(A51,'Données projet'!$A$87:$I$107,2,0)</f>
        <v>655.72</v>
      </c>
      <c r="BB51" s="12">
        <f>VLOOKUP(A51,'Données projet'!$A$87:$I$107,9,0)</f>
        <v>27.100000000000005</v>
      </c>
      <c r="BC51" s="12">
        <f t="array" ref="BC51">INDEX(BB:BB,MIN(IF(ISNUMBER(BB51:BB247),ROW(BB51:BB247),"")))</f>
        <v>27.100000000000005</v>
      </c>
      <c r="BD51" s="12">
        <f>IF('Données projet'!$A$88&gt;35,BD50+BC51-BL50,IF(A51&lt;'Données projet'!$A$88,$BA$205^A51,IF(A51='Données projet'!$A$88,'Données projet'!$B$88,BD50+BC51-BL50)))</f>
        <v>655.72000000000014</v>
      </c>
      <c r="BE51" s="13">
        <f>BD51*VLOOKUP('Données projet'!$B$11,Paramètres!$A$1:$I$89,3,0)*VLOOKUP('Données projet'!$B$11,Paramètres!$A$1:$I$89,5,0)</f>
        <v>289.82824000000011</v>
      </c>
      <c r="BF51" s="13">
        <f t="shared" si="37"/>
        <v>69.039809917824471</v>
      </c>
      <c r="BG51" s="20">
        <f t="shared" si="7"/>
        <v>625.02852027354447</v>
      </c>
      <c r="BH51" s="59">
        <f t="shared" si="8"/>
        <v>918.36185360687773</v>
      </c>
      <c r="BI51" s="59">
        <f ca="1">AVERAGE(OFFSET($BH$3,0,0,'Données projet'!$E$11+1,1))-AVERAGE(OFFSET($H$3,0,0,'Données projet'!$E$11+1,1))</f>
        <v>328.58609979635901</v>
      </c>
      <c r="BJ51" s="59">
        <f t="shared" si="38"/>
        <v>432.3494365423407</v>
      </c>
      <c r="BK51" s="15">
        <f>IF(ISNA(VLOOKUP(A51,'Données projet'!$A$87:$I$107,3,0)),0,VLOOKUP(A51,'Données projet'!$A$87:$I$107,3,0))</f>
        <v>6</v>
      </c>
      <c r="BL51" s="15">
        <f>IF(ISNA(VLOOKUP(A51,'Données projet'!$A$87:$I$107,4,0)),0,VLOOKUP(A51,'Données projet'!$A$87:$I$107,4,0))</f>
        <v>101.34</v>
      </c>
      <c r="BM51" s="16">
        <f>IF(ISNA(VLOOKUP(A51,'Données projet'!$A$87:$I$107,5,0)),0%,VLOOKUP(A51,'Données projet'!$A$87:$I$107,5,0)*VLOOKUP('Données projet'!$B$11,Paramètres!$A$1:$I$89,7,0))</f>
        <v>0.55000000000000004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80.648119281594148</v>
      </c>
      <c r="BQ51" s="21">
        <f>EXP(-LN(2)/25)*BQ50+(1-EXP(-LN(2)/25))/(LN(2)/25)*Calculateur!BL51*Calculateur!BN51*VLOOKUP('Données projet'!$B$11,Paramètres!$A$1:$I$89,3,0)*0.475*44/12</f>
        <v>24.275754567997527</v>
      </c>
      <c r="BR51" s="21">
        <f>EXP(-LN(2)/2)*BR50+(1-EXP(-LN(2)/2))/(LN(2)/2)*BL51*BO51*VLOOKUP('Données projet'!$B$11,Paramètres!$A$1:$I$89,3,0)*0.475*44/12</f>
        <v>1.1426825030948226E-3</v>
      </c>
      <c r="BS51" s="22">
        <f t="shared" si="9"/>
        <v>104.92501653209477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>
        <f>VLOOKUP(A51,'Données projet'!$A$113:$I$133,2,0)</f>
        <v>252.89</v>
      </c>
      <c r="BW51" s="12">
        <f>VLOOKUP(A51,'Données projet'!$A$113:$I$133,9,0)</f>
        <v>13.059999999999999</v>
      </c>
      <c r="BX51" s="12">
        <f t="array" ref="BX51">INDEX(BW:BW,MIN(IF(ISNUMBER(BW51:BW247),ROW(BW51:BW247),"")))</f>
        <v>13.059999999999999</v>
      </c>
      <c r="BY51" s="12">
        <f>IF('Données projet'!$A$114&gt;35,BY50+BX51-CG50,IF(A51&lt;'Données projet'!$A$114,$BV$205^A51,IF(A51='Données projet'!$A$114,'Données projet'!$B$114,BY50+BX51-CG50)))</f>
        <v>252.89000000000013</v>
      </c>
      <c r="BZ51" s="13">
        <f>BY51*VLOOKUP('Données projet'!$B$12,Paramètres!$A$1:$I$89,3,0)*VLOOKUP('Données projet'!$B$12,Paramètres!$A$1:$I$89,5,0)</f>
        <v>240.65012400000015</v>
      </c>
      <c r="CA51" s="13">
        <f t="shared" si="39"/>
        <v>58.579385797648882</v>
      </c>
      <c r="CB51" s="20">
        <f t="shared" si="10"/>
        <v>521.15806289757211</v>
      </c>
      <c r="CC51" s="59">
        <f t="shared" si="11"/>
        <v>814.49139623090537</v>
      </c>
      <c r="CD51" s="59">
        <f ca="1">AVERAGE(OFFSET($CC$3,0,0,'Données projet'!$E$12+1,1))-AVERAGE(OFFSET($H$3,0,0,'Données projet'!$E$12+1,1))</f>
        <v>555.3092253965317</v>
      </c>
      <c r="CE51" s="59">
        <f t="shared" si="40"/>
        <v>292.20785523952651</v>
      </c>
      <c r="CF51" s="15">
        <f>IF(ISNA(VLOOKUP(A51,'Données projet'!$A$113:$I$133,3,0)),0,VLOOKUP(A51,'Données projet'!$A$113:$I$133,3,0))</f>
        <v>3</v>
      </c>
      <c r="CG51" s="15">
        <f>IF(ISNA(VLOOKUP(A51,'Données projet'!$A$113:$I$133,4,0)),0,VLOOKUP(A51,'Données projet'!$A$113:$I$133,4,0))</f>
        <v>61.12</v>
      </c>
      <c r="CH51" s="16">
        <f>IF(ISNA(VLOOKUP(A51,'Données projet'!$A$113:$I$133,5,0)),0%,VLOOKUP(A51,'Données projet'!$A$113:$I$133,5,0)*VLOOKUP('Données projet'!$B$12,Paramètres!$A$1:$I$89,7,0))</f>
        <v>0.43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70.646959736757395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70.646959736757395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7.4</v>
      </c>
      <c r="CT51" s="12">
        <f>IF('Données projet'!$A$140&gt;35,CT50+CS51-DB50,IF(A51&lt;'Données projet'!$A$140,$CQ$205^A51,IF(A51='Données projet'!$A$140,'Données projet'!$B$140,CT50+CS51-DB50)))</f>
        <v>194.20000000000005</v>
      </c>
      <c r="CU51" s="17">
        <f>CT51*VLOOKUP('Données projet'!$B$13,Paramètres!$A$1:$I$89,3,0)*VLOOKUP('Données projet'!$B$13,Paramètres!$A$1:$I$89,5,0)</f>
        <v>124.21032000000002</v>
      </c>
      <c r="CV51" s="13">
        <f t="shared" si="41"/>
        <v>32.655007774120797</v>
      </c>
      <c r="CW51" s="20">
        <f t="shared" si="13"/>
        <v>273.2071125399271</v>
      </c>
      <c r="CX51" s="59">
        <f t="shared" si="14"/>
        <v>566.54044587326041</v>
      </c>
      <c r="CY51" s="59">
        <f ca="1">AVERAGE(OFFSET($CX$3,0,0,'Données projet'!$E$13+1,1))-AVERAGE(OFFSET($H$3,0,0,'Données projet'!$E$13+1,1))</f>
        <v>269.44168853803717</v>
      </c>
      <c r="CZ51" s="59">
        <f t="shared" si="42"/>
        <v>247.65158389074043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20.800777419310471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20.800777419310471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6">
        <f t="shared" si="1"/>
        <v>256.66666666666669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8.1999999999999993</v>
      </c>
      <c r="N52" s="13">
        <f>IF('Données projet'!$A$36&gt;35,N51+M52-V51,IF(A52&lt;'Données projet'!$A$36,$K$205^A52,IF(A52='Données projet'!$A$36,'Données projet'!$B$36,N51+M52-V51)))</f>
        <v>221.8000000000001</v>
      </c>
      <c r="O52" s="13">
        <f>N52*VLOOKUP('Données projet'!$B$9,Paramètres!$A$1:$I$89,3,0)*VLOOKUP('Données projet'!$B$9,Paramètres!$A$1:$I$89,5,0)</f>
        <v>193.76448000000011</v>
      </c>
      <c r="P52" s="13">
        <f t="shared" si="33"/>
        <v>48.371273222646494</v>
      </c>
      <c r="Q52" s="20">
        <f t="shared" si="53"/>
        <v>421.71977019610949</v>
      </c>
      <c r="R52" s="59">
        <f t="shared" si="0"/>
        <v>715.05310352944275</v>
      </c>
      <c r="S52" s="59">
        <f ca="1">AVERAGE(OFFSET($R$3,0,0,'Données projet'!$E$9+1,1))-AVERAGE(OFFSET($H$3,0,0,'Données projet'!$E$9+1,1))</f>
        <v>381.72225529388083</v>
      </c>
      <c r="T52" s="59">
        <f t="shared" si="34"/>
        <v>360.05900046417361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32.351722837720573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32.351722837720573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304.99999999999994</v>
      </c>
      <c r="AJ52" s="13">
        <f>AI52*VLOOKUP('Données projet'!$B$10,Paramètres!$A$1:$I$89,3,0)*VLOOKUP('Données projet'!$B$10,Paramètres!$A$1:$I$89,5,0)</f>
        <v>275.96399999999994</v>
      </c>
      <c r="AK52" s="13">
        <f t="shared" si="35"/>
        <v>66.113366665488911</v>
      </c>
      <c r="AL52" s="20">
        <f t="shared" si="4"/>
        <v>595.7847469423931</v>
      </c>
      <c r="AM52" s="59">
        <f t="shared" si="5"/>
        <v>889.11808027572647</v>
      </c>
      <c r="AN52" s="59">
        <f ca="1">AVERAGE(OFFSET($AM$3,0,0,'Données projet'!$E$10+1,1))-AVERAGE(OFFSET($H$3,0,0,'Données projet'!$E$10+1,1))</f>
        <v>366.43676005661194</v>
      </c>
      <c r="AO52" s="59">
        <f t="shared" si="36"/>
        <v>513.80016421153414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5.7447603106762228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5.7447603106762228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25.705000000000002</v>
      </c>
      <c r="BD52" s="12">
        <f>IF('Données projet'!$A$88&gt;35,BD51+BC52-BL51,IF(A52&lt;'Données projet'!$A$88,$BA$205^A52,IF(A52='Données projet'!$A$88,'Données projet'!$B$88,BD51+BC52-BL51)))</f>
        <v>580.08500000000015</v>
      </c>
      <c r="BE52" s="13">
        <f>BD52*VLOOKUP('Données projet'!$B$11,Paramètres!$A$1:$I$89,3,0)*VLOOKUP('Données projet'!$B$11,Paramètres!$A$1:$I$89,5,0)</f>
        <v>256.39757000000009</v>
      </c>
      <c r="BF52" s="13">
        <f t="shared" si="37"/>
        <v>61.95386302037614</v>
      </c>
      <c r="BG52" s="20">
        <f t="shared" si="7"/>
        <v>554.46207917715526</v>
      </c>
      <c r="BH52" s="59">
        <f t="shared" si="8"/>
        <v>847.79541251048863</v>
      </c>
      <c r="BI52" s="59">
        <f ca="1">AVERAGE(OFFSET($BH$3,0,0,'Données projet'!$E$11+1,1))-AVERAGE(OFFSET($H$3,0,0,'Données projet'!$E$11+1,1))</f>
        <v>328.58609979635901</v>
      </c>
      <c r="BJ52" s="59">
        <f t="shared" si="38"/>
        <v>432.3494365423407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79.066658852977696</v>
      </c>
      <c r="BQ52" s="21">
        <f>EXP(-LN(2)/25)*BQ51+(1-EXP(-LN(2)/25))/(LN(2)/25)*Calculateur!BL52*Calculateur!BN52*VLOOKUP('Données projet'!$B$11,Paramètres!$A$1:$I$89,3,0)*0.475*44/12</f>
        <v>23.611932782729184</v>
      </c>
      <c r="BR52" s="21">
        <f>EXP(-LN(2)/2)*BR51+(1-EXP(-LN(2)/2))/(LN(2)/2)*BL52*BO52*VLOOKUP('Données projet'!$B$11,Paramètres!$A$1:$I$89,3,0)*0.475*44/12</f>
        <v>8.0799854668156719E-4</v>
      </c>
      <c r="BS52" s="22">
        <f t="shared" si="9"/>
        <v>102.67939963425356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12.271428571428576</v>
      </c>
      <c r="BY52" s="12">
        <f>IF('Données projet'!$A$114&gt;35,BY51+BX52-CG51,IF(A52&lt;'Données projet'!$A$114,$BV$205^A52,IF(A52='Données projet'!$A$114,'Données projet'!$B$114,BY51+BX52-CG51)))</f>
        <v>204.0414285714287</v>
      </c>
      <c r="BZ52" s="13">
        <f>BY52*VLOOKUP('Données projet'!$B$12,Paramètres!$A$1:$I$89,3,0)*VLOOKUP('Données projet'!$B$12,Paramètres!$A$1:$I$89,5,0)</f>
        <v>194.16582342857154</v>
      </c>
      <c r="CA52" s="13">
        <f t="shared" si="39"/>
        <v>48.459791488807113</v>
      </c>
      <c r="CB52" s="20">
        <f t="shared" si="10"/>
        <v>422.57294598110116</v>
      </c>
      <c r="CC52" s="59">
        <f t="shared" si="11"/>
        <v>715.90627931443441</v>
      </c>
      <c r="CD52" s="59">
        <f ca="1">AVERAGE(OFFSET($CC$3,0,0,'Données projet'!$E$12+1,1))-AVERAGE(OFFSET($H$3,0,0,'Données projet'!$E$12+1,1))</f>
        <v>555.3092253965317</v>
      </c>
      <c r="CE52" s="59">
        <f t="shared" si="40"/>
        <v>292.20785523952651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69.261615946710194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69.261615946710194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7.4</v>
      </c>
      <c r="CT52" s="12">
        <f>IF('Données projet'!$A$140&gt;35,CT51+CS52-DB51,IF(A52&lt;'Données projet'!$A$140,$CQ$205^A52,IF(A52='Données projet'!$A$140,'Données projet'!$B$140,CT51+CS52-DB51)))</f>
        <v>201.60000000000005</v>
      </c>
      <c r="CU52" s="17">
        <f>CT52*VLOOKUP('Données projet'!$B$13,Paramètres!$A$1:$I$89,3,0)*VLOOKUP('Données projet'!$B$13,Paramètres!$A$1:$I$89,5,0)</f>
        <v>128.94336000000004</v>
      </c>
      <c r="CV52" s="13">
        <f t="shared" si="41"/>
        <v>33.752085002132198</v>
      </c>
      <c r="CW52" s="20">
        <f t="shared" si="13"/>
        <v>283.36123337871362</v>
      </c>
      <c r="CX52" s="59">
        <f t="shared" si="14"/>
        <v>576.69456671204694</v>
      </c>
      <c r="CY52" s="59">
        <f ca="1">AVERAGE(OFFSET($CX$3,0,0,'Données projet'!$E$13+1,1))-AVERAGE(OFFSET($H$3,0,0,'Données projet'!$E$13+1,1))</f>
        <v>269.44168853803717</v>
      </c>
      <c r="CZ52" s="59">
        <f t="shared" si="42"/>
        <v>247.65158389074043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20.39288686133926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20.39288686133926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6">
        <f t="shared" si="1"/>
        <v>256.66666666666669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230</v>
      </c>
      <c r="L53" s="12">
        <f>VLOOKUP(A53,'Données projet'!$A$35:$I$55,9,0)</f>
        <v>8.1999999999999993</v>
      </c>
      <c r="M53" s="12">
        <f t="array" ref="M53">INDEX(L:L,MIN(IF(ISNUMBER(L53:L249),ROW(L53:L249),"")))</f>
        <v>8.1999999999999993</v>
      </c>
      <c r="N53" s="13">
        <f>IF('Données projet'!$A$36&gt;35,N52+M53-V52,IF(A53&lt;'Données projet'!$A$36,$K$205^A53,IF(A53='Données projet'!$A$36,'Données projet'!$B$36,N52+M53-V52)))</f>
        <v>230.00000000000009</v>
      </c>
      <c r="O53" s="13">
        <f>N53*VLOOKUP('Données projet'!$B$9,Paramètres!$A$1:$I$89,3,0)*VLOOKUP('Données projet'!$B$9,Paramètres!$A$1:$I$89,5,0)</f>
        <v>200.92800000000011</v>
      </c>
      <c r="P53" s="13">
        <f t="shared" si="33"/>
        <v>49.948059057189084</v>
      </c>
      <c r="Q53" s="20">
        <f t="shared" si="53"/>
        <v>436.94246952460452</v>
      </c>
      <c r="R53" s="59">
        <f t="shared" si="0"/>
        <v>730.27580285793783</v>
      </c>
      <c r="S53" s="59">
        <f ca="1">AVERAGE(OFFSET($R$3,0,0,'Données projet'!$E$9+1,1))-AVERAGE(OFFSET($H$3,0,0,'Données projet'!$E$9+1,1))</f>
        <v>381.72225529388083</v>
      </c>
      <c r="T53" s="59">
        <f t="shared" si="34"/>
        <v>360.05900046417361</v>
      </c>
      <c r="U53" s="15">
        <f>IF(ISNA(VLOOKUP(A53,'Données projet'!$A$35:$I$55,3,0)),0,VLOOKUP(A53,'Données projet'!$A$35:$I$55,3,0))</f>
        <v>8</v>
      </c>
      <c r="V53" s="15">
        <f>IF(ISNA(VLOOKUP(A53,'Données projet'!$A$35:$I$55,4,0)),0,VLOOKUP(A53,'Données projet'!$A$35:$I$55,4,0))</f>
        <v>28</v>
      </c>
      <c r="W53" s="16">
        <f>IF(ISNA(VLOOKUP(A53,'Données projet'!$A$35:$I$55,5,0)),0%,VLOOKUP(A53,'Données projet'!$A$35:$I$55,5,0)*VLOOKUP('Données projet'!$B$9,Paramètres!$A$1:$I$89,7,0))</f>
        <v>0.43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43.344821925137595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43.344821925137595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304.99999999999994</v>
      </c>
      <c r="AJ53" s="13">
        <f>AI53*VLOOKUP('Données projet'!$B$10,Paramètres!$A$1:$I$89,3,0)*VLOOKUP('Données projet'!$B$10,Paramètres!$A$1:$I$89,5,0)</f>
        <v>275.96399999999994</v>
      </c>
      <c r="AK53" s="13">
        <f t="shared" si="35"/>
        <v>66.113366665488911</v>
      </c>
      <c r="AL53" s="20">
        <f t="shared" si="4"/>
        <v>595.7847469423931</v>
      </c>
      <c r="AM53" s="59">
        <f t="shared" si="5"/>
        <v>889.11808027572647</v>
      </c>
      <c r="AN53" s="59">
        <f ca="1">AVERAGE(OFFSET($AM$3,0,0,'Données projet'!$E$10+1,1))-AVERAGE(OFFSET($H$3,0,0,'Données projet'!$E$10+1,1))</f>
        <v>366.43676005661194</v>
      </c>
      <c r="AO53" s="59">
        <f t="shared" si="36"/>
        <v>513.80016421153414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5.6321090649416643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5.6321090649416643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25.705000000000002</v>
      </c>
      <c r="BD53" s="12">
        <f>IF('Données projet'!$A$88&gt;35,BD52+BC53-BL52,IF(A53&lt;'Données projet'!$A$88,$BA$205^A53,IF(A53='Données projet'!$A$88,'Données projet'!$B$88,BD52+BC53-BL52)))</f>
        <v>605.79000000000019</v>
      </c>
      <c r="BE53" s="13">
        <f>BD53*VLOOKUP('Données projet'!$B$11,Paramètres!$A$1:$I$89,3,0)*VLOOKUP('Données projet'!$B$11,Paramètres!$A$1:$I$89,5,0)</f>
        <v>267.75918000000007</v>
      </c>
      <c r="BF53" s="13">
        <f t="shared" si="37"/>
        <v>64.373480311905922</v>
      </c>
      <c r="BG53" s="20">
        <f t="shared" si="7"/>
        <v>578.46438337656957</v>
      </c>
      <c r="BH53" s="59">
        <f t="shared" si="8"/>
        <v>871.79771670990294</v>
      </c>
      <c r="BI53" s="59">
        <f ca="1">AVERAGE(OFFSET($BH$3,0,0,'Données projet'!$E$11+1,1))-AVERAGE(OFFSET($H$3,0,0,'Données projet'!$E$11+1,1))</f>
        <v>328.58609979635901</v>
      </c>
      <c r="BJ53" s="59">
        <f t="shared" si="38"/>
        <v>432.3494365423407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77.516209898770796</v>
      </c>
      <c r="BQ53" s="21">
        <f>EXP(-LN(2)/25)*BQ52+(1-EXP(-LN(2)/25))/(LN(2)/25)*Calculateur!BL53*Calculateur!BN53*VLOOKUP('Données projet'!$B$11,Paramètres!$A$1:$I$89,3,0)*0.475*44/12</f>
        <v>22.966263239087876</v>
      </c>
      <c r="BR53" s="21">
        <f>EXP(-LN(2)/2)*BR52+(1-EXP(-LN(2)/2))/(LN(2)/2)*BL53*BO53*VLOOKUP('Données projet'!$B$11,Paramètres!$A$1:$I$89,3,0)*0.475*44/12</f>
        <v>5.7134125154741132E-4</v>
      </c>
      <c r="BS53" s="22">
        <f t="shared" si="9"/>
        <v>100.48304447911022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12.271428571428576</v>
      </c>
      <c r="BY53" s="12">
        <f>IF('Données projet'!$A$114&gt;35,BY52+BX53-CG52,IF(A53&lt;'Données projet'!$A$114,$BV$205^A53,IF(A53='Données projet'!$A$114,'Données projet'!$B$114,BY52+BX53-CG52)))</f>
        <v>216.31285714285727</v>
      </c>
      <c r="BZ53" s="13">
        <f>BY53*VLOOKUP('Données projet'!$B$12,Paramètres!$A$1:$I$89,3,0)*VLOOKUP('Données projet'!$B$12,Paramètres!$A$1:$I$89,5,0)</f>
        <v>205.84331485714299</v>
      </c>
      <c r="CA53" s="13">
        <f t="shared" si="39"/>
        <v>51.026191220455026</v>
      </c>
      <c r="CB53" s="20">
        <f t="shared" si="10"/>
        <v>447.38105641848318</v>
      </c>
      <c r="CC53" s="59">
        <f t="shared" si="11"/>
        <v>740.7143897518165</v>
      </c>
      <c r="CD53" s="59">
        <f ca="1">AVERAGE(OFFSET($CC$3,0,0,'Données projet'!$E$12+1,1))-AVERAGE(OFFSET($H$3,0,0,'Données projet'!$E$12+1,1))</f>
        <v>555.3092253965317</v>
      </c>
      <c r="CE53" s="59">
        <f t="shared" si="40"/>
        <v>292.20785523952651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67.903437903409539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67.903437903409539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209</v>
      </c>
      <c r="CR53" s="12">
        <f>VLOOKUP(A53,'Données projet'!$A$139:$I$159,9,0)</f>
        <v>7.4</v>
      </c>
      <c r="CS53" s="12">
        <f t="array" ref="CS53">INDEX(CR:CR,MIN(IF(ISNUMBER(CR53:CR249),ROW(CR53:CR249),"")))</f>
        <v>7.4</v>
      </c>
      <c r="CT53" s="12">
        <f>IF('Données projet'!$A$140&gt;35,CT52+CS53-DB52,IF(A53&lt;'Données projet'!$A$140,$CQ$205^A53,IF(A53='Données projet'!$A$140,'Données projet'!$B$140,CT52+CS53-DB52)))</f>
        <v>209.00000000000006</v>
      </c>
      <c r="CU53" s="17">
        <f>CT53*VLOOKUP('Données projet'!$B$13,Paramètres!$A$1:$I$89,3,0)*VLOOKUP('Données projet'!$B$13,Paramètres!$A$1:$I$89,5,0)</f>
        <v>133.67640000000003</v>
      </c>
      <c r="CV53" s="13">
        <f t="shared" si="41"/>
        <v>34.844483726822681</v>
      </c>
      <c r="CW53" s="20">
        <f t="shared" si="13"/>
        <v>293.50720582421621</v>
      </c>
      <c r="CX53" s="59">
        <f t="shared" si="14"/>
        <v>586.84053915754953</v>
      </c>
      <c r="CY53" s="59">
        <f ca="1">AVERAGE(OFFSET($CX$3,0,0,'Données projet'!$E$13+1,1))-AVERAGE(OFFSET($H$3,0,0,'Données projet'!$E$13+1,1))</f>
        <v>269.44168853803717</v>
      </c>
      <c r="CZ53" s="59">
        <f t="shared" si="42"/>
        <v>247.65158389074043</v>
      </c>
      <c r="DA53" s="15">
        <f>IF(ISNA(VLOOKUP(A53,'Données projet'!$A$139:$I$159,3,0)),0,VLOOKUP(A53,'Données projet'!$A$139:$I$159,3,0))</f>
        <v>7</v>
      </c>
      <c r="DB53" s="15">
        <f>IF(ISNA(VLOOKUP(A53,'Données projet'!$A$139:$I$159,4,0)),0,VLOOKUP(A53,'Données projet'!$A$139:$I$159,4,0))</f>
        <v>24</v>
      </c>
      <c r="DC53" s="16">
        <f>IF(ISNA(VLOOKUP(A53,'Données projet'!$A$139:$I$159,5,0)),0%,VLOOKUP(A53,'Données projet'!$A$139:$I$159,5,0)*VLOOKUP('Données projet'!$B$13,Paramètres!$A$1:$I$89,7,0))</f>
        <v>0.43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27.289842169433708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27.289842169433708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6">
        <f t="shared" si="1"/>
        <v>256.66666666666669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7.4</v>
      </c>
      <c r="N54" s="13">
        <f>IF('Données projet'!$A$36&gt;35,N53+M54-V53,IF(A54&lt;'Données projet'!$A$36,$K$205^A54,IF(A54='Données projet'!$A$36,'Données projet'!$B$36,N53+M54-V53)))</f>
        <v>209.40000000000009</v>
      </c>
      <c r="O54" s="13">
        <f>N54*VLOOKUP('Données projet'!$B$9,Paramètres!$A$1:$I$89,3,0)*VLOOKUP('Données projet'!$B$9,Paramètres!$A$1:$I$89,5,0)</f>
        <v>182.93184000000011</v>
      </c>
      <c r="P54" s="13">
        <f t="shared" si="33"/>
        <v>45.973851929814685</v>
      </c>
      <c r="Q54" s="20">
        <f t="shared" si="53"/>
        <v>398.67741344442743</v>
      </c>
      <c r="R54" s="59">
        <f t="shared" si="0"/>
        <v>692.01074677776069</v>
      </c>
      <c r="S54" s="59">
        <f ca="1">AVERAGE(OFFSET($R$3,0,0,'Données projet'!$E$9+1,1))-AVERAGE(OFFSET($H$3,0,0,'Données projet'!$E$9+1,1))</f>
        <v>381.72225529388083</v>
      </c>
      <c r="T54" s="59">
        <f t="shared" si="34"/>
        <v>360.05900046417361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42.494856404916511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42.494856404916511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304.99999999999994</v>
      </c>
      <c r="AJ54" s="13">
        <f>AI54*VLOOKUP('Données projet'!$B$10,Paramètres!$A$1:$I$89,3,0)*VLOOKUP('Données projet'!$B$10,Paramètres!$A$1:$I$89,5,0)</f>
        <v>275.96399999999994</v>
      </c>
      <c r="AK54" s="13">
        <f t="shared" si="35"/>
        <v>66.113366665488911</v>
      </c>
      <c r="AL54" s="20">
        <f t="shared" si="4"/>
        <v>595.7847469423931</v>
      </c>
      <c r="AM54" s="59">
        <f t="shared" si="5"/>
        <v>889.11808027572647</v>
      </c>
      <c r="AN54" s="59">
        <f ca="1">AVERAGE(OFFSET($AM$3,0,0,'Données projet'!$E$10+1,1))-AVERAGE(OFFSET($H$3,0,0,'Données projet'!$E$10+1,1))</f>
        <v>366.43676005661194</v>
      </c>
      <c r="AO54" s="59">
        <f t="shared" si="36"/>
        <v>513.80016421153414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5.5216668414254855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5.5216668414254855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25.705000000000002</v>
      </c>
      <c r="BD54" s="12">
        <f>IF('Données projet'!$A$88&gt;35,BD53+BC54-BL53,IF(A54&lt;'Données projet'!$A$88,$BA$205^A54,IF(A54='Données projet'!$A$88,'Données projet'!$B$88,BD53+BC54-BL53)))</f>
        <v>631.49500000000023</v>
      </c>
      <c r="BE54" s="13">
        <f>BD54*VLOOKUP('Données projet'!$B$11,Paramètres!$A$1:$I$89,3,0)*VLOOKUP('Données projet'!$B$11,Paramètres!$A$1:$I$89,5,0)</f>
        <v>279.12079000000011</v>
      </c>
      <c r="BF54" s="13">
        <f t="shared" si="37"/>
        <v>66.781172538674994</v>
      </c>
      <c r="BG54" s="20">
        <f t="shared" si="7"/>
        <v>602.44591808819234</v>
      </c>
      <c r="BH54" s="59">
        <f t="shared" si="8"/>
        <v>895.77925142152571</v>
      </c>
      <c r="BI54" s="59">
        <f ca="1">AVERAGE(OFFSET($BH$3,0,0,'Données projet'!$E$11+1,1))-AVERAGE(OFFSET($H$3,0,0,'Données projet'!$E$11+1,1))</f>
        <v>328.58609979635901</v>
      </c>
      <c r="BJ54" s="59">
        <f t="shared" si="38"/>
        <v>432.3494365423407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75.9961643028754</v>
      </c>
      <c r="BQ54" s="21">
        <f>EXP(-LN(2)/25)*BQ53+(1-EXP(-LN(2)/25))/(LN(2)/25)*Calculateur!BL54*Calculateur!BN54*VLOOKUP('Données projet'!$B$11,Paramètres!$A$1:$I$89,3,0)*0.475*44/12</f>
        <v>22.338249563071724</v>
      </c>
      <c r="BR54" s="21">
        <f>EXP(-LN(2)/2)*BR53+(1-EXP(-LN(2)/2))/(LN(2)/2)*BL54*BO54*VLOOKUP('Données projet'!$B$11,Paramètres!$A$1:$I$89,3,0)*0.475*44/12</f>
        <v>4.0399927334078359E-4</v>
      </c>
      <c r="BS54" s="22">
        <f t="shared" si="9"/>
        <v>98.334817865220472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12.271428571428576</v>
      </c>
      <c r="BY54" s="12">
        <f>IF('Données projet'!$A$114&gt;35,BY53+BX54-CG53,IF(A54&lt;'Données projet'!$A$114,$BV$205^A54,IF(A54='Données projet'!$A$114,'Données projet'!$B$114,BY53+BX54-CG53)))</f>
        <v>228.58428571428584</v>
      </c>
      <c r="BZ54" s="13">
        <f>BY54*VLOOKUP('Données projet'!$B$12,Paramètres!$A$1:$I$89,3,0)*VLOOKUP('Données projet'!$B$12,Paramètres!$A$1:$I$89,5,0)</f>
        <v>217.52080628571443</v>
      </c>
      <c r="CA54" s="13">
        <f t="shared" si="39"/>
        <v>53.575690321455305</v>
      </c>
      <c r="CB54" s="20">
        <f t="shared" si="10"/>
        <v>472.15973159082063</v>
      </c>
      <c r="CC54" s="59">
        <f t="shared" si="11"/>
        <v>765.49306492415394</v>
      </c>
      <c r="CD54" s="59">
        <f ca="1">AVERAGE(OFFSET($CC$3,0,0,'Données projet'!$E$12+1,1))-AVERAGE(OFFSET($H$3,0,0,'Données projet'!$E$12+1,1))</f>
        <v>555.3092253965317</v>
      </c>
      <c r="CE54" s="59">
        <f t="shared" si="40"/>
        <v>292.20785523952651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66.571892903131214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66.571892903131214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6.6</v>
      </c>
      <c r="CT54" s="12">
        <f>IF('Données projet'!$A$140&gt;35,CT53+CS54-DB53,IF(A54&lt;'Données projet'!$A$140,$CQ$205^A54,IF(A54='Données projet'!$A$140,'Données projet'!$B$140,CT53+CS54-DB53)))</f>
        <v>191.60000000000005</v>
      </c>
      <c r="CU54" s="17">
        <f>CT54*VLOOKUP('Données projet'!$B$13,Paramètres!$A$1:$I$89,3,0)*VLOOKUP('Données projet'!$B$13,Paramètres!$A$1:$I$89,5,0)</f>
        <v>122.54736000000003</v>
      </c>
      <c r="CV54" s="13">
        <f t="shared" si="41"/>
        <v>32.268400886602443</v>
      </c>
      <c r="CW54" s="20">
        <f t="shared" si="13"/>
        <v>269.63745021083264</v>
      </c>
      <c r="CX54" s="59">
        <f t="shared" si="14"/>
        <v>562.9707835441659</v>
      </c>
      <c r="CY54" s="59">
        <f ca="1">AVERAGE(OFFSET($CX$3,0,0,'Données projet'!$E$13+1,1))-AVERAGE(OFFSET($H$3,0,0,'Données projet'!$E$13+1,1))</f>
        <v>269.44168853803717</v>
      </c>
      <c r="CZ54" s="59">
        <f t="shared" si="42"/>
        <v>247.65158389074043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26.754705009651264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26.754705009651264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6">
        <f t="shared" si="1"/>
        <v>256.66666666666669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7.4</v>
      </c>
      <c r="N55" s="13">
        <f>IF('Données projet'!$A$36&gt;35,N54+M55-V54,IF(A55&lt;'Données projet'!$A$36,$K$205^A55,IF(A55='Données projet'!$A$36,'Données projet'!$B$36,N54+M55-V54)))</f>
        <v>216.8000000000001</v>
      </c>
      <c r="O55" s="13">
        <f>N55*VLOOKUP('Données projet'!$B$9,Paramètres!$A$1:$I$89,3,0)*VLOOKUP('Données projet'!$B$9,Paramètres!$A$1:$I$89,5,0)</f>
        <v>189.39648000000011</v>
      </c>
      <c r="P55" s="13">
        <f t="shared" si="33"/>
        <v>47.406498452084548</v>
      </c>
      <c r="Q55" s="20">
        <f t="shared" si="53"/>
        <v>412.43185413738075</v>
      </c>
      <c r="R55" s="59">
        <f t="shared" si="0"/>
        <v>705.76518747071407</v>
      </c>
      <c r="S55" s="59">
        <f ca="1">AVERAGE(OFFSET($R$3,0,0,'Données projet'!$E$9+1,1))-AVERAGE(OFFSET($H$3,0,0,'Données projet'!$E$9+1,1))</f>
        <v>381.72225529388083</v>
      </c>
      <c r="T55" s="59">
        <f t="shared" si="34"/>
        <v>360.05900046417361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41.661558190119187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41.661558190119187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304.99999999999994</v>
      </c>
      <c r="AJ55" s="13">
        <f>AI55*VLOOKUP('Données projet'!$B$10,Paramètres!$A$1:$I$89,3,0)*VLOOKUP('Données projet'!$B$10,Paramètres!$A$1:$I$89,5,0)</f>
        <v>275.96399999999994</v>
      </c>
      <c r="AK55" s="13">
        <f t="shared" si="35"/>
        <v>66.113366665488911</v>
      </c>
      <c r="AL55" s="20">
        <f t="shared" si="4"/>
        <v>595.7847469423931</v>
      </c>
      <c r="AM55" s="59">
        <f t="shared" si="5"/>
        <v>889.11808027572647</v>
      </c>
      <c r="AN55" s="59">
        <f ca="1">AVERAGE(OFFSET($AM$3,0,0,'Données projet'!$E$10+1,1))-AVERAGE(OFFSET($H$3,0,0,'Données projet'!$E$10+1,1))</f>
        <v>366.43676005661194</v>
      </c>
      <c r="AO55" s="59">
        <f t="shared" si="36"/>
        <v>513.80016421153414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5.413390322549354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5.413390322549354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25.705000000000002</v>
      </c>
      <c r="BD55" s="12">
        <f>IF('Données projet'!$A$88&gt;35,BD54+BC55-BL54,IF(A55&lt;'Données projet'!$A$88,$BA$205^A55,IF(A55='Données projet'!$A$88,'Données projet'!$B$88,BD54+BC55-BL54)))</f>
        <v>657.20000000000027</v>
      </c>
      <c r="BE55" s="13">
        <f>BD55*VLOOKUP('Données projet'!$B$11,Paramètres!$A$1:$I$89,3,0)*VLOOKUP('Données projet'!$B$11,Paramètres!$A$1:$I$89,5,0)</f>
        <v>290.48240000000015</v>
      </c>
      <c r="BF55" s="13">
        <f t="shared" si="37"/>
        <v>69.177480634795671</v>
      </c>
      <c r="BG55" s="20">
        <f t="shared" si="7"/>
        <v>626.40762543893618</v>
      </c>
      <c r="BH55" s="59">
        <f t="shared" si="8"/>
        <v>919.74095877226955</v>
      </c>
      <c r="BI55" s="59">
        <f ca="1">AVERAGE(OFFSET($BH$3,0,0,'Données projet'!$E$11+1,1))-AVERAGE(OFFSET($H$3,0,0,'Données projet'!$E$11+1,1))</f>
        <v>328.58609979635901</v>
      </c>
      <c r="BJ55" s="59">
        <f t="shared" si="38"/>
        <v>432.3494365423407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74.505925873979251</v>
      </c>
      <c r="BQ55" s="21">
        <f>EXP(-LN(2)/25)*BQ54+(1-EXP(-LN(2)/25))/(LN(2)/25)*Calculateur!BL55*Calculateur!BN55*VLOOKUP('Données projet'!$B$11,Paramètres!$A$1:$I$89,3,0)*0.475*44/12</f>
        <v>21.727408954052038</v>
      </c>
      <c r="BR55" s="21">
        <f>EXP(-LN(2)/2)*BR54+(1-EXP(-LN(2)/2))/(LN(2)/2)*BL55*BO55*VLOOKUP('Données projet'!$B$11,Paramètres!$A$1:$I$89,3,0)*0.475*44/12</f>
        <v>2.8567062577370566E-4</v>
      </c>
      <c r="BS55" s="22">
        <f t="shared" si="9"/>
        <v>96.233620498657061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12.271428571428576</v>
      </c>
      <c r="BY55" s="12">
        <f>IF('Données projet'!$A$114&gt;35,BY54+BX55-CG54,IF(A55&lt;'Données projet'!$A$114,$BV$205^A55,IF(A55='Données projet'!$A$114,'Données projet'!$B$114,BY54+BX55-CG54)))</f>
        <v>240.85571428571441</v>
      </c>
      <c r="BZ55" s="13">
        <f>BY55*VLOOKUP('Données projet'!$B$12,Paramètres!$A$1:$I$89,3,0)*VLOOKUP('Données projet'!$B$12,Paramètres!$A$1:$I$89,5,0)</f>
        <v>229.19829771428584</v>
      </c>
      <c r="CA55" s="13">
        <f t="shared" si="39"/>
        <v>56.1092995413808</v>
      </c>
      <c r="CB55" s="20">
        <f t="shared" si="10"/>
        <v>496.91073188695265</v>
      </c>
      <c r="CC55" s="59">
        <f t="shared" si="11"/>
        <v>790.24406522028596</v>
      </c>
      <c r="CD55" s="59">
        <f ca="1">AVERAGE(OFFSET($CC$3,0,0,'Données projet'!$E$12+1,1))-AVERAGE(OFFSET($H$3,0,0,'Données projet'!$E$12+1,1))</f>
        <v>555.3092253965317</v>
      </c>
      <c r="CE55" s="59">
        <f t="shared" si="40"/>
        <v>292.20785523952651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65.266458688146088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65.266458688146088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6.6</v>
      </c>
      <c r="CT55" s="12">
        <f>IF('Données projet'!$A$140&gt;35,CT54+CS55-DB54,IF(A55&lt;'Données projet'!$A$140,$CQ$205^A55,IF(A55='Données projet'!$A$140,'Données projet'!$B$140,CT54+CS55-DB54)))</f>
        <v>198.20000000000005</v>
      </c>
      <c r="CU55" s="17">
        <f>CT55*VLOOKUP('Données projet'!$B$13,Paramètres!$A$1:$I$89,3,0)*VLOOKUP('Données projet'!$B$13,Paramètres!$A$1:$I$89,5,0)</f>
        <v>126.76872000000003</v>
      </c>
      <c r="CV55" s="13">
        <f t="shared" si="41"/>
        <v>33.24861514881087</v>
      </c>
      <c r="CW55" s="20">
        <f t="shared" si="13"/>
        <v>278.69685871751233</v>
      </c>
      <c r="CX55" s="59">
        <f t="shared" si="14"/>
        <v>572.0301920508457</v>
      </c>
      <c r="CY55" s="59">
        <f ca="1">AVERAGE(OFFSET($CX$3,0,0,'Données projet'!$E$13+1,1))-AVERAGE(OFFSET($H$3,0,0,'Données projet'!$E$13+1,1))</f>
        <v>269.44168853803717</v>
      </c>
      <c r="CZ55" s="59">
        <f t="shared" si="42"/>
        <v>247.65158389074043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26.230061563170715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26.230061563170715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6">
        <f t="shared" si="1"/>
        <v>256.66666666666669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7.4</v>
      </c>
      <c r="N56" s="13">
        <f>IF('Données projet'!$A$36&gt;35,N55+M56-V55,IF(A56&lt;'Données projet'!$A$36,$K$205^A56,IF(A56='Données projet'!$A$36,'Données projet'!$B$36,N55+M56-V55)))</f>
        <v>224.2000000000001</v>
      </c>
      <c r="O56" s="13">
        <f>N56*VLOOKUP('Données projet'!$B$9,Paramètres!$A$1:$I$89,3,0)*VLOOKUP('Données projet'!$B$9,Paramètres!$A$1:$I$89,5,0)</f>
        <v>195.86112000000011</v>
      </c>
      <c r="P56" s="13">
        <f t="shared" si="33"/>
        <v>48.833463106716465</v>
      </c>
      <c r="Q56" s="20">
        <f t="shared" si="53"/>
        <v>426.17639891086469</v>
      </c>
      <c r="R56" s="59">
        <f t="shared" si="0"/>
        <v>719.50973224419795</v>
      </c>
      <c r="S56" s="59">
        <f ca="1">AVERAGE(OFFSET($R$3,0,0,'Données projet'!$E$9+1,1))-AVERAGE(OFFSET($H$3,0,0,'Données projet'!$E$9+1,1))</f>
        <v>381.72225529388083</v>
      </c>
      <c r="T56" s="59">
        <f t="shared" si="34"/>
        <v>360.05900046417361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40.844600445052315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40.844600445052315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304.99999999999994</v>
      </c>
      <c r="AJ56" s="13">
        <f>AI56*VLOOKUP('Données projet'!$B$10,Paramètres!$A$1:$I$89,3,0)*VLOOKUP('Données projet'!$B$10,Paramètres!$A$1:$I$89,5,0)</f>
        <v>275.96399999999994</v>
      </c>
      <c r="AK56" s="13">
        <f t="shared" si="35"/>
        <v>66.113366665488911</v>
      </c>
      <c r="AL56" s="20">
        <f t="shared" si="4"/>
        <v>595.7847469423931</v>
      </c>
      <c r="AM56" s="59">
        <f t="shared" si="5"/>
        <v>889.11808027572647</v>
      </c>
      <c r="AN56" s="59">
        <f ca="1">AVERAGE(OFFSET($AM$3,0,0,'Données projet'!$E$10+1,1))-AVERAGE(OFFSET($H$3,0,0,'Données projet'!$E$10+1,1))</f>
        <v>366.43676005661194</v>
      </c>
      <c r="AO56" s="59">
        <f t="shared" si="36"/>
        <v>513.80016421153414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5.3072370401662283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5.3072370401662283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25.705000000000002</v>
      </c>
      <c r="BD56" s="12">
        <f>IF('Données projet'!$A$88&gt;35,BD55+BC56-BL55,IF(A56&lt;'Données projet'!$A$88,$BA$205^A56,IF(A56='Données projet'!$A$88,'Données projet'!$B$88,BD55+BC56-BL55)))</f>
        <v>682.90500000000031</v>
      </c>
      <c r="BE56" s="13">
        <f>BD56*VLOOKUP('Données projet'!$B$11,Paramètres!$A$1:$I$89,3,0)*VLOOKUP('Données projet'!$B$11,Paramètres!$A$1:$I$89,5,0)</f>
        <v>301.84401000000014</v>
      </c>
      <c r="BF56" s="13">
        <f t="shared" si="37"/>
        <v>71.562900823537973</v>
      </c>
      <c r="BG56" s="20">
        <f t="shared" si="7"/>
        <v>650.35036968432894</v>
      </c>
      <c r="BH56" s="59">
        <f t="shared" si="8"/>
        <v>943.68370301766231</v>
      </c>
      <c r="BI56" s="59">
        <f ca="1">AVERAGE(OFFSET($BH$3,0,0,'Données projet'!$E$11+1,1))-AVERAGE(OFFSET($H$3,0,0,'Données projet'!$E$11+1,1))</f>
        <v>328.58609979635901</v>
      </c>
      <c r="BJ56" s="59">
        <f t="shared" si="38"/>
        <v>432.3494365423407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73.044910111718067</v>
      </c>
      <c r="BQ56" s="21">
        <f>EXP(-LN(2)/25)*BQ55+(1-EXP(-LN(2)/25))/(LN(2)/25)*Calculateur!BL56*Calculateur!BN56*VLOOKUP('Données projet'!$B$11,Paramètres!$A$1:$I$89,3,0)*0.475*44/12</f>
        <v>21.133271813608708</v>
      </c>
      <c r="BR56" s="21">
        <f>EXP(-LN(2)/2)*BR55+(1-EXP(-LN(2)/2))/(LN(2)/2)*BL56*BO56*VLOOKUP('Données projet'!$B$11,Paramètres!$A$1:$I$89,3,0)*0.475*44/12</f>
        <v>2.019996366703918E-4</v>
      </c>
      <c r="BS56" s="22">
        <f t="shared" si="9"/>
        <v>94.178383924963455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12.271428571428576</v>
      </c>
      <c r="BY56" s="12">
        <f>IF('Données projet'!$A$114&gt;35,BY55+BX56-CG55,IF(A56&lt;'Données projet'!$A$114,$BV$205^A56,IF(A56='Données projet'!$A$114,'Données projet'!$B$114,BY55+BX56-CG55)))</f>
        <v>253.12714285714299</v>
      </c>
      <c r="BZ56" s="13">
        <f>BY56*VLOOKUP('Données projet'!$B$12,Paramètres!$A$1:$I$89,3,0)*VLOOKUP('Données projet'!$B$12,Paramètres!$A$1:$I$89,5,0)</f>
        <v>240.87578914285729</v>
      </c>
      <c r="CA56" s="13">
        <f t="shared" si="39"/>
        <v>58.627920818237712</v>
      </c>
      <c r="CB56" s="20">
        <f t="shared" si="10"/>
        <v>521.63562818224045</v>
      </c>
      <c r="CC56" s="59">
        <f t="shared" si="11"/>
        <v>814.96896151557371</v>
      </c>
      <c r="CD56" s="59">
        <f ca="1">AVERAGE(OFFSET($CC$3,0,0,'Données projet'!$E$12+1,1))-AVERAGE(OFFSET($H$3,0,0,'Données projet'!$E$12+1,1))</f>
        <v>555.3092253965317</v>
      </c>
      <c r="CE56" s="59">
        <f t="shared" si="40"/>
        <v>292.20785523952651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63.986623241880572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63.986623241880572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6.6</v>
      </c>
      <c r="CT56" s="12">
        <f>IF('Données projet'!$A$140&gt;35,CT55+CS56-DB55,IF(A56&lt;'Données projet'!$A$140,$CQ$205^A56,IF(A56='Données projet'!$A$140,'Données projet'!$B$140,CT55+CS56-DB55)))</f>
        <v>204.80000000000004</v>
      </c>
      <c r="CU56" s="17">
        <f>CT56*VLOOKUP('Données projet'!$B$13,Paramètres!$A$1:$I$89,3,0)*VLOOKUP('Données projet'!$B$13,Paramètres!$A$1:$I$89,5,0)</f>
        <v>130.99008000000003</v>
      </c>
      <c r="CV56" s="13">
        <f t="shared" si="41"/>
        <v>34.225036630826814</v>
      </c>
      <c r="CW56" s="20">
        <f t="shared" si="13"/>
        <v>287.74966146535672</v>
      </c>
      <c r="CX56" s="59">
        <f t="shared" si="14"/>
        <v>581.08299479869004</v>
      </c>
      <c r="CY56" s="59">
        <f ca="1">AVERAGE(OFFSET($CX$3,0,0,'Données projet'!$E$13+1,1))-AVERAGE(OFFSET($H$3,0,0,'Données projet'!$E$13+1,1))</f>
        <v>269.44168853803717</v>
      </c>
      <c r="CZ56" s="59">
        <f t="shared" si="42"/>
        <v>247.65158389074043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25.715706054674744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25.715706054674744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6">
        <f t="shared" si="1"/>
        <v>256.66666666666669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7.4</v>
      </c>
      <c r="N57" s="13">
        <f>IF('Données projet'!$A$36&gt;35,N56+M57-V56,IF(A57&lt;'Données projet'!$A$36,$K$205^A57,IF(A57='Données projet'!$A$36,'Données projet'!$B$36,N56+M57-V56)))</f>
        <v>231.60000000000011</v>
      </c>
      <c r="O57" s="13">
        <f>N57*VLOOKUP('Données projet'!$B$9,Paramètres!$A$1:$I$89,3,0)*VLOOKUP('Données projet'!$B$9,Paramètres!$A$1:$I$89,5,0)</f>
        <v>202.32576000000014</v>
      </c>
      <c r="P57" s="13">
        <f t="shared" si="33"/>
        <v>50.254954935552938</v>
      </c>
      <c r="Q57" s="20">
        <f t="shared" si="53"/>
        <v>439.91141184608824</v>
      </c>
      <c r="R57" s="59">
        <f t="shared" si="0"/>
        <v>733.24474517942156</v>
      </c>
      <c r="S57" s="59">
        <f ca="1">AVERAGE(OFFSET($R$3,0,0,'Données projet'!$E$9+1,1))-AVERAGE(OFFSET($H$3,0,0,'Données projet'!$E$9+1,1))</f>
        <v>381.72225529388083</v>
      </c>
      <c r="T57" s="59">
        <f t="shared" si="34"/>
        <v>360.05900046417361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40.043662743071181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40.043662743071181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304.99999999999994</v>
      </c>
      <c r="AJ57" s="13">
        <f>AI57*VLOOKUP('Données projet'!$B$10,Paramètres!$A$1:$I$89,3,0)*VLOOKUP('Données projet'!$B$10,Paramètres!$A$1:$I$89,5,0)</f>
        <v>275.96399999999994</v>
      </c>
      <c r="AK57" s="13">
        <f t="shared" si="35"/>
        <v>66.113366665488911</v>
      </c>
      <c r="AL57" s="20">
        <f t="shared" si="4"/>
        <v>595.7847469423931</v>
      </c>
      <c r="AM57" s="59">
        <f t="shared" si="5"/>
        <v>889.11808027572647</v>
      </c>
      <c r="AN57" s="59">
        <f ca="1">AVERAGE(OFFSET($AM$3,0,0,'Données projet'!$E$10+1,1))-AVERAGE(OFFSET($H$3,0,0,'Données projet'!$E$10+1,1))</f>
        <v>366.43676005661194</v>
      </c>
      <c r="AO57" s="59">
        <f t="shared" si="36"/>
        <v>513.80016421153414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5.2031653589035267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5.2031653589035267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>
        <f>VLOOKUP(A57,'Données projet'!$A$87:$I$107,2,0)</f>
        <v>708.61</v>
      </c>
      <c r="BB57" s="12">
        <f>VLOOKUP(A57,'Données projet'!$A$87:$I$107,9,0)</f>
        <v>25.705000000000002</v>
      </c>
      <c r="BC57" s="12">
        <f t="array" ref="BC57">INDEX(BB:BB,MIN(IF(ISNUMBER(BB57:BB253),ROW(BB57:BB253),"")))</f>
        <v>25.705000000000002</v>
      </c>
      <c r="BD57" s="12">
        <f>IF('Données projet'!$A$88&gt;35,BD56+BC57-BL56,IF(A57&lt;'Données projet'!$A$88,$BA$205^A57,IF(A57='Données projet'!$A$88,'Données projet'!$B$88,BD56+BC57-BL56)))</f>
        <v>708.61000000000035</v>
      </c>
      <c r="BE57" s="13">
        <f>BD57*VLOOKUP('Données projet'!$B$11,Paramètres!$A$1:$I$89,3,0)*VLOOKUP('Données projet'!$B$11,Paramètres!$A$1:$I$89,5,0)</f>
        <v>313.20562000000018</v>
      </c>
      <c r="BF57" s="13">
        <f t="shared" si="37"/>
        <v>73.937889855682343</v>
      </c>
      <c r="BG57" s="20">
        <f t="shared" si="7"/>
        <v>674.27494633198023</v>
      </c>
      <c r="BH57" s="59">
        <f t="shared" si="8"/>
        <v>967.6082796653136</v>
      </c>
      <c r="BI57" s="59">
        <f ca="1">AVERAGE(OFFSET($BH$3,0,0,'Données projet'!$E$11+1,1))-AVERAGE(OFFSET($H$3,0,0,'Données projet'!$E$11+1,1))</f>
        <v>328.58609979635901</v>
      </c>
      <c r="BJ57" s="59">
        <f t="shared" si="38"/>
        <v>432.3494365423407</v>
      </c>
      <c r="BK57" s="15">
        <f>IF(ISNA(VLOOKUP(A57,'Données projet'!$A$87:$I$107,3,0)),0,VLOOKUP(A57,'Données projet'!$A$87:$I$107,3,0))</f>
        <v>7</v>
      </c>
      <c r="BL57" s="15">
        <f>IF(ISNA(VLOOKUP(A57,'Données projet'!$A$87:$I$107,4,0)),0,VLOOKUP(A57,'Données projet'!$A$87:$I$107,4,0))</f>
        <v>707.75</v>
      </c>
      <c r="BM57" s="16">
        <f>IF(ISNA(VLOOKUP(A57,'Données projet'!$A$87:$I$107,5,0)),0%,VLOOKUP(A57,'Données projet'!$A$87:$I$107,5,0)*VLOOKUP('Données projet'!$B$11,Paramètres!$A$1:$I$89,7,0))</f>
        <v>0.55000000000000004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299.8532979577293</v>
      </c>
      <c r="BQ57" s="21">
        <f>EXP(-LN(2)/25)*BQ56+(1-EXP(-LN(2)/25))/(LN(2)/25)*Calculateur!BL57*Calculateur!BN57*VLOOKUP('Données projet'!$B$11,Paramètres!$A$1:$I$89,3,0)*0.475*44/12</f>
        <v>20.555381384515115</v>
      </c>
      <c r="BR57" s="21">
        <f>EXP(-LN(2)/2)*BR56+(1-EXP(-LN(2)/2))/(LN(2)/2)*BL57*BO57*VLOOKUP('Données projet'!$B$11,Paramètres!$A$1:$I$89,3,0)*0.475*44/12</f>
        <v>1.4283531288685283E-4</v>
      </c>
      <c r="BS57" s="22">
        <f t="shared" si="9"/>
        <v>320.40882217755728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12.271428571428576</v>
      </c>
      <c r="BY57" s="12">
        <f>IF('Données projet'!$A$114&gt;35,BY56+BX57-CG56,IF(A57&lt;'Données projet'!$A$114,$BV$205^A57,IF(A57='Données projet'!$A$114,'Données projet'!$B$114,BY56+BX57-CG56)))</f>
        <v>265.39857142857159</v>
      </c>
      <c r="BZ57" s="13">
        <f>BY57*VLOOKUP('Données projet'!$B$12,Paramètres!$A$1:$I$89,3,0)*VLOOKUP('Données projet'!$B$12,Paramètres!$A$1:$I$89,5,0)</f>
        <v>252.55328057142873</v>
      </c>
      <c r="CA57" s="13">
        <f t="shared" si="39"/>
        <v>61.132363698497379</v>
      </c>
      <c r="CB57" s="20">
        <f t="shared" si="10"/>
        <v>546.335830436788</v>
      </c>
      <c r="CC57" s="59">
        <f t="shared" si="11"/>
        <v>839.66916377012126</v>
      </c>
      <c r="CD57" s="59">
        <f ca="1">AVERAGE(OFFSET($CC$3,0,0,'Données projet'!$E$12+1,1))-AVERAGE(OFFSET($H$3,0,0,'Données projet'!$E$12+1,1))</f>
        <v>555.3092253965317</v>
      </c>
      <c r="CE57" s="59">
        <f t="shared" si="40"/>
        <v>292.20785523952651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62.731884588093777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62.731884588093777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6.6</v>
      </c>
      <c r="CT57" s="12">
        <f>IF('Données projet'!$A$140&gt;35,CT56+CS57-DB56,IF(A57&lt;'Données projet'!$A$140,$CQ$205^A57,IF(A57='Données projet'!$A$140,'Données projet'!$B$140,CT56+CS57-DB56)))</f>
        <v>211.40000000000003</v>
      </c>
      <c r="CU57" s="17">
        <f>CT57*VLOOKUP('Données projet'!$B$13,Paramètres!$A$1:$I$89,3,0)*VLOOKUP('Données projet'!$B$13,Paramètres!$A$1:$I$89,5,0)</f>
        <v>135.21144000000001</v>
      </c>
      <c r="CV57" s="13">
        <f t="shared" si="41"/>
        <v>35.197801580549793</v>
      </c>
      <c r="CW57" s="20">
        <f t="shared" si="13"/>
        <v>296.7960957527909</v>
      </c>
      <c r="CX57" s="59">
        <f t="shared" si="14"/>
        <v>590.12942908612422</v>
      </c>
      <c r="CY57" s="59">
        <f ca="1">AVERAGE(OFFSET($CX$3,0,0,'Données projet'!$E$13+1,1))-AVERAGE(OFFSET($H$3,0,0,'Données projet'!$E$13+1,1))</f>
        <v>269.44168853803717</v>
      </c>
      <c r="CZ57" s="59">
        <f t="shared" si="42"/>
        <v>247.65158389074043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25.211436743974499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25.211436743974499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6">
        <f t="shared" si="1"/>
        <v>256.66666666666669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239</v>
      </c>
      <c r="L58" s="12">
        <f>VLOOKUP(A58,'Données projet'!$A$35:$I$55,9,0)</f>
        <v>7.4</v>
      </c>
      <c r="M58" s="12">
        <f t="array" ref="M58">INDEX(L:L,MIN(IF(ISNUMBER(L58:L254),ROW(L58:L254),"")))</f>
        <v>7.4</v>
      </c>
      <c r="N58" s="13">
        <f>IF('Données projet'!$A$36&gt;35,N57+M58-V57,IF(A58&lt;'Données projet'!$A$36,$K$205^A58,IF(A58='Données projet'!$A$36,'Données projet'!$B$36,N57+M58-V57)))</f>
        <v>239.00000000000011</v>
      </c>
      <c r="O58" s="13">
        <f>N58*VLOOKUP('Données projet'!$B$9,Paramètres!$A$1:$I$89,3,0)*VLOOKUP('Données projet'!$B$9,Paramètres!$A$1:$I$89,5,0)</f>
        <v>208.79040000000015</v>
      </c>
      <c r="P58" s="13">
        <f t="shared" si="33"/>
        <v>51.671168863475195</v>
      </c>
      <c r="Q58" s="20">
        <f t="shared" si="53"/>
        <v>453.63723243721955</v>
      </c>
      <c r="R58" s="59">
        <f t="shared" si="0"/>
        <v>746.97056577055287</v>
      </c>
      <c r="S58" s="59">
        <f ca="1">AVERAGE(OFFSET($R$3,0,0,'Données projet'!$E$9+1,1))-AVERAGE(OFFSET($H$3,0,0,'Données projet'!$E$9+1,1))</f>
        <v>381.72225529388083</v>
      </c>
      <c r="T58" s="59">
        <f t="shared" si="34"/>
        <v>360.05900046417361</v>
      </c>
      <c r="U58" s="15">
        <f>IF(ISNA(VLOOKUP(A58,'Données projet'!$A$35:$I$55,3,0)),0,VLOOKUP(A58,'Données projet'!$A$35:$I$55,3,0))</f>
        <v>9</v>
      </c>
      <c r="V58" s="15">
        <f>IF(ISNA(VLOOKUP(A58,'Données projet'!$A$35:$I$55,4,0)),0,VLOOKUP(A58,'Données projet'!$A$35:$I$55,4,0))</f>
        <v>26</v>
      </c>
      <c r="W58" s="16">
        <f>IF(ISNA(VLOOKUP(A58,'Données projet'!$A$35:$I$55,5,0)),0%,VLOOKUP(A58,'Données projet'!$A$35:$I$55,5,0)*VLOOKUP('Données projet'!$B$9,Paramètres!$A$1:$I$89,7,0))</f>
        <v>0.43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50.055392106302776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50.055392106302776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304.99999999999994</v>
      </c>
      <c r="AJ58" s="13">
        <f>AI58*VLOOKUP('Données projet'!$B$10,Paramètres!$A$1:$I$89,3,0)*VLOOKUP('Données projet'!$B$10,Paramètres!$A$1:$I$89,5,0)</f>
        <v>275.96399999999994</v>
      </c>
      <c r="AK58" s="13">
        <f t="shared" si="35"/>
        <v>66.113366665488911</v>
      </c>
      <c r="AL58" s="20">
        <f t="shared" si="4"/>
        <v>595.7847469423931</v>
      </c>
      <c r="AM58" s="59">
        <f t="shared" si="5"/>
        <v>889.11808027572647</v>
      </c>
      <c r="AN58" s="59">
        <f ca="1">AVERAGE(OFFSET($AM$3,0,0,'Données projet'!$E$10+1,1))-AVERAGE(OFFSET($H$3,0,0,'Données projet'!$E$10+1,1))</f>
        <v>366.43676005661194</v>
      </c>
      <c r="AO58" s="59">
        <f t="shared" si="36"/>
        <v>513.80016421153414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5.1011344598329291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5.1011344598329291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0.8600000000003547</v>
      </c>
      <c r="BE58" s="13">
        <f>BD58*VLOOKUP('Données projet'!$B$11,Paramètres!$A$1:$I$89,3,0)*VLOOKUP('Données projet'!$B$11,Paramètres!$A$1:$I$89,5,0)</f>
        <v>0.38012000000015683</v>
      </c>
      <c r="BF58" s="13">
        <f t="shared" si="37"/>
        <v>0.19605142963512551</v>
      </c>
      <c r="BG58" s="20">
        <f t="shared" si="7"/>
        <v>1.0034985732814501</v>
      </c>
      <c r="BH58" s="59">
        <f t="shared" si="8"/>
        <v>294.33683190661475</v>
      </c>
      <c r="BI58" s="59">
        <f ca="1">AVERAGE(OFFSET($BH$3,0,0,'Données projet'!$E$11+1,1))-AVERAGE(OFFSET($H$3,0,0,'Données projet'!$E$11+1,1))</f>
        <v>328.58609979635901</v>
      </c>
      <c r="BJ58" s="59">
        <f t="shared" si="38"/>
        <v>432.3494365423407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293.97335767723087</v>
      </c>
      <c r="BQ58" s="21">
        <f>EXP(-LN(2)/25)*BQ57+(1-EXP(-LN(2)/25))/(LN(2)/25)*Calculateur!BL58*Calculateur!BN58*VLOOKUP('Données projet'!$B$11,Paramètres!$A$1:$I$89,3,0)*0.475*44/12</f>
        <v>19.993293399595021</v>
      </c>
      <c r="BR58" s="21">
        <f>EXP(-LN(2)/2)*BR57+(1-EXP(-LN(2)/2))/(LN(2)/2)*BL58*BO58*VLOOKUP('Données projet'!$B$11,Paramètres!$A$1:$I$89,3,0)*0.475*44/12</f>
        <v>1.009998183351959E-4</v>
      </c>
      <c r="BS58" s="22">
        <f t="shared" si="9"/>
        <v>313.96675207664424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277.67</v>
      </c>
      <c r="BW58" s="12">
        <f>VLOOKUP(A58,'Données projet'!$A$113:$I$133,9,0)</f>
        <v>12.271428571428576</v>
      </c>
      <c r="BX58" s="12">
        <f t="array" ref="BX58">INDEX(BW:BW,MIN(IF(ISNUMBER(BW58:BW254),ROW(BW58:BW254),"")))</f>
        <v>12.271428571428576</v>
      </c>
      <c r="BY58" s="12">
        <f>IF('Données projet'!$A$114&gt;35,BY57+BX58-CG57,IF(A58&lt;'Données projet'!$A$114,$BV$205^A58,IF(A58='Données projet'!$A$114,'Données projet'!$B$114,BY57+BX58-CG57)))</f>
        <v>277.67000000000019</v>
      </c>
      <c r="BZ58" s="13">
        <f>BY58*VLOOKUP('Données projet'!$B$12,Paramètres!$A$1:$I$89,3,0)*VLOOKUP('Données projet'!$B$12,Paramètres!$A$1:$I$89,5,0)</f>
        <v>264.23077200000017</v>
      </c>
      <c r="CA58" s="13">
        <f t="shared" si="39"/>
        <v>63.623358634313007</v>
      </c>
      <c r="CB58" s="20">
        <f t="shared" si="10"/>
        <v>571.0126108547621</v>
      </c>
      <c r="CC58" s="59">
        <f t="shared" si="11"/>
        <v>864.34594418809547</v>
      </c>
      <c r="CD58" s="59">
        <f ca="1">AVERAGE(OFFSET($CC$3,0,0,'Données projet'!$E$12+1,1))-AVERAGE(OFFSET($H$3,0,0,'Données projet'!$E$12+1,1))</f>
        <v>555.3092253965317</v>
      </c>
      <c r="CE58" s="59">
        <f t="shared" si="40"/>
        <v>292.20785523952651</v>
      </c>
      <c r="CF58" s="15">
        <f>IF(ISNA(VLOOKUP(A58,'Données projet'!$A$113:$I$133,3,0)),0,VLOOKUP(A58,'Données projet'!$A$113:$I$133,3,0))</f>
        <v>4</v>
      </c>
      <c r="CG58" s="15">
        <f>IF(ISNA(VLOOKUP(A58,'Données projet'!$A$113:$I$133,4,0)),0,VLOOKUP(A58,'Données projet'!$A$113:$I$133,4,0))</f>
        <v>58.24</v>
      </c>
      <c r="CH58" s="16">
        <f>IF(ISNA(VLOOKUP(A58,'Données projet'!$A$113:$I$133,5,0)),0%,VLOOKUP(A58,'Données projet'!$A$113:$I$133,5,0)*VLOOKUP('Données projet'!$B$12,Paramètres!$A$1:$I$89,7,0))</f>
        <v>0.43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87.84633583757028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87.84633583757028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218</v>
      </c>
      <c r="CR58" s="12">
        <f>VLOOKUP(A58,'Données projet'!$A$139:$I$159,9,0)</f>
        <v>6.6</v>
      </c>
      <c r="CS58" s="12">
        <f t="array" ref="CS58">INDEX(CR:CR,MIN(IF(ISNUMBER(CR58:CR254),ROW(CR58:CR254),"")))</f>
        <v>6.6</v>
      </c>
      <c r="CT58" s="12">
        <f>IF('Données projet'!$A$140&gt;35,CT57+CS58-DB57,IF(A58&lt;'Données projet'!$A$140,$CQ$205^A58,IF(A58='Données projet'!$A$140,'Données projet'!$B$140,CT57+CS58-DB57)))</f>
        <v>218.00000000000003</v>
      </c>
      <c r="CU58" s="17">
        <f>CT58*VLOOKUP('Données projet'!$B$13,Paramètres!$A$1:$I$89,3,0)*VLOOKUP('Données projet'!$B$13,Paramètres!$A$1:$I$89,5,0)</f>
        <v>139.43280000000001</v>
      </c>
      <c r="CV58" s="13">
        <f t="shared" si="41"/>
        <v>36.167037255215789</v>
      </c>
      <c r="CW58" s="20">
        <f t="shared" si="13"/>
        <v>305.83638321950082</v>
      </c>
      <c r="CX58" s="59">
        <f t="shared" si="14"/>
        <v>599.16971655283419</v>
      </c>
      <c r="CY58" s="59">
        <f ca="1">AVERAGE(OFFSET($CX$3,0,0,'Données projet'!$E$13+1,1))-AVERAGE(OFFSET($H$3,0,0,'Données projet'!$E$13+1,1))</f>
        <v>269.44168853803717</v>
      </c>
      <c r="CZ58" s="59">
        <f t="shared" si="42"/>
        <v>247.65158389074043</v>
      </c>
      <c r="DA58" s="15">
        <f>IF(ISNA(VLOOKUP(A58,'Données projet'!$A$139:$I$159,3,0)),0,VLOOKUP(A58,'Données projet'!$A$139:$I$159,3,0))</f>
        <v>8</v>
      </c>
      <c r="DB58" s="15">
        <f>IF(ISNA(VLOOKUP(A58,'Données projet'!$A$139:$I$159,4,0)),0,VLOOKUP(A58,'Données projet'!$A$139:$I$159,4,0))</f>
        <v>23</v>
      </c>
      <c r="DC58" s="16">
        <f>IF(ISNA(VLOOKUP(A58,'Données projet'!$A$139:$I$159,5,0)),0%,VLOOKUP(A58,'Données projet'!$A$139:$I$159,5,0)*VLOOKUP('Données projet'!$B$13,Paramètres!$A$1:$I$89,7,0))</f>
        <v>0.43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31.709867920353503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31.709867920353503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6">
        <f t="shared" si="1"/>
        <v>256.66666666666669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6.6</v>
      </c>
      <c r="N59" s="13">
        <f>IF('Données projet'!$A$36&gt;35,N58+M59-V58,IF(A59&lt;'Données projet'!$A$36,$K$205^A59,IF(A59='Données projet'!$A$36,'Données projet'!$B$36,N58+M59-V58)))</f>
        <v>219.60000000000011</v>
      </c>
      <c r="O59" s="13">
        <f>N59*VLOOKUP('Données projet'!$B$9,Paramètres!$A$1:$I$89,3,0)*VLOOKUP('Données projet'!$B$9,Paramètres!$A$1:$I$89,5,0)</f>
        <v>191.84256000000011</v>
      </c>
      <c r="P59" s="13">
        <f t="shared" si="33"/>
        <v>47.947087613384845</v>
      </c>
      <c r="Q59" s="20">
        <f t="shared" si="53"/>
        <v>417.6336362599788</v>
      </c>
      <c r="R59" s="59">
        <f t="shared" si="0"/>
        <v>710.96696959331211</v>
      </c>
      <c r="S59" s="59">
        <f ca="1">AVERAGE(OFFSET($R$3,0,0,'Données projet'!$E$9+1,1))-AVERAGE(OFFSET($H$3,0,0,'Données projet'!$E$9+1,1))</f>
        <v>381.72225529388083</v>
      </c>
      <c r="T59" s="59">
        <f t="shared" si="34"/>
        <v>360.05900046417361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49.073836397872697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49.073836397872697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304.99999999999994</v>
      </c>
      <c r="AJ59" s="13">
        <f>AI59*VLOOKUP('Données projet'!$B$10,Paramètres!$A$1:$I$89,3,0)*VLOOKUP('Données projet'!$B$10,Paramètres!$A$1:$I$89,5,0)</f>
        <v>275.96399999999994</v>
      </c>
      <c r="AK59" s="13">
        <f t="shared" si="35"/>
        <v>66.113366665488911</v>
      </c>
      <c r="AL59" s="20">
        <f t="shared" si="4"/>
        <v>595.7847469423931</v>
      </c>
      <c r="AM59" s="59">
        <f t="shared" si="5"/>
        <v>889.11808027572647</v>
      </c>
      <c r="AN59" s="59">
        <f ca="1">AVERAGE(OFFSET($AM$3,0,0,'Données projet'!$E$10+1,1))-AVERAGE(OFFSET($H$3,0,0,'Données projet'!$E$10+1,1))</f>
        <v>366.43676005661194</v>
      </c>
      <c r="AO59" s="59">
        <f t="shared" si="36"/>
        <v>513.80016421153414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5.0011043244604023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5.0011043244604023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0.8600000000003547</v>
      </c>
      <c r="BE59" s="13">
        <f>BD59*VLOOKUP('Données projet'!$B$11,Paramètres!$A$1:$I$89,3,0)*VLOOKUP('Données projet'!$B$11,Paramètres!$A$1:$I$89,5,0)</f>
        <v>0.38012000000015683</v>
      </c>
      <c r="BF59" s="13">
        <f t="shared" si="37"/>
        <v>0.19605142963512551</v>
      </c>
      <c r="BG59" s="20">
        <f t="shared" si="7"/>
        <v>1.0034985732814501</v>
      </c>
      <c r="BH59" s="59">
        <f t="shared" si="8"/>
        <v>294.33683190661475</v>
      </c>
      <c r="BI59" s="59">
        <f ca="1">AVERAGE(OFFSET($BH$3,0,0,'Données projet'!$E$11+1,1))-AVERAGE(OFFSET($H$3,0,0,'Données projet'!$E$11+1,1))</f>
        <v>328.58609979635901</v>
      </c>
      <c r="BJ59" s="59">
        <f t="shared" si="38"/>
        <v>432.3494365423407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288.20871943922356</v>
      </c>
      <c r="BQ59" s="21">
        <f>EXP(-LN(2)/25)*BQ58+(1-EXP(-LN(2)/25))/(LN(2)/25)*Calculateur!BL59*Calculateur!BN59*VLOOKUP('Données projet'!$B$11,Paramètres!$A$1:$I$89,3,0)*0.475*44/12</f>
        <v>19.44657574018149</v>
      </c>
      <c r="BR59" s="21">
        <f>EXP(-LN(2)/2)*BR58+(1-EXP(-LN(2)/2))/(LN(2)/2)*BL59*BO59*VLOOKUP('Données projet'!$B$11,Paramètres!$A$1:$I$89,3,0)*0.475*44/12</f>
        <v>7.1417656443426415E-5</v>
      </c>
      <c r="BS59" s="22">
        <f t="shared" si="9"/>
        <v>307.65536659706152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11.644999999999996</v>
      </c>
      <c r="BY59" s="12">
        <f>IF('Données projet'!$A$114&gt;35,BY58+BX59-CG58,IF(A59&lt;'Données projet'!$A$114,$BV$205^A59,IF(A59='Données projet'!$A$114,'Données projet'!$B$114,BY58+BX59-CG58)))</f>
        <v>231.07500000000016</v>
      </c>
      <c r="BZ59" s="13">
        <f>BY59*VLOOKUP('Données projet'!$B$12,Paramètres!$A$1:$I$89,3,0)*VLOOKUP('Données projet'!$B$12,Paramètres!$A$1:$I$89,5,0)</f>
        <v>219.89097000000012</v>
      </c>
      <c r="CA59" s="13">
        <f t="shared" si="39"/>
        <v>54.091187905160375</v>
      </c>
      <c r="CB59" s="20">
        <f t="shared" si="10"/>
        <v>477.18559168482119</v>
      </c>
      <c r="CC59" s="59">
        <f t="shared" si="11"/>
        <v>770.5189250181545</v>
      </c>
      <c r="CD59" s="59">
        <f ca="1">AVERAGE(OFFSET($CC$3,0,0,'Données projet'!$E$12+1,1))-AVERAGE(OFFSET($H$3,0,0,'Données projet'!$E$12+1,1))</f>
        <v>555.3092253965317</v>
      </c>
      <c r="CE59" s="59">
        <f t="shared" si="40"/>
        <v>292.20785523952651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86.12372277276971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86.12372277276971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6</v>
      </c>
      <c r="CT59" s="12">
        <f>IF('Données projet'!$A$140&gt;35,CT58+CS59-DB58,IF(A59&lt;'Données projet'!$A$140,$CQ$205^A59,IF(A59='Données projet'!$A$140,'Données projet'!$B$140,CT58+CS59-DB58)))</f>
        <v>201.00000000000003</v>
      </c>
      <c r="CU59" s="17">
        <f>CT59*VLOOKUP('Données projet'!$B$13,Paramètres!$A$1:$I$89,3,0)*VLOOKUP('Données projet'!$B$13,Paramètres!$A$1:$I$89,5,0)</f>
        <v>128.55960000000002</v>
      </c>
      <c r="CV59" s="13">
        <f t="shared" si="41"/>
        <v>33.663309663241684</v>
      </c>
      <c r="CW59" s="20">
        <f t="shared" si="13"/>
        <v>282.53823433014594</v>
      </c>
      <c r="CX59" s="59">
        <f t="shared" si="14"/>
        <v>575.87156766347925</v>
      </c>
      <c r="CY59" s="59">
        <f ca="1">AVERAGE(OFFSET($CX$3,0,0,'Données projet'!$E$13+1,1))-AVERAGE(OFFSET($H$3,0,0,'Données projet'!$E$13+1,1))</f>
        <v>269.44168853803717</v>
      </c>
      <c r="CZ59" s="59">
        <f t="shared" si="42"/>
        <v>247.65158389074043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31.088056751545025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31.088056751545025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6">
        <f t="shared" si="1"/>
        <v>256.66666666666669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6.6</v>
      </c>
      <c r="N60" s="13">
        <f>IF('Données projet'!$A$36&gt;35,N59+M60-V59,IF(A60&lt;'Données projet'!$A$36,$K$205^A60,IF(A60='Données projet'!$A$36,'Données projet'!$B$36,N59+M60-V59)))</f>
        <v>226.2000000000001</v>
      </c>
      <c r="O60" s="13">
        <f>N60*VLOOKUP('Données projet'!$B$9,Paramètres!$A$1:$I$89,3,0)*VLOOKUP('Données projet'!$B$9,Paramètres!$A$1:$I$89,5,0)</f>
        <v>197.60832000000011</v>
      </c>
      <c r="P60" s="13">
        <f t="shared" si="33"/>
        <v>49.218181392381403</v>
      </c>
      <c r="Q60" s="20">
        <f t="shared" si="53"/>
        <v>429.88948992506448</v>
      </c>
      <c r="R60" s="59">
        <f t="shared" si="0"/>
        <v>723.22282325839774</v>
      </c>
      <c r="S60" s="59">
        <f ca="1">AVERAGE(OFFSET($R$3,0,0,'Données projet'!$E$9+1,1))-AVERAGE(OFFSET($H$3,0,0,'Données projet'!$E$9+1,1))</f>
        <v>381.72225529388083</v>
      </c>
      <c r="T60" s="59">
        <f t="shared" si="34"/>
        <v>360.05900046417361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48.11152839819507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48.11152839819507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304.99999999999994</v>
      </c>
      <c r="AJ60" s="13">
        <f>AI60*VLOOKUP('Données projet'!$B$10,Paramètres!$A$1:$I$89,3,0)*VLOOKUP('Données projet'!$B$10,Paramètres!$A$1:$I$89,5,0)</f>
        <v>275.96399999999994</v>
      </c>
      <c r="AK60" s="13">
        <f t="shared" si="35"/>
        <v>66.113366665488911</v>
      </c>
      <c r="AL60" s="20">
        <f t="shared" si="4"/>
        <v>595.7847469423931</v>
      </c>
      <c r="AM60" s="59">
        <f t="shared" si="5"/>
        <v>889.11808027572647</v>
      </c>
      <c r="AN60" s="59">
        <f ca="1">AVERAGE(OFFSET($AM$3,0,0,'Données projet'!$E$10+1,1))-AVERAGE(OFFSET($H$3,0,0,'Données projet'!$E$10+1,1))</f>
        <v>366.43676005661194</v>
      </c>
      <c r="AO60" s="59">
        <f t="shared" si="36"/>
        <v>513.80016421153414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4.9030357190301723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4.9030357190301723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0.8600000000003547</v>
      </c>
      <c r="BE60" s="13">
        <f>BD60*VLOOKUP('Données projet'!$B$11,Paramètres!$A$1:$I$89,3,0)*VLOOKUP('Données projet'!$B$11,Paramètres!$A$1:$I$89,5,0)</f>
        <v>0.38012000000015683</v>
      </c>
      <c r="BF60" s="13">
        <f t="shared" si="37"/>
        <v>0.19605142963512551</v>
      </c>
      <c r="BG60" s="20">
        <f t="shared" si="7"/>
        <v>1.0034985732814501</v>
      </c>
      <c r="BH60" s="59">
        <f t="shared" si="8"/>
        <v>294.33683190661475</v>
      </c>
      <c r="BI60" s="59">
        <f ca="1">AVERAGE(OFFSET($BH$3,0,0,'Données projet'!$E$11+1,1))-AVERAGE(OFFSET($H$3,0,0,'Données projet'!$E$11+1,1))</f>
        <v>328.58609979635901</v>
      </c>
      <c r="BJ60" s="59">
        <f t="shared" si="38"/>
        <v>432.3494365423407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282.55712224098141</v>
      </c>
      <c r="BQ60" s="21">
        <f>EXP(-LN(2)/25)*BQ59+(1-EXP(-LN(2)/25))/(LN(2)/25)*Calculateur!BL60*Calculateur!BN60*VLOOKUP('Données projet'!$B$11,Paramètres!$A$1:$I$89,3,0)*0.475*44/12</f>
        <v>18.914808103915256</v>
      </c>
      <c r="BR60" s="21">
        <f>EXP(-LN(2)/2)*BR59+(1-EXP(-LN(2)/2))/(LN(2)/2)*BL60*BO60*VLOOKUP('Données projet'!$B$11,Paramètres!$A$1:$I$89,3,0)*0.475*44/12</f>
        <v>5.0499909167597949E-5</v>
      </c>
      <c r="BS60" s="22">
        <f t="shared" si="9"/>
        <v>301.47198084480584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11.644999999999996</v>
      </c>
      <c r="BY60" s="12">
        <f>IF('Données projet'!$A$114&gt;35,BY59+BX60-CG59,IF(A60&lt;'Données projet'!$A$114,$BV$205^A60,IF(A60='Données projet'!$A$114,'Données projet'!$B$114,BY59+BX60-CG59)))</f>
        <v>242.72000000000014</v>
      </c>
      <c r="BZ60" s="13">
        <f>BY60*VLOOKUP('Données projet'!$B$12,Paramètres!$A$1:$I$89,3,0)*VLOOKUP('Données projet'!$B$12,Paramètres!$A$1:$I$89,5,0)</f>
        <v>230.97235200000014</v>
      </c>
      <c r="CA60" s="13">
        <f t="shared" si="39"/>
        <v>56.492875118057718</v>
      </c>
      <c r="CB60" s="20">
        <f t="shared" si="10"/>
        <v>500.66860389728407</v>
      </c>
      <c r="CC60" s="59">
        <f t="shared" si="11"/>
        <v>794.00193723061739</v>
      </c>
      <c r="CD60" s="59">
        <f ca="1">AVERAGE(OFFSET($CC$3,0,0,'Données projet'!$E$12+1,1))-AVERAGE(OFFSET($H$3,0,0,'Données projet'!$E$12+1,1))</f>
        <v>555.3092253965317</v>
      </c>
      <c r="CE60" s="59">
        <f t="shared" si="40"/>
        <v>292.20785523952651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84.434889099479648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84.434889099479648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6</v>
      </c>
      <c r="CT60" s="12">
        <f>IF('Données projet'!$A$140&gt;35,CT59+CS60-DB59,IF(A60&lt;'Données projet'!$A$140,$CQ$205^A60,IF(A60='Données projet'!$A$140,'Données projet'!$B$140,CT59+CS60-DB59)))</f>
        <v>207.00000000000003</v>
      </c>
      <c r="CU60" s="17">
        <f>CT60*VLOOKUP('Données projet'!$B$13,Paramètres!$A$1:$I$89,3,0)*VLOOKUP('Données projet'!$B$13,Paramètres!$A$1:$I$89,5,0)</f>
        <v>132.3972</v>
      </c>
      <c r="CV60" s="13">
        <f t="shared" si="41"/>
        <v>34.549691434742741</v>
      </c>
      <c r="CW60" s="20">
        <f t="shared" si="13"/>
        <v>290.76583591551019</v>
      </c>
      <c r="CX60" s="59">
        <f t="shared" si="14"/>
        <v>584.09916924884351</v>
      </c>
      <c r="CY60" s="59">
        <f ca="1">AVERAGE(OFFSET($CX$3,0,0,'Données projet'!$E$13+1,1))-AVERAGE(OFFSET($H$3,0,0,'Données projet'!$E$13+1,1))</f>
        <v>269.44168853803717</v>
      </c>
      <c r="CZ60" s="59">
        <f t="shared" si="42"/>
        <v>247.65158389074043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30.47843892048952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30.47843892048952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6">
        <f t="shared" si="1"/>
        <v>256.66666666666669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6.6</v>
      </c>
      <c r="N61" s="13">
        <f>IF('Données projet'!$A$36&gt;35,N60+M61-V60,IF(A61&lt;'Données projet'!$A$36,$K$205^A61,IF(A61='Données projet'!$A$36,'Données projet'!$B$36,N60+M61-V60)))</f>
        <v>232.8000000000001</v>
      </c>
      <c r="O61" s="13">
        <f>N61*VLOOKUP('Données projet'!$B$9,Paramètres!$A$1:$I$89,3,0)*VLOOKUP('Données projet'!$B$9,Paramètres!$A$1:$I$89,5,0)</f>
        <v>203.37408000000013</v>
      </c>
      <c r="P61" s="13">
        <f t="shared" si="33"/>
        <v>50.484964849140624</v>
      </c>
      <c r="Q61" s="20">
        <f t="shared" si="53"/>
        <v>442.1378364455868</v>
      </c>
      <c r="R61" s="59">
        <f t="shared" si="0"/>
        <v>735.47116977892006</v>
      </c>
      <c r="S61" s="59">
        <f ca="1">AVERAGE(OFFSET($R$3,0,0,'Données projet'!$E$9+1,1))-AVERAGE(OFFSET($H$3,0,0,'Données projet'!$E$9+1,1))</f>
        <v>381.72225529388083</v>
      </c>
      <c r="T61" s="59">
        <f t="shared" si="34"/>
        <v>360.05900046417361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47.168090671441199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47.168090671441199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304.99999999999994</v>
      </c>
      <c r="AJ61" s="13">
        <f>AI61*VLOOKUP('Données projet'!$B$10,Paramètres!$A$1:$I$89,3,0)*VLOOKUP('Données projet'!$B$10,Paramètres!$A$1:$I$89,5,0)</f>
        <v>275.96399999999994</v>
      </c>
      <c r="AK61" s="13">
        <f t="shared" si="35"/>
        <v>66.113366665488911</v>
      </c>
      <c r="AL61" s="20">
        <f t="shared" si="4"/>
        <v>595.7847469423931</v>
      </c>
      <c r="AM61" s="59">
        <f t="shared" si="5"/>
        <v>889.11808027572647</v>
      </c>
      <c r="AN61" s="59">
        <f ca="1">AVERAGE(OFFSET($AM$3,0,0,'Données projet'!$E$10+1,1))-AVERAGE(OFFSET($H$3,0,0,'Données projet'!$E$10+1,1))</f>
        <v>366.43676005661194</v>
      </c>
      <c r="AO61" s="59">
        <f t="shared" si="36"/>
        <v>513.80016421153414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4.8068901791364862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4.8068901791364862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0.8600000000003547</v>
      </c>
      <c r="BE61" s="13">
        <f>BD61*VLOOKUP('Données projet'!$B$11,Paramètres!$A$1:$I$89,3,0)*VLOOKUP('Données projet'!$B$11,Paramètres!$A$1:$I$89,5,0)</f>
        <v>0.38012000000015683</v>
      </c>
      <c r="BF61" s="13">
        <f t="shared" si="37"/>
        <v>0.19605142963512551</v>
      </c>
      <c r="BG61" s="20">
        <f t="shared" si="7"/>
        <v>1.0034985732814501</v>
      </c>
      <c r="BH61" s="59">
        <f t="shared" si="8"/>
        <v>294.33683190661475</v>
      </c>
      <c r="BI61" s="59">
        <f ca="1">AVERAGE(OFFSET($BH$3,0,0,'Données projet'!$E$11+1,1))-AVERAGE(OFFSET($H$3,0,0,'Données projet'!$E$11+1,1))</f>
        <v>328.58609979635901</v>
      </c>
      <c r="BJ61" s="59">
        <f t="shared" si="38"/>
        <v>432.3494365423407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277.01634941666288</v>
      </c>
      <c r="BQ61" s="21">
        <f>EXP(-LN(2)/25)*BQ60+(1-EXP(-LN(2)/25))/(LN(2)/25)*Calculateur!BL61*Calculateur!BN61*VLOOKUP('Données projet'!$B$11,Paramètres!$A$1:$I$89,3,0)*0.475*44/12</f>
        <v>18.397581681627166</v>
      </c>
      <c r="BR61" s="21">
        <f>EXP(-LN(2)/2)*BR60+(1-EXP(-LN(2)/2))/(LN(2)/2)*BL61*BO61*VLOOKUP('Données projet'!$B$11,Paramètres!$A$1:$I$89,3,0)*0.475*44/12</f>
        <v>3.5708828221713208E-5</v>
      </c>
      <c r="BS61" s="22">
        <f t="shared" si="9"/>
        <v>295.4139668071183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11.644999999999996</v>
      </c>
      <c r="BY61" s="12">
        <f>IF('Données projet'!$A$114&gt;35,BY60+BX61-CG60,IF(A61&lt;'Données projet'!$A$114,$BV$205^A61,IF(A61='Données projet'!$A$114,'Données projet'!$B$114,BY60+BX61-CG60)))</f>
        <v>254.36500000000012</v>
      </c>
      <c r="BZ61" s="13">
        <f>BY61*VLOOKUP('Données projet'!$B$12,Paramètres!$A$1:$I$89,3,0)*VLOOKUP('Données projet'!$B$12,Paramètres!$A$1:$I$89,5,0)</f>
        <v>242.05373400000011</v>
      </c>
      <c r="CA61" s="13">
        <f t="shared" si="39"/>
        <v>58.881181989313333</v>
      </c>
      <c r="CB61" s="20">
        <f t="shared" si="10"/>
        <v>524.1283120147209</v>
      </c>
      <c r="CC61" s="59">
        <f t="shared" si="11"/>
        <v>817.46164534805416</v>
      </c>
      <c r="CD61" s="59">
        <f ca="1">AVERAGE(OFFSET($CC$3,0,0,'Données projet'!$E$12+1,1))-AVERAGE(OFFSET($H$3,0,0,'Données projet'!$E$12+1,1))</f>
        <v>555.3092253965317</v>
      </c>
      <c r="CE61" s="59">
        <f t="shared" si="40"/>
        <v>292.20785523952651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82.779172424435984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82.779172424435984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6</v>
      </c>
      <c r="CT61" s="12">
        <f>IF('Données projet'!$A$140&gt;35,CT60+CS61-DB60,IF(A61&lt;'Données projet'!$A$140,$CQ$205^A61,IF(A61='Données projet'!$A$140,'Données projet'!$B$140,CT60+CS61-DB60)))</f>
        <v>213.00000000000003</v>
      </c>
      <c r="CU61" s="17">
        <f>CT61*VLOOKUP('Données projet'!$B$13,Paramètres!$A$1:$I$89,3,0)*VLOOKUP('Données projet'!$B$13,Paramètres!$A$1:$I$89,5,0)</f>
        <v>136.23480000000004</v>
      </c>
      <c r="CV61" s="13">
        <f t="shared" si="41"/>
        <v>35.433087228729853</v>
      </c>
      <c r="CW61" s="20">
        <f t="shared" si="13"/>
        <v>298.98823692337123</v>
      </c>
      <c r="CX61" s="59">
        <f t="shared" si="14"/>
        <v>592.32157025670449</v>
      </c>
      <c r="CY61" s="59">
        <f ca="1">AVERAGE(OFFSET($CX$3,0,0,'Données projet'!$E$13+1,1))-AVERAGE(OFFSET($H$3,0,0,'Données projet'!$E$13+1,1))</f>
        <v>269.44168853803717</v>
      </c>
      <c r="CZ61" s="59">
        <f t="shared" si="42"/>
        <v>247.65158389074043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29.88077532327085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29.88077532327085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6">
        <f t="shared" si="1"/>
        <v>256.66666666666669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6.6</v>
      </c>
      <c r="N62" s="13">
        <f>IF('Données projet'!$A$36&gt;35,N61+M62-V61,IF(A62&lt;'Données projet'!$A$36,$K$205^A62,IF(A62='Données projet'!$A$36,'Données projet'!$B$36,N61+M62-V61)))</f>
        <v>239.40000000000009</v>
      </c>
      <c r="O62" s="13">
        <f>N62*VLOOKUP('Données projet'!$B$9,Paramètres!$A$1:$I$89,3,0)*VLOOKUP('Données projet'!$B$9,Paramètres!$A$1:$I$89,5,0)</f>
        <v>209.13984000000008</v>
      </c>
      <c r="P62" s="13">
        <f t="shared" si="33"/>
        <v>51.747574219710266</v>
      </c>
      <c r="Q62" s="20">
        <f t="shared" si="53"/>
        <v>454.37891309932888</v>
      </c>
      <c r="R62" s="59">
        <f t="shared" si="0"/>
        <v>747.71224643266214</v>
      </c>
      <c r="S62" s="59">
        <f ca="1">AVERAGE(OFFSET($R$3,0,0,'Données projet'!$E$9+1,1))-AVERAGE(OFFSET($H$3,0,0,'Données projet'!$E$9+1,1))</f>
        <v>381.72225529388083</v>
      </c>
      <c r="T62" s="59">
        <f t="shared" si="34"/>
        <v>360.05900046417361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46.243153183068777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46.243153183068777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304.99999999999994</v>
      </c>
      <c r="AJ62" s="13">
        <f>AI62*VLOOKUP('Données projet'!$B$10,Paramètres!$A$1:$I$89,3,0)*VLOOKUP('Données projet'!$B$10,Paramètres!$A$1:$I$89,5,0)</f>
        <v>275.96399999999994</v>
      </c>
      <c r="AK62" s="13">
        <f t="shared" si="35"/>
        <v>66.113366665488911</v>
      </c>
      <c r="AL62" s="20">
        <f t="shared" si="4"/>
        <v>595.7847469423931</v>
      </c>
      <c r="AM62" s="59">
        <f t="shared" si="5"/>
        <v>889.11808027572647</v>
      </c>
      <c r="AN62" s="59">
        <f ca="1">AVERAGE(OFFSET($AM$3,0,0,'Données projet'!$E$10+1,1))-AVERAGE(OFFSET($H$3,0,0,'Données projet'!$E$10+1,1))</f>
        <v>366.43676005661194</v>
      </c>
      <c r="AO62" s="59">
        <f t="shared" si="36"/>
        <v>513.80016421153414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4.7126299946371262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4.7126299946371262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0.8600000000003547</v>
      </c>
      <c r="BE62" s="13">
        <f>BD62*VLOOKUP('Données projet'!$B$11,Paramètres!$A$1:$I$89,3,0)*VLOOKUP('Données projet'!$B$11,Paramètres!$A$1:$I$89,5,0)</f>
        <v>0.38012000000015683</v>
      </c>
      <c r="BF62" s="13">
        <f t="shared" si="37"/>
        <v>0.19605142963512551</v>
      </c>
      <c r="BG62" s="20">
        <f t="shared" si="7"/>
        <v>1.0034985732814501</v>
      </c>
      <c r="BH62" s="59">
        <f t="shared" si="8"/>
        <v>294.33683190661475</v>
      </c>
      <c r="BI62" s="59">
        <f ca="1">AVERAGE(OFFSET($BH$3,0,0,'Données projet'!$E$11+1,1))-AVERAGE(OFFSET($H$3,0,0,'Données projet'!$E$11+1,1))</f>
        <v>328.58609979635901</v>
      </c>
      <c r="BJ62" s="59">
        <f t="shared" si="38"/>
        <v>432.3494365423407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271.58422776789155</v>
      </c>
      <c r="BQ62" s="21">
        <f>EXP(-LN(2)/25)*BQ61+(1-EXP(-LN(2)/25))/(LN(2)/25)*Calculateur!BL62*Calculateur!BN62*VLOOKUP('Données projet'!$B$11,Paramètres!$A$1:$I$89,3,0)*0.475*44/12</f>
        <v>17.894498843056297</v>
      </c>
      <c r="BR62" s="21">
        <f>EXP(-LN(2)/2)*BR61+(1-EXP(-LN(2)/2))/(LN(2)/2)*BL62*BO62*VLOOKUP('Données projet'!$B$11,Paramètres!$A$1:$I$89,3,0)*0.475*44/12</f>
        <v>2.5249954583798975E-5</v>
      </c>
      <c r="BS62" s="22">
        <f t="shared" si="9"/>
        <v>289.47875186090243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11.644999999999996</v>
      </c>
      <c r="BY62" s="12">
        <f>IF('Données projet'!$A$114&gt;35,BY61+BX62-CG61,IF(A62&lt;'Données projet'!$A$114,$BV$205^A62,IF(A62='Données projet'!$A$114,'Données projet'!$B$114,BY61+BX62-CG61)))</f>
        <v>266.0100000000001</v>
      </c>
      <c r="BZ62" s="13">
        <f>BY62*VLOOKUP('Données projet'!$B$12,Paramètres!$A$1:$I$89,3,0)*VLOOKUP('Données projet'!$B$12,Paramètres!$A$1:$I$89,5,0)</f>
        <v>253.1351160000001</v>
      </c>
      <c r="CA62" s="13">
        <f t="shared" si="39"/>
        <v>61.25679105042029</v>
      </c>
      <c r="CB62" s="20">
        <f t="shared" si="10"/>
        <v>547.56590477948214</v>
      </c>
      <c r="CC62" s="59">
        <f t="shared" si="11"/>
        <v>840.89923811281551</v>
      </c>
      <c r="CD62" s="59">
        <f ca="1">AVERAGE(OFFSET($CC$3,0,0,'Données projet'!$E$12+1,1))-AVERAGE(OFFSET($H$3,0,0,'Données projet'!$E$12+1,1))</f>
        <v>555.3092253965317</v>
      </c>
      <c r="CE62" s="59">
        <f t="shared" si="40"/>
        <v>292.20785523952651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81.155923343502465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81.155923343502465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6</v>
      </c>
      <c r="CT62" s="12">
        <f>IF('Données projet'!$A$140&gt;35,CT61+CS62-DB61,IF(A62&lt;'Données projet'!$A$140,$CQ$205^A62,IF(A62='Données projet'!$A$140,'Données projet'!$B$140,CT61+CS62-DB61)))</f>
        <v>219.00000000000003</v>
      </c>
      <c r="CU62" s="17">
        <f>CT62*VLOOKUP('Données projet'!$B$13,Paramètres!$A$1:$I$89,3,0)*VLOOKUP('Données projet'!$B$13,Paramètres!$A$1:$I$89,5,0)</f>
        <v>140.07240000000002</v>
      </c>
      <c r="CV62" s="13">
        <f t="shared" si="41"/>
        <v>36.313590819234449</v>
      </c>
      <c r="CW62" s="20">
        <f t="shared" si="13"/>
        <v>307.20560067683328</v>
      </c>
      <c r="CX62" s="59">
        <f t="shared" si="14"/>
        <v>600.5389340101666</v>
      </c>
      <c r="CY62" s="59">
        <f ca="1">AVERAGE(OFFSET($CX$3,0,0,'Données projet'!$E$13+1,1))-AVERAGE(OFFSET($H$3,0,0,'Données projet'!$E$13+1,1))</f>
        <v>269.44168853803717</v>
      </c>
      <c r="CZ62" s="59">
        <f t="shared" si="42"/>
        <v>247.65158389074043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29.294831544654841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29.294831544654841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6">
        <f t="shared" si="1"/>
        <v>256.66666666666669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246</v>
      </c>
      <c r="L63" s="12">
        <f>VLOOKUP(A63,'Données projet'!$A$35:$I$55,9,0)</f>
        <v>6.6</v>
      </c>
      <c r="M63" s="12">
        <f t="array" ref="M63">INDEX(L:L,MIN(IF(ISNUMBER(L63:L259),ROW(L63:L259),"")))</f>
        <v>6.6</v>
      </c>
      <c r="N63" s="13">
        <f>IF('Données projet'!$A$36&gt;35,N62+M63-V62,IF(A63&lt;'Données projet'!$A$36,$K$205^A63,IF(A63='Données projet'!$A$36,'Données projet'!$B$36,N62+M63-V62)))</f>
        <v>246.00000000000009</v>
      </c>
      <c r="O63" s="13">
        <f>N63*VLOOKUP('Données projet'!$B$9,Paramètres!$A$1:$I$89,3,0)*VLOOKUP('Données projet'!$B$9,Paramètres!$A$1:$I$89,5,0)</f>
        <v>214.90560000000008</v>
      </c>
      <c r="P63" s="13">
        <f t="shared" si="33"/>
        <v>53.006137800892326</v>
      </c>
      <c r="Q63" s="20">
        <f t="shared" si="53"/>
        <v>466.61294333655428</v>
      </c>
      <c r="R63" s="59">
        <f t="shared" si="0"/>
        <v>759.94627666988754</v>
      </c>
      <c r="S63" s="59">
        <f ca="1">AVERAGE(OFFSET($R$3,0,0,'Données projet'!$E$9+1,1))-AVERAGE(OFFSET($H$3,0,0,'Données projet'!$E$9+1,1))</f>
        <v>381.72225529388083</v>
      </c>
      <c r="T63" s="59">
        <f t="shared" si="34"/>
        <v>360.05900046417361</v>
      </c>
      <c r="U63" s="15">
        <f>IF(ISNA(VLOOKUP(A63,'Données projet'!$A$35:$I$55,3,0)),0,VLOOKUP(A63,'Données projet'!$A$35:$I$55,3,0))</f>
        <v>10</v>
      </c>
      <c r="V63" s="15">
        <f>IF(ISNA(VLOOKUP(A63,'Données projet'!$A$35:$I$55,4,0)),0,VLOOKUP(A63,'Données projet'!$A$35:$I$55,4,0))</f>
        <v>24</v>
      </c>
      <c r="W63" s="16">
        <f>IF(ISNA(VLOOKUP(A63,'Données projet'!$A$35:$I$55,5,0)),0%,VLOOKUP(A63,'Données projet'!$A$35:$I$55,5,0)*VLOOKUP('Données projet'!$B$9,Paramètres!$A$1:$I$89,7,0))</f>
        <v>0.43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55.302778845826225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55.302778845826225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304.99999999999994</v>
      </c>
      <c r="AJ63" s="13">
        <f>AI63*VLOOKUP('Données projet'!$B$10,Paramètres!$A$1:$I$89,3,0)*VLOOKUP('Données projet'!$B$10,Paramètres!$A$1:$I$89,5,0)</f>
        <v>275.96399999999994</v>
      </c>
      <c r="AK63" s="13">
        <f t="shared" si="35"/>
        <v>66.113366665488911</v>
      </c>
      <c r="AL63" s="20">
        <f t="shared" si="4"/>
        <v>595.7847469423931</v>
      </c>
      <c r="AM63" s="59">
        <f t="shared" si="5"/>
        <v>889.11808027572647</v>
      </c>
      <c r="AN63" s="59">
        <f ca="1">AVERAGE(OFFSET($AM$3,0,0,'Données projet'!$E$10+1,1))-AVERAGE(OFFSET($H$3,0,0,'Données projet'!$E$10+1,1))</f>
        <v>366.43676005661194</v>
      </c>
      <c r="AO63" s="59">
        <f t="shared" si="36"/>
        <v>513.80016421153414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4.6202181948627636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4.6202181948627636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0.8600000000003547</v>
      </c>
      <c r="BE63" s="13">
        <f>BD63*VLOOKUP('Données projet'!$B$11,Paramètres!$A$1:$I$89,3,0)*VLOOKUP('Données projet'!$B$11,Paramètres!$A$1:$I$89,5,0)</f>
        <v>0.38012000000015683</v>
      </c>
      <c r="BF63" s="13">
        <f t="shared" si="37"/>
        <v>0.19605142963512551</v>
      </c>
      <c r="BG63" s="20">
        <f t="shared" si="7"/>
        <v>1.0034985732814501</v>
      </c>
      <c r="BH63" s="59">
        <f t="shared" si="8"/>
        <v>294.33683190661475</v>
      </c>
      <c r="BI63" s="59">
        <f ca="1">AVERAGE(OFFSET($BH$3,0,0,'Données projet'!$E$11+1,1))-AVERAGE(OFFSET($H$3,0,0,'Données projet'!$E$11+1,1))</f>
        <v>328.58609979635901</v>
      </c>
      <c r="BJ63" s="59">
        <f t="shared" si="38"/>
        <v>432.3494365423407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266.25862671138555</v>
      </c>
      <c r="BQ63" s="21">
        <f>EXP(-LN(2)/25)*BQ62+(1-EXP(-LN(2)/25))/(LN(2)/25)*Calculateur!BL63*Calculateur!BN63*VLOOKUP('Données projet'!$B$11,Paramètres!$A$1:$I$89,3,0)*0.475*44/12</f>
        <v>17.405172831162126</v>
      </c>
      <c r="BR63" s="21">
        <f>EXP(-LN(2)/2)*BR62+(1-EXP(-LN(2)/2))/(LN(2)/2)*BL63*BO63*VLOOKUP('Données projet'!$B$11,Paramètres!$A$1:$I$89,3,0)*0.475*44/12</f>
        <v>1.7854414110856604E-5</v>
      </c>
      <c r="BS63" s="22">
        <f t="shared" si="9"/>
        <v>283.6638173969618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11.644999999999996</v>
      </c>
      <c r="BY63" s="12">
        <f>IF('Données projet'!$A$114&gt;35,BY62+BX63-CG62,IF(A63&lt;'Données projet'!$A$114,$BV$205^A63,IF(A63='Données projet'!$A$114,'Données projet'!$B$114,BY62+BX63-CG62)))</f>
        <v>277.65500000000009</v>
      </c>
      <c r="BZ63" s="13">
        <f>BY63*VLOOKUP('Données projet'!$B$12,Paramètres!$A$1:$I$89,3,0)*VLOOKUP('Données projet'!$B$12,Paramètres!$A$1:$I$89,5,0)</f>
        <v>264.21649800000012</v>
      </c>
      <c r="CA63" s="13">
        <f t="shared" si="39"/>
        <v>63.62032169605304</v>
      </c>
      <c r="CB63" s="20">
        <f t="shared" si="10"/>
        <v>570.98246097062588</v>
      </c>
      <c r="CC63" s="59">
        <f t="shared" si="11"/>
        <v>864.31579430395914</v>
      </c>
      <c r="CD63" s="59">
        <f ca="1">AVERAGE(OFFSET($CC$3,0,0,'Données projet'!$E$12+1,1))-AVERAGE(OFFSET($H$3,0,0,'Données projet'!$E$12+1,1))</f>
        <v>555.3092253965317</v>
      </c>
      <c r="CE63" s="59">
        <f t="shared" si="40"/>
        <v>292.20785523952651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79.564505186961881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79.564505186961881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225</v>
      </c>
      <c r="CR63" s="12">
        <f>VLOOKUP(A63,'Données projet'!$A$139:$I$159,9,0)</f>
        <v>6</v>
      </c>
      <c r="CS63" s="12">
        <f t="array" ref="CS63">INDEX(CR:CR,MIN(IF(ISNUMBER(CR63:CR259),ROW(CR63:CR259),"")))</f>
        <v>6</v>
      </c>
      <c r="CT63" s="12">
        <f>IF('Données projet'!$A$140&gt;35,CT62+CS63-DB62,IF(A63&lt;'Données projet'!$A$140,$CQ$205^A63,IF(A63='Données projet'!$A$140,'Données projet'!$B$140,CT62+CS63-DB62)))</f>
        <v>225.00000000000003</v>
      </c>
      <c r="CU63" s="17">
        <f>CT63*VLOOKUP('Données projet'!$B$13,Paramètres!$A$1:$I$89,3,0)*VLOOKUP('Données projet'!$B$13,Paramètres!$A$1:$I$89,5,0)</f>
        <v>143.91</v>
      </c>
      <c r="CV63" s="13">
        <f t="shared" si="41"/>
        <v>37.191290549543432</v>
      </c>
      <c r="CW63" s="20">
        <f t="shared" si="13"/>
        <v>315.41808104045475</v>
      </c>
      <c r="CX63" s="59">
        <f t="shared" si="14"/>
        <v>608.75141437378807</v>
      </c>
      <c r="CY63" s="59">
        <f ca="1">AVERAGE(OFFSET($CX$3,0,0,'Données projet'!$E$13+1,1))-AVERAGE(OFFSET($H$3,0,0,'Données projet'!$E$13+1,1))</f>
        <v>269.44168853803717</v>
      </c>
      <c r="CZ63" s="59">
        <f t="shared" si="42"/>
        <v>247.65158389074043</v>
      </c>
      <c r="DA63" s="15">
        <f>IF(ISNA(VLOOKUP(A63,'Données projet'!$A$139:$I$159,3,0)),0,VLOOKUP(A63,'Données projet'!$A$139:$I$159,3,0))</f>
        <v>9</v>
      </c>
      <c r="DB63" s="15">
        <f>IF(ISNA(VLOOKUP(A63,'Données projet'!$A$139:$I$159,4,0)),0,VLOOKUP(A63,'Données projet'!$A$139:$I$159,4,0))</f>
        <v>21</v>
      </c>
      <c r="DC63" s="16">
        <f>IF(ISNA(VLOOKUP(A63,'Données projet'!$A$139:$I$159,5,0)),0%,VLOOKUP(A63,'Données projet'!$A$139:$I$159,5,0)*VLOOKUP('Données projet'!$B$13,Paramètres!$A$1:$I$89,7,0))</f>
        <v>0.43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35.105119224533027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35.105119224533027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6">
        <f t="shared" si="1"/>
        <v>256.66666666666669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6</v>
      </c>
      <c r="N64" s="13">
        <f>IF('Données projet'!$A$36&gt;35,N63+M64-V63,IF(A64&lt;'Données projet'!$A$36,$K$205^A64,IF(A64='Données projet'!$A$36,'Données projet'!$B$36,N63+M64-V63)))</f>
        <v>228.00000000000009</v>
      </c>
      <c r="O64" s="13">
        <f>N64*VLOOKUP('Données projet'!$B$9,Paramètres!$A$1:$I$89,3,0)*VLOOKUP('Données projet'!$B$9,Paramètres!$A$1:$I$89,5,0)</f>
        <v>199.18080000000012</v>
      </c>
      <c r="P64" s="13">
        <f t="shared" si="33"/>
        <v>49.564089376413726</v>
      </c>
      <c r="Q64" s="20">
        <f t="shared" si="53"/>
        <v>433.2306823305874</v>
      </c>
      <c r="R64" s="59">
        <f t="shared" si="0"/>
        <v>726.56401566392071</v>
      </c>
      <c r="S64" s="59">
        <f ca="1">AVERAGE(OFFSET($R$3,0,0,'Données projet'!$E$9+1,1))-AVERAGE(OFFSET($H$3,0,0,'Données projet'!$E$9+1,1))</f>
        <v>381.72225529388083</v>
      </c>
      <c r="T64" s="59">
        <f t="shared" si="34"/>
        <v>360.05900046417361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54.218325084023974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54.218325084023974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304.99999999999994</v>
      </c>
      <c r="AJ64" s="13">
        <f>AI64*VLOOKUP('Données projet'!$B$10,Paramètres!$A$1:$I$89,3,0)*VLOOKUP('Données projet'!$B$10,Paramètres!$A$1:$I$89,5,0)</f>
        <v>275.96399999999994</v>
      </c>
      <c r="AK64" s="13">
        <f t="shared" si="35"/>
        <v>66.113366665488911</v>
      </c>
      <c r="AL64" s="20">
        <f t="shared" si="4"/>
        <v>595.7847469423931</v>
      </c>
      <c r="AM64" s="59">
        <f t="shared" si="5"/>
        <v>889.11808027572647</v>
      </c>
      <c r="AN64" s="59">
        <f ca="1">AVERAGE(OFFSET($AM$3,0,0,'Données projet'!$E$10+1,1))-AVERAGE(OFFSET($H$3,0,0,'Données projet'!$E$10+1,1))</f>
        <v>366.43676005661194</v>
      </c>
      <c r="AO64" s="59">
        <f t="shared" si="36"/>
        <v>513.80016421153414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4.5296185341163442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4.5296185341163442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0.8600000000003547</v>
      </c>
      <c r="BE64" s="13">
        <f>BD64*VLOOKUP('Données projet'!$B$11,Paramètres!$A$1:$I$89,3,0)*VLOOKUP('Données projet'!$B$11,Paramètres!$A$1:$I$89,5,0)</f>
        <v>0.38012000000015683</v>
      </c>
      <c r="BF64" s="13">
        <f t="shared" si="37"/>
        <v>0.19605142963512551</v>
      </c>
      <c r="BG64" s="20">
        <f t="shared" si="7"/>
        <v>1.0034985732814501</v>
      </c>
      <c r="BH64" s="59">
        <f t="shared" si="8"/>
        <v>294.33683190661475</v>
      </c>
      <c r="BI64" s="59">
        <f ca="1">AVERAGE(OFFSET($BH$3,0,0,'Données projet'!$E$11+1,1))-AVERAGE(OFFSET($H$3,0,0,'Données projet'!$E$11+1,1))</f>
        <v>328.58609979635901</v>
      </c>
      <c r="BJ64" s="59">
        <f t="shared" si="38"/>
        <v>432.3494365423407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261.03745744330172</v>
      </c>
      <c r="BQ64" s="21">
        <f>EXP(-LN(2)/25)*BQ63+(1-EXP(-LN(2)/25))/(LN(2)/25)*Calculateur!BL64*Calculateur!BN64*VLOOKUP('Données projet'!$B$11,Paramètres!$A$1:$I$89,3,0)*0.475*44/12</f>
        <v>16.929227464795737</v>
      </c>
      <c r="BR64" s="21">
        <f>EXP(-LN(2)/2)*BR63+(1-EXP(-LN(2)/2))/(LN(2)/2)*BL64*BO64*VLOOKUP('Données projet'!$B$11,Paramètres!$A$1:$I$89,3,0)*0.475*44/12</f>
        <v>1.2624977291899487E-5</v>
      </c>
      <c r="BS64" s="22">
        <f t="shared" si="9"/>
        <v>277.96669753307475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11.644999999999996</v>
      </c>
      <c r="BY64" s="12">
        <f>IF('Données projet'!$A$114&gt;35,BY63+BX64-CG63,IF(A64&lt;'Données projet'!$A$114,$BV$205^A64,IF(A64='Données projet'!$A$114,'Données projet'!$B$114,BY63+BX64-CG63)))</f>
        <v>289.30000000000007</v>
      </c>
      <c r="BZ64" s="13">
        <f>BY64*VLOOKUP('Données projet'!$B$12,Paramètres!$A$1:$I$89,3,0)*VLOOKUP('Données projet'!$B$12,Paramètres!$A$1:$I$89,5,0)</f>
        <v>275.29788000000008</v>
      </c>
      <c r="CA64" s="13">
        <f t="shared" si="39"/>
        <v>65.972338426180542</v>
      </c>
      <c r="CB64" s="20">
        <f t="shared" si="10"/>
        <v>594.37896375893126</v>
      </c>
      <c r="CC64" s="59">
        <f t="shared" si="11"/>
        <v>887.71229709226463</v>
      </c>
      <c r="CD64" s="59">
        <f ca="1">AVERAGE(OFFSET($CC$3,0,0,'Données projet'!$E$12+1,1))-AVERAGE(OFFSET($H$3,0,0,'Données projet'!$E$12+1,1))</f>
        <v>555.3092253965317</v>
      </c>
      <c r="CE64" s="59">
        <f t="shared" si="40"/>
        <v>292.20785523952651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78.004293769801833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78.004293769801833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5.6</v>
      </c>
      <c r="CT64" s="12">
        <f>IF('Données projet'!$A$140&gt;35,CT63+CS64-DB63,IF(A64&lt;'Données projet'!$A$140,$CQ$205^A64,IF(A64='Données projet'!$A$140,'Données projet'!$B$140,CT63+CS64-DB63)))</f>
        <v>209.60000000000002</v>
      </c>
      <c r="CU64" s="17">
        <f>CT64*VLOOKUP('Données projet'!$B$13,Paramètres!$A$1:$I$89,3,0)*VLOOKUP('Données projet'!$B$13,Paramètres!$A$1:$I$89,5,0)</f>
        <v>134.06016000000002</v>
      </c>
      <c r="CV64" s="13">
        <f t="shared" si="41"/>
        <v>34.93285725919646</v>
      </c>
      <c r="CW64" s="20">
        <f t="shared" si="13"/>
        <v>294.3295050597672</v>
      </c>
      <c r="CX64" s="59">
        <f t="shared" si="14"/>
        <v>587.66283839310051</v>
      </c>
      <c r="CY64" s="59">
        <f ca="1">AVERAGE(OFFSET($CX$3,0,0,'Données projet'!$E$13+1,1))-AVERAGE(OFFSET($H$3,0,0,'Données projet'!$E$13+1,1))</f>
        <v>269.44168853803717</v>
      </c>
      <c r="CZ64" s="59">
        <f t="shared" si="42"/>
        <v>247.65158389074043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34.4167292485484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34.4167292485484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6">
        <f t="shared" si="1"/>
        <v>256.66666666666669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6</v>
      </c>
      <c r="N65" s="13">
        <f>IF('Données projet'!$A$36&gt;35,N64+M65-V64,IF(A65&lt;'Données projet'!$A$36,$K$205^A65,IF(A65='Données projet'!$A$36,'Données projet'!$B$36,N64+M65-V64)))</f>
        <v>234.00000000000009</v>
      </c>
      <c r="O65" s="13">
        <f>N65*VLOOKUP('Données projet'!$B$9,Paramètres!$A$1:$I$89,3,0)*VLOOKUP('Données projet'!$B$9,Paramètres!$A$1:$I$89,5,0)</f>
        <v>204.4224000000001</v>
      </c>
      <c r="P65" s="13">
        <f t="shared" si="33"/>
        <v>50.714836797527312</v>
      </c>
      <c r="Q65" s="20">
        <f t="shared" si="53"/>
        <v>444.3640207556935</v>
      </c>
      <c r="R65" s="59">
        <f t="shared" si="0"/>
        <v>737.69735408902682</v>
      </c>
      <c r="S65" s="59">
        <f ca="1">AVERAGE(OFFSET($R$3,0,0,'Données projet'!$E$9+1,1))-AVERAGE(OFFSET($H$3,0,0,'Données projet'!$E$9+1,1))</f>
        <v>381.72225529388083</v>
      </c>
      <c r="T65" s="59">
        <f t="shared" si="34"/>
        <v>360.05900046417361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53.155136799039184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53.155136799039184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304.99999999999994</v>
      </c>
      <c r="AJ65" s="13">
        <f>AI65*VLOOKUP('Données projet'!$B$10,Paramètres!$A$1:$I$89,3,0)*VLOOKUP('Données projet'!$B$10,Paramètres!$A$1:$I$89,5,0)</f>
        <v>275.96399999999994</v>
      </c>
      <c r="AK65" s="13">
        <f t="shared" si="35"/>
        <v>66.113366665488911</v>
      </c>
      <c r="AL65" s="20">
        <f t="shared" si="4"/>
        <v>595.7847469423931</v>
      </c>
      <c r="AM65" s="59">
        <f t="shared" si="5"/>
        <v>889.11808027572647</v>
      </c>
      <c r="AN65" s="59">
        <f ca="1">AVERAGE(OFFSET($AM$3,0,0,'Données projet'!$E$10+1,1))-AVERAGE(OFFSET($H$3,0,0,'Données projet'!$E$10+1,1))</f>
        <v>366.43676005661194</v>
      </c>
      <c r="AO65" s="59">
        <f t="shared" si="36"/>
        <v>513.80016421153414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4.4407954774568248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4.4407954774568248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0.8600000000003547</v>
      </c>
      <c r="BE65" s="13">
        <f>BD65*VLOOKUP('Données projet'!$B$11,Paramètres!$A$1:$I$89,3,0)*VLOOKUP('Données projet'!$B$11,Paramètres!$A$1:$I$89,5,0)</f>
        <v>0.38012000000015683</v>
      </c>
      <c r="BF65" s="13">
        <f t="shared" si="37"/>
        <v>0.19605142963512551</v>
      </c>
      <c r="BG65" s="20">
        <f t="shared" si="7"/>
        <v>1.0034985732814501</v>
      </c>
      <c r="BH65" s="59">
        <f t="shared" si="8"/>
        <v>294.33683190661475</v>
      </c>
      <c r="BI65" s="59">
        <f ca="1">AVERAGE(OFFSET($BH$3,0,0,'Données projet'!$E$11+1,1))-AVERAGE(OFFSET($H$3,0,0,'Données projet'!$E$11+1,1))</f>
        <v>328.58609979635901</v>
      </c>
      <c r="BJ65" s="59">
        <f t="shared" si="38"/>
        <v>432.3494365423407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255.91867211996623</v>
      </c>
      <c r="BQ65" s="21">
        <f>EXP(-LN(2)/25)*BQ64+(1-EXP(-LN(2)/25))/(LN(2)/25)*Calculateur!BL65*Calculateur!BN65*VLOOKUP('Données projet'!$B$11,Paramètres!$A$1:$I$89,3,0)*0.475*44/12</f>
        <v>16.466296849501518</v>
      </c>
      <c r="BR65" s="21">
        <f>EXP(-LN(2)/2)*BR64+(1-EXP(-LN(2)/2))/(LN(2)/2)*BL65*BO65*VLOOKUP('Données projet'!$B$11,Paramètres!$A$1:$I$89,3,0)*0.475*44/12</f>
        <v>8.9272070554283019E-6</v>
      </c>
      <c r="BS65" s="22">
        <f t="shared" si="9"/>
        <v>272.3849778966748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11.644999999999996</v>
      </c>
      <c r="BY65" s="12">
        <f>IF('Données projet'!$A$114&gt;35,BY64+BX65-CG64,IF(A65&lt;'Données projet'!$A$114,$BV$205^A65,IF(A65='Données projet'!$A$114,'Données projet'!$B$114,BY64+BX65-CG64)))</f>
        <v>300.94500000000005</v>
      </c>
      <c r="BZ65" s="13">
        <f>BY65*VLOOKUP('Données projet'!$B$12,Paramètres!$A$1:$I$89,3,0)*VLOOKUP('Données projet'!$B$12,Paramètres!$A$1:$I$89,5,0)</f>
        <v>286.37926200000004</v>
      </c>
      <c r="CA65" s="13">
        <f t="shared" si="39"/>
        <v>68.313357723761712</v>
      </c>
      <c r="CB65" s="20">
        <f t="shared" si="10"/>
        <v>617.75631268555173</v>
      </c>
      <c r="CC65" s="59">
        <f t="shared" si="11"/>
        <v>911.08964601888511</v>
      </c>
      <c r="CD65" s="59">
        <f ca="1">AVERAGE(OFFSET($CC$3,0,0,'Données projet'!$E$12+1,1))-AVERAGE(OFFSET($H$3,0,0,'Données projet'!$E$12+1,1))</f>
        <v>555.3092253965317</v>
      </c>
      <c r="CE65" s="59">
        <f t="shared" si="40"/>
        <v>292.20785523952651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76.474677146897292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76.474677146897292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5.6</v>
      </c>
      <c r="CT65" s="12">
        <f>IF('Données projet'!$A$140&gt;35,CT64+CS65-DB64,IF(A65&lt;'Données projet'!$A$140,$CQ$205^A65,IF(A65='Données projet'!$A$140,'Données projet'!$B$140,CT64+CS65-DB64)))</f>
        <v>215.20000000000002</v>
      </c>
      <c r="CU65" s="17">
        <f>CT65*VLOOKUP('Données projet'!$B$13,Paramètres!$A$1:$I$89,3,0)*VLOOKUP('Données projet'!$B$13,Paramètres!$A$1:$I$89,5,0)</f>
        <v>137.64192</v>
      </c>
      <c r="CV65" s="13">
        <f t="shared" si="41"/>
        <v>35.756269576827904</v>
      </c>
      <c r="CW65" s="20">
        <f t="shared" si="13"/>
        <v>302.00184684630864</v>
      </c>
      <c r="CX65" s="59">
        <f t="shared" si="14"/>
        <v>595.33518017964195</v>
      </c>
      <c r="CY65" s="59">
        <f ca="1">AVERAGE(OFFSET($CX$3,0,0,'Données projet'!$E$13+1,1))-AVERAGE(OFFSET($H$3,0,0,'Données projet'!$E$13+1,1))</f>
        <v>269.44168853803717</v>
      </c>
      <c r="CZ65" s="59">
        <f t="shared" si="42"/>
        <v>247.65158389074043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33.741838180116403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33.741838180116403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6">
        <f t="shared" si="1"/>
        <v>256.66666666666669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6</v>
      </c>
      <c r="N66" s="13">
        <f>IF('Données projet'!$A$36&gt;35,N65+M66-V65,IF(A66&lt;'Données projet'!$A$36,$K$205^A66,IF(A66='Données projet'!$A$36,'Données projet'!$B$36,N65+M66-V65)))</f>
        <v>240.00000000000009</v>
      </c>
      <c r="O66" s="13">
        <f>N66*VLOOKUP('Données projet'!$B$9,Paramètres!$A$1:$I$89,3,0)*VLOOKUP('Données projet'!$B$9,Paramètres!$A$1:$I$89,5,0)</f>
        <v>209.6640000000001</v>
      </c>
      <c r="P66" s="13">
        <f t="shared" si="33"/>
        <v>51.862154403304537</v>
      </c>
      <c r="Q66" s="20">
        <f t="shared" si="53"/>
        <v>455.49138558575561</v>
      </c>
      <c r="R66" s="59">
        <f t="shared" si="0"/>
        <v>748.82471891908892</v>
      </c>
      <c r="S66" s="59">
        <f ca="1">AVERAGE(OFFSET($R$3,0,0,'Données projet'!$E$9+1,1))-AVERAGE(OFFSET($H$3,0,0,'Données projet'!$E$9+1,1))</f>
        <v>381.72225529388083</v>
      </c>
      <c r="T66" s="59">
        <f t="shared" si="34"/>
        <v>360.05900046417361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52.112796987842124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52.112796987842124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304.99999999999994</v>
      </c>
      <c r="AJ66" s="13">
        <f>AI66*VLOOKUP('Données projet'!$B$10,Paramètres!$A$1:$I$89,3,0)*VLOOKUP('Données projet'!$B$10,Paramètres!$A$1:$I$89,5,0)</f>
        <v>275.96399999999994</v>
      </c>
      <c r="AK66" s="13">
        <f t="shared" si="35"/>
        <v>66.113366665488911</v>
      </c>
      <c r="AL66" s="20">
        <f t="shared" si="4"/>
        <v>595.7847469423931</v>
      </c>
      <c r="AM66" s="59">
        <f t="shared" si="5"/>
        <v>889.11808027572647</v>
      </c>
      <c r="AN66" s="59">
        <f ca="1">AVERAGE(OFFSET($AM$3,0,0,'Données projet'!$E$10+1,1))-AVERAGE(OFFSET($H$3,0,0,'Données projet'!$E$10+1,1))</f>
        <v>366.43676005661194</v>
      </c>
      <c r="AO66" s="59">
        <f t="shared" si="36"/>
        <v>513.80016421153414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4.3537141867616835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4.3537141867616835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0.8600000000003547</v>
      </c>
      <c r="BE66" s="13">
        <f>BD66*VLOOKUP('Données projet'!$B$11,Paramètres!$A$1:$I$89,3,0)*VLOOKUP('Données projet'!$B$11,Paramètres!$A$1:$I$89,5,0)</f>
        <v>0.38012000000015683</v>
      </c>
      <c r="BF66" s="13">
        <f t="shared" si="37"/>
        <v>0.19605142963512551</v>
      </c>
      <c r="BG66" s="20">
        <f t="shared" si="7"/>
        <v>1.0034985732814501</v>
      </c>
      <c r="BH66" s="59">
        <f t="shared" si="8"/>
        <v>294.33683190661475</v>
      </c>
      <c r="BI66" s="59">
        <f ca="1">AVERAGE(OFFSET($BH$3,0,0,'Données projet'!$E$11+1,1))-AVERAGE(OFFSET($H$3,0,0,'Données projet'!$E$11+1,1))</f>
        <v>328.58609979635901</v>
      </c>
      <c r="BJ66" s="59">
        <f t="shared" si="38"/>
        <v>432.3494365423407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250.90026305467057</v>
      </c>
      <c r="BQ66" s="21">
        <f>EXP(-LN(2)/25)*BQ65+(1-EXP(-LN(2)/25))/(LN(2)/25)*Calculateur!BL66*Calculateur!BN66*VLOOKUP('Données projet'!$B$11,Paramètres!$A$1:$I$89,3,0)*0.475*44/12</f>
        <v>16.016025096226983</v>
      </c>
      <c r="BR66" s="21">
        <f>EXP(-LN(2)/2)*BR65+(1-EXP(-LN(2)/2))/(LN(2)/2)*BL66*BO66*VLOOKUP('Données projet'!$B$11,Paramètres!$A$1:$I$89,3,0)*0.475*44/12</f>
        <v>6.3124886459497436E-6</v>
      </c>
      <c r="BS66" s="22">
        <f t="shared" si="9"/>
        <v>266.91629446338624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>
        <f>VLOOKUP(A66,'Données projet'!$A$113:$I$133,2,0)</f>
        <v>312.58999999999997</v>
      </c>
      <c r="BW66" s="12">
        <f>VLOOKUP(A66,'Données projet'!$A$113:$I$133,9,0)</f>
        <v>11.644999999999996</v>
      </c>
      <c r="BX66" s="12">
        <f t="array" ref="BX66">INDEX(BW:BW,MIN(IF(ISNUMBER(BW66:BW262),ROW(BW66:BW262),"")))</f>
        <v>11.644999999999996</v>
      </c>
      <c r="BY66" s="12">
        <f>IF('Données projet'!$A$114&gt;35,BY65+BX66-CG65,IF(A66&lt;'Données projet'!$A$114,$BV$205^A66,IF(A66='Données projet'!$A$114,'Données projet'!$B$114,BY65+BX66-CG65)))</f>
        <v>312.59000000000003</v>
      </c>
      <c r="BZ66" s="13">
        <f>BY66*VLOOKUP('Données projet'!$B$12,Paramètres!$A$1:$I$89,3,0)*VLOOKUP('Données projet'!$B$12,Paramètres!$A$1:$I$89,5,0)</f>
        <v>297.460644</v>
      </c>
      <c r="CA66" s="13">
        <f t="shared" si="39"/>
        <v>70.643853837972429</v>
      </c>
      <c r="CB66" s="20">
        <f t="shared" si="10"/>
        <v>641.11533373446866</v>
      </c>
      <c r="CC66" s="59">
        <f t="shared" si="11"/>
        <v>934.44866706780203</v>
      </c>
      <c r="CD66" s="59">
        <f ca="1">AVERAGE(OFFSET($CC$3,0,0,'Données projet'!$E$12+1,1))-AVERAGE(OFFSET($H$3,0,0,'Données projet'!$E$12+1,1))</f>
        <v>555.3092253965317</v>
      </c>
      <c r="CE66" s="59">
        <f t="shared" si="40"/>
        <v>292.20785523952651</v>
      </c>
      <c r="CF66" s="15">
        <f>IF(ISNA(VLOOKUP(A66,'Données projet'!$A$113:$I$133,3,0)),0,VLOOKUP(A66,'Données projet'!$A$113:$I$133,3,0))</f>
        <v>5</v>
      </c>
      <c r="CG66" s="15">
        <f>IF(ISNA(VLOOKUP(A66,'Données projet'!$A$113:$I$133,4,0)),0,VLOOKUP(A66,'Données projet'!$A$113:$I$133,4,0))</f>
        <v>54.21</v>
      </c>
      <c r="CH66" s="16">
        <f>IF(ISNA(VLOOKUP(A66,'Données projet'!$A$113:$I$133,5,0)),0%,VLOOKUP(A66,'Données projet'!$A$113:$I$133,5,0)*VLOOKUP('Données projet'!$B$12,Paramètres!$A$1:$I$89,7,0))</f>
        <v>0.43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99.496689405520314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99.496689405520314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5.6</v>
      </c>
      <c r="CT66" s="12">
        <f>IF('Données projet'!$A$140&gt;35,CT65+CS66-DB65,IF(A66&lt;'Données projet'!$A$140,$CQ$205^A66,IF(A66='Données projet'!$A$140,'Données projet'!$B$140,CT65+CS66-DB65)))</f>
        <v>220.8</v>
      </c>
      <c r="CU66" s="17">
        <f>CT66*VLOOKUP('Données projet'!$B$13,Paramètres!$A$1:$I$89,3,0)*VLOOKUP('Données projet'!$B$13,Paramètres!$A$1:$I$89,5,0)</f>
        <v>141.22368</v>
      </c>
      <c r="CV66" s="13">
        <f t="shared" si="41"/>
        <v>36.577191258077065</v>
      </c>
      <c r="CW66" s="20">
        <f t="shared" si="13"/>
        <v>309.66985077448419</v>
      </c>
      <c r="CX66" s="59">
        <f t="shared" si="14"/>
        <v>603.00318410781756</v>
      </c>
      <c r="CY66" s="59">
        <f ca="1">AVERAGE(OFFSET($CX$3,0,0,'Données projet'!$E$13+1,1))-AVERAGE(OFFSET($H$3,0,0,'Données projet'!$E$13+1,1))</f>
        <v>269.44168853803717</v>
      </c>
      <c r="CZ66" s="59">
        <f t="shared" si="42"/>
        <v>247.65158389074043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33.080181313893455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33.080181313893455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6">
        <f t="shared" si="1"/>
        <v>256.66666666666669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6</v>
      </c>
      <c r="N67" s="13">
        <f>IF('Données projet'!$A$36&gt;35,N66+M67-V66,IF(A67&lt;'Données projet'!$A$36,$K$205^A67,IF(A67='Données projet'!$A$36,'Données projet'!$B$36,N66+M67-V66)))</f>
        <v>246.00000000000009</v>
      </c>
      <c r="O67" s="13">
        <f>N67*VLOOKUP('Données projet'!$B$9,Paramètres!$A$1:$I$89,3,0)*VLOOKUP('Données projet'!$B$9,Paramètres!$A$1:$I$89,5,0)</f>
        <v>214.90560000000008</v>
      </c>
      <c r="P67" s="13">
        <f t="shared" si="33"/>
        <v>53.006137800892326</v>
      </c>
      <c r="Q67" s="20">
        <f t="shared" ref="Q67:Q98" si="54">(O67+P67)*0.475*44/12</f>
        <v>466.61294333655428</v>
      </c>
      <c r="R67" s="59">
        <f t="shared" ref="R67:R130" si="55">Q67+(I67+J67)*44/12</f>
        <v>759.94627666988754</v>
      </c>
      <c r="S67" s="59">
        <f ca="1">AVERAGE(OFFSET($R$3,0,0,'Données projet'!$E$9+1,1))-AVERAGE(OFFSET($H$3,0,0,'Données projet'!$E$9+1,1))</f>
        <v>381.72225529388083</v>
      </c>
      <c r="T67" s="59">
        <f t="shared" si="34"/>
        <v>360.05900046417361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51.090896824578131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51.090896824578131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304.99999999999994</v>
      </c>
      <c r="AJ67" s="13">
        <f>AI67*VLOOKUP('Données projet'!$B$10,Paramètres!$A$1:$I$89,3,0)*VLOOKUP('Données projet'!$B$10,Paramètres!$A$1:$I$89,5,0)</f>
        <v>275.96399999999994</v>
      </c>
      <c r="AK67" s="13">
        <f t="shared" si="35"/>
        <v>66.113366665488911</v>
      </c>
      <c r="AL67" s="20">
        <f t="shared" si="4"/>
        <v>595.7847469423931</v>
      </c>
      <c r="AM67" s="59">
        <f t="shared" si="5"/>
        <v>889.11808027572647</v>
      </c>
      <c r="AN67" s="59">
        <f ca="1">AVERAGE(OFFSET($AM$3,0,0,'Données projet'!$E$10+1,1))-AVERAGE(OFFSET($H$3,0,0,'Données projet'!$E$10+1,1))</f>
        <v>366.43676005661194</v>
      </c>
      <c r="AO67" s="59">
        <f t="shared" si="36"/>
        <v>513.80016421153414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4.2683405070627316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4.2683405070627316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0.8600000000003547</v>
      </c>
      <c r="BE67" s="13">
        <f>BD67*VLOOKUP('Données projet'!$B$11,Paramètres!$A$1:$I$89,3,0)*VLOOKUP('Données projet'!$B$11,Paramètres!$A$1:$I$89,5,0)</f>
        <v>0.38012000000015683</v>
      </c>
      <c r="BF67" s="13">
        <f t="shared" si="37"/>
        <v>0.19605142963512551</v>
      </c>
      <c r="BG67" s="20">
        <f t="shared" si="7"/>
        <v>1.0034985732814501</v>
      </c>
      <c r="BH67" s="59">
        <f t="shared" si="8"/>
        <v>294.33683190661475</v>
      </c>
      <c r="BI67" s="59">
        <f ca="1">AVERAGE(OFFSET($BH$3,0,0,'Données projet'!$E$11+1,1))-AVERAGE(OFFSET($H$3,0,0,'Données projet'!$E$11+1,1))</f>
        <v>328.58609979635901</v>
      </c>
      <c r="BJ67" s="59">
        <f t="shared" si="38"/>
        <v>432.3494365423407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245.98026193021809</v>
      </c>
      <c r="BQ67" s="21">
        <f>EXP(-LN(2)/25)*BQ66+(1-EXP(-LN(2)/25))/(LN(2)/25)*Calculateur!BL67*Calculateur!BN67*VLOOKUP('Données projet'!$B$11,Paramètres!$A$1:$I$89,3,0)*0.475*44/12</f>
        <v>15.578066047724501</v>
      </c>
      <c r="BR67" s="21">
        <f>EXP(-LN(2)/2)*BR66+(1-EXP(-LN(2)/2))/(LN(2)/2)*BL67*BO67*VLOOKUP('Données projet'!$B$11,Paramètres!$A$1:$I$89,3,0)*0.475*44/12</f>
        <v>4.463603527714151E-6</v>
      </c>
      <c r="BS67" s="22">
        <f t="shared" si="9"/>
        <v>261.55833244154616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11.28875</v>
      </c>
      <c r="BY67" s="12">
        <f>IF('Données projet'!$A$114&gt;35,BY66+BX67-CG66,IF(A67&lt;'Données projet'!$A$114,$BV$205^A67,IF(A67='Données projet'!$A$114,'Données projet'!$B$114,BY66+BX67-CG66)))</f>
        <v>269.66875000000005</v>
      </c>
      <c r="BZ67" s="13">
        <f>BY67*VLOOKUP('Données projet'!$B$12,Paramètres!$A$1:$I$89,3,0)*VLOOKUP('Données projet'!$B$12,Paramètres!$A$1:$I$89,5,0)</f>
        <v>256.61678250000006</v>
      </c>
      <c r="CA67" s="13">
        <f t="shared" si="39"/>
        <v>62.000663888032079</v>
      </c>
      <c r="CB67" s="20">
        <f t="shared" si="10"/>
        <v>554.92538579248924</v>
      </c>
      <c r="CC67" s="59">
        <f t="shared" si="11"/>
        <v>848.25871912582261</v>
      </c>
      <c r="CD67" s="59">
        <f ca="1">AVERAGE(OFFSET($CC$3,0,0,'Données projet'!$E$12+1,1))-AVERAGE(OFFSET($H$3,0,0,'Données projet'!$E$12+1,1))</f>
        <v>555.3092253965317</v>
      </c>
      <c r="CE67" s="59">
        <f t="shared" si="40"/>
        <v>292.20785523952651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97.545620013266259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97.545620013266259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5.6</v>
      </c>
      <c r="CT67" s="12">
        <f>IF('Données projet'!$A$140&gt;35,CT66+CS67-DB66,IF(A67&lt;'Données projet'!$A$140,$CQ$205^A67,IF(A67='Données projet'!$A$140,'Données projet'!$B$140,CT66+CS67-DB66)))</f>
        <v>226.4</v>
      </c>
      <c r="CU67" s="17">
        <f>CT67*VLOOKUP('Données projet'!$B$13,Paramètres!$A$1:$I$89,3,0)*VLOOKUP('Données projet'!$B$13,Paramètres!$A$1:$I$89,5,0)</f>
        <v>144.80544</v>
      </c>
      <c r="CV67" s="13">
        <f t="shared" si="41"/>
        <v>37.395692735335132</v>
      </c>
      <c r="CW67" s="20">
        <f t="shared" si="13"/>
        <v>317.33363951404203</v>
      </c>
      <c r="CX67" s="59">
        <f t="shared" si="14"/>
        <v>610.66697284737529</v>
      </c>
      <c r="CY67" s="59">
        <f ca="1">AVERAGE(OFFSET($CX$3,0,0,'Données projet'!$E$13+1,1))-AVERAGE(OFFSET($H$3,0,0,'Données projet'!$E$13+1,1))</f>
        <v>269.44168853803717</v>
      </c>
      <c r="CZ67" s="59">
        <f t="shared" si="42"/>
        <v>247.65158389074043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32.431499135246298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32.431499135246298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6">
        <f t="shared" ref="H68:H131" si="56">(B68+E68+F68)*44/12+(C68+D68)*0.475*44/12</f>
        <v>256.66666666666669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252</v>
      </c>
      <c r="L68" s="12">
        <f>VLOOKUP(A68,'Données projet'!$A$35:$I$55,9,0)</f>
        <v>6</v>
      </c>
      <c r="M68" s="12">
        <f t="array" ref="M68">INDEX(L:L,MIN(IF(ISNUMBER(L68:L264),ROW(L68:L264),"")))</f>
        <v>6</v>
      </c>
      <c r="N68" s="13">
        <f>IF('Données projet'!$A$36&gt;35,N67+M68-V67,IF(A68&lt;'Données projet'!$A$36,$K$205^A68,IF(A68='Données projet'!$A$36,'Données projet'!$B$36,N67+M68-V67)))</f>
        <v>252.00000000000009</v>
      </c>
      <c r="O68" s="13">
        <f>N68*VLOOKUP('Données projet'!$B$9,Paramètres!$A$1:$I$89,3,0)*VLOOKUP('Données projet'!$B$9,Paramètres!$A$1:$I$89,5,0)</f>
        <v>220.14720000000011</v>
      </c>
      <c r="P68" s="13">
        <f t="shared" si="33"/>
        <v>54.146877667769687</v>
      </c>
      <c r="Q68" s="20">
        <f t="shared" si="54"/>
        <v>477.72885193803239</v>
      </c>
      <c r="R68" s="59">
        <f t="shared" si="55"/>
        <v>771.06218527136571</v>
      </c>
      <c r="S68" s="59">
        <f ca="1">AVERAGE(OFFSET($R$3,0,0,'Données projet'!$E$9+1,1))-AVERAGE(OFFSET($H$3,0,0,'Données projet'!$E$9+1,1))</f>
        <v>381.72225529388083</v>
      </c>
      <c r="T68" s="59">
        <f t="shared" si="34"/>
        <v>360.05900046417361</v>
      </c>
      <c r="U68" s="15">
        <f>IF(ISNA(VLOOKUP(A68,'Données projet'!$A$35:$I$55,3,0)),0,VLOOKUP(A68,'Données projet'!$A$35:$I$55,3,0))</f>
        <v>11</v>
      </c>
      <c r="V68" s="15">
        <f>IF(ISNA(VLOOKUP(A68,'Données projet'!$A$35:$I$55,4,0)),0,VLOOKUP(A68,'Données projet'!$A$35:$I$55,4,0))</f>
        <v>22</v>
      </c>
      <c r="W68" s="16">
        <f>IF(ISNA(VLOOKUP(A68,'Données projet'!$A$35:$I$55,5,0)),0%,VLOOKUP(A68,'Données projet'!$A$35:$I$55,5,0)*VLOOKUP('Données projet'!$B$9,Paramètres!$A$1:$I$89,7,0))</f>
        <v>0.43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59.224925717095651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59.224925717095651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304.99999999999994</v>
      </c>
      <c r="AJ68" s="13">
        <f>AI68*VLOOKUP('Données projet'!$B$10,Paramètres!$A$1:$I$89,3,0)*VLOOKUP('Données projet'!$B$10,Paramètres!$A$1:$I$89,5,0)</f>
        <v>275.96399999999994</v>
      </c>
      <c r="AK68" s="13">
        <f t="shared" si="35"/>
        <v>66.113366665488911</v>
      </c>
      <c r="AL68" s="20">
        <f t="shared" ref="AL68:AL131" si="58">(AJ68+AK68)*0.475*44/12</f>
        <v>595.7847469423931</v>
      </c>
      <c r="AM68" s="59">
        <f t="shared" ref="AM68:AM131" si="59">AL68+(AD68+AE68)*44/12</f>
        <v>889.11808027572647</v>
      </c>
      <c r="AN68" s="59">
        <f ca="1">AVERAGE(OFFSET($AM$3,0,0,'Données projet'!$E$10+1,1))-AVERAGE(OFFSET($H$3,0,0,'Données projet'!$E$10+1,1))</f>
        <v>366.43676005661194</v>
      </c>
      <c r="AO68" s="59">
        <f t="shared" si="36"/>
        <v>513.80016421153414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4.1846409531498736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4.1846409531498736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0.8600000000003547</v>
      </c>
      <c r="BE68" s="13">
        <f>BD68*VLOOKUP('Données projet'!$B$11,Paramètres!$A$1:$I$89,3,0)*VLOOKUP('Données projet'!$B$11,Paramètres!$A$1:$I$89,5,0)</f>
        <v>0.38012000000015683</v>
      </c>
      <c r="BF68" s="13">
        <f t="shared" si="37"/>
        <v>0.19605142963512551</v>
      </c>
      <c r="BG68" s="20">
        <f t="shared" ref="BG68:BG131" si="61">(BE68+BF68)*0.475*44/12</f>
        <v>1.0034985732814501</v>
      </c>
      <c r="BH68" s="59">
        <f t="shared" ref="BH68:BH131" si="62">BG68+(AY68+AZ68)*44/12</f>
        <v>294.33683190661475</v>
      </c>
      <c r="BI68" s="59">
        <f ca="1">AVERAGE(OFFSET($BH$3,0,0,'Données projet'!$E$11+1,1))-AVERAGE(OFFSET($H$3,0,0,'Données projet'!$E$11+1,1))</f>
        <v>328.58609979635901</v>
      </c>
      <c r="BJ68" s="59">
        <f t="shared" si="38"/>
        <v>432.3494365423407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241.15673902691174</v>
      </c>
      <c r="BQ68" s="21">
        <f>EXP(-LN(2)/25)*BQ67+(1-EXP(-LN(2)/25))/(LN(2)/25)*Calculateur!BL68*Calculateur!BN68*VLOOKUP('Données projet'!$B$11,Paramètres!$A$1:$I$89,3,0)*0.475*44/12</f>
        <v>15.152083012434586</v>
      </c>
      <c r="BR68" s="21">
        <f>EXP(-LN(2)/2)*BR67+(1-EXP(-LN(2)/2))/(LN(2)/2)*BL68*BO68*VLOOKUP('Données projet'!$B$11,Paramètres!$A$1:$I$89,3,0)*0.475*44/12</f>
        <v>3.1562443229748718E-6</v>
      </c>
      <c r="BS68" s="22">
        <f t="shared" ref="BS68:BS131" si="63">SUM(BP68:BR68)</f>
        <v>256.3088251955906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11.28875</v>
      </c>
      <c r="BY68" s="12">
        <f>IF('Données projet'!$A$114&gt;35,BY67+BX68-CG67,IF(A68&lt;'Données projet'!$A$114,$BV$205^A68,IF(A68='Données projet'!$A$114,'Données projet'!$B$114,BY67+BX68-CG67)))</f>
        <v>280.95750000000004</v>
      </c>
      <c r="BZ68" s="13">
        <f>BY68*VLOOKUP('Données projet'!$B$12,Paramètres!$A$1:$I$89,3,0)*VLOOKUP('Données projet'!$B$12,Paramètres!$A$1:$I$89,5,0)</f>
        <v>267.35915700000004</v>
      </c>
      <c r="CA68" s="13">
        <f t="shared" si="39"/>
        <v>64.288495548289134</v>
      </c>
      <c r="CB68" s="20">
        <f t="shared" ref="CB68:CB131" si="64">(BZ68+CA68)*0.475*44/12</f>
        <v>577.61966152160358</v>
      </c>
      <c r="CC68" s="59">
        <f t="shared" ref="CC68:CC131" si="65">CB68+(BT68+BU68)*44/12</f>
        <v>870.95299485493683</v>
      </c>
      <c r="CD68" s="59">
        <f ca="1">AVERAGE(OFFSET($CC$3,0,0,'Données projet'!$E$12+1,1))-AVERAGE(OFFSET($H$3,0,0,'Données projet'!$E$12+1,1))</f>
        <v>555.3092253965317</v>
      </c>
      <c r="CE68" s="59">
        <f t="shared" si="40"/>
        <v>292.20785523952651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95.632809901759472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95.632809901759472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232</v>
      </c>
      <c r="CR68" s="12">
        <f>VLOOKUP(A68,'Données projet'!$A$139:$I$159,9,0)</f>
        <v>5.6</v>
      </c>
      <c r="CS68" s="12">
        <f t="array" ref="CS68">INDEX(CR:CR,MIN(IF(ISNUMBER(CR68:CR264),ROW(CR68:CR264),"")))</f>
        <v>5.6</v>
      </c>
      <c r="CT68" s="12">
        <f>IF('Données projet'!$A$140&gt;35,CT67+CS68-DB67,IF(A68&lt;'Données projet'!$A$140,$CQ$205^A68,IF(A68='Données projet'!$A$140,'Données projet'!$B$140,CT67+CS68-DB67)))</f>
        <v>232</v>
      </c>
      <c r="CU68" s="17">
        <f>CT68*VLOOKUP('Données projet'!$B$13,Paramètres!$A$1:$I$89,3,0)*VLOOKUP('Données projet'!$B$13,Paramètres!$A$1:$I$89,5,0)</f>
        <v>148.38719999999998</v>
      </c>
      <c r="CV68" s="13">
        <f t="shared" si="41"/>
        <v>38.211840758090553</v>
      </c>
      <c r="CW68" s="20">
        <f t="shared" ref="CW68:CW131" si="67">(CU68+CV68)*0.475*44/12</f>
        <v>324.99332932034093</v>
      </c>
      <c r="CX68" s="59">
        <f t="shared" ref="CX68:CX131" si="68">CW68+(CO68+CP68)*44/12</f>
        <v>618.32666265367425</v>
      </c>
      <c r="CY68" s="59">
        <f ca="1">AVERAGE(OFFSET($CX$3,0,0,'Données projet'!$E$13+1,1))-AVERAGE(OFFSET($H$3,0,0,'Données projet'!$E$13+1,1))</f>
        <v>269.44168853803717</v>
      </c>
      <c r="CZ68" s="59">
        <f t="shared" si="42"/>
        <v>247.65158389074043</v>
      </c>
      <c r="DA68" s="15">
        <f>IF(ISNA(VLOOKUP(A68,'Données projet'!$A$139:$I$159,3,0)),0,VLOOKUP(A68,'Données projet'!$A$139:$I$159,3,0))</f>
        <v>10</v>
      </c>
      <c r="DB68" s="15">
        <f>IF(ISNA(VLOOKUP(A68,'Données projet'!$A$139:$I$159,4,0)),0,VLOOKUP(A68,'Données projet'!$A$139:$I$159,4,0))</f>
        <v>20</v>
      </c>
      <c r="DC68" s="16">
        <f>IF(ISNA(VLOOKUP(A68,'Données projet'!$A$139:$I$159,5,0)),0%,VLOOKUP(A68,'Données projet'!$A$139:$I$159,5,0)*VLOOKUP('Données projet'!$B$13,Paramètres!$A$1:$I$89,7,0))</f>
        <v>0.43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37.876243369309115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37.876243369309115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6">
        <f t="shared" si="56"/>
        <v>256.66666666666669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5.4</v>
      </c>
      <c r="N69" s="13">
        <f>IF('Données projet'!$A$36&gt;35,N68+M69-V68,IF(A69&lt;'Données projet'!$A$36,$K$205^A69,IF(A69='Données projet'!$A$36,'Données projet'!$B$36,N68+M69-V68)))</f>
        <v>235.40000000000009</v>
      </c>
      <c r="O69" s="13">
        <f>N69*VLOOKUP('Données projet'!$B$9,Paramètres!$A$1:$I$89,3,0)*VLOOKUP('Données projet'!$B$9,Paramètres!$A$1:$I$89,5,0)</f>
        <v>205.64544000000012</v>
      </c>
      <c r="P69" s="13">
        <f t="shared" ref="P69:P132" si="87">EXP(-1.0587+0.8836*LN(O69)+0.284)</f>
        <v>50.982847417614401</v>
      </c>
      <c r="Q69" s="20">
        <f t="shared" si="54"/>
        <v>446.96093391901189</v>
      </c>
      <c r="R69" s="59">
        <f t="shared" si="55"/>
        <v>740.29426725234521</v>
      </c>
      <c r="S69" s="59">
        <f ca="1">AVERAGE(OFFSET($R$3,0,0,'Données projet'!$E$9+1,1))-AVERAGE(OFFSET($H$3,0,0,'Données projet'!$E$9+1,1))</f>
        <v>381.72225529388083</v>
      </c>
      <c r="T69" s="59">
        <f t="shared" ref="T69:T132" si="88">$T$3</f>
        <v>360.05900046417361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58.063561047421182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58.063561047421182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304.99999999999994</v>
      </c>
      <c r="AJ69" s="13">
        <f>AI69*VLOOKUP('Données projet'!$B$10,Paramètres!$A$1:$I$89,3,0)*VLOOKUP('Données projet'!$B$10,Paramètres!$A$1:$I$89,5,0)</f>
        <v>275.96399999999994</v>
      </c>
      <c r="AK69" s="13">
        <f t="shared" ref="AK69:AK132" si="89">EXP(-1.0587+0.8836*LN(AJ69)+0.284)</f>
        <v>66.113366665488911</v>
      </c>
      <c r="AL69" s="20">
        <f t="shared" si="58"/>
        <v>595.7847469423931</v>
      </c>
      <c r="AM69" s="59">
        <f t="shared" si="59"/>
        <v>889.11808027572647</v>
      </c>
      <c r="AN69" s="59">
        <f ca="1">AVERAGE(OFFSET($AM$3,0,0,'Données projet'!$E$10+1,1))-AVERAGE(OFFSET($H$3,0,0,'Données projet'!$E$10+1,1))</f>
        <v>366.43676005661194</v>
      </c>
      <c r="AO69" s="59">
        <f t="shared" ref="AO69:AO132" si="90">$AO$3</f>
        <v>513.80016421153414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4.1025826964375591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4.1025826964375591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0.8600000000003547</v>
      </c>
      <c r="BE69" s="13">
        <f>BD69*VLOOKUP('Données projet'!$B$11,Paramètres!$A$1:$I$89,3,0)*VLOOKUP('Données projet'!$B$11,Paramètres!$A$1:$I$89,5,0)</f>
        <v>0.38012000000015683</v>
      </c>
      <c r="BF69" s="13">
        <f t="shared" ref="BF69:BF132" si="91">EXP(-1.0587+0.8836*LN(BE69)+0.284)</f>
        <v>0.19605142963512551</v>
      </c>
      <c r="BG69" s="20">
        <f t="shared" si="61"/>
        <v>1.0034985732814501</v>
      </c>
      <c r="BH69" s="59">
        <f t="shared" si="62"/>
        <v>294.33683190661475</v>
      </c>
      <c r="BI69" s="59">
        <f ca="1">AVERAGE(OFFSET($BH$3,0,0,'Données projet'!$E$11+1,1))-AVERAGE(OFFSET($H$3,0,0,'Données projet'!$E$11+1,1))</f>
        <v>328.58609979635901</v>
      </c>
      <c r="BJ69" s="59">
        <f t="shared" ref="BJ69:BJ132" si="92">$BJ$3</f>
        <v>432.3494365423407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236.42780246568077</v>
      </c>
      <c r="BQ69" s="21">
        <f>EXP(-LN(2)/25)*BQ68+(1-EXP(-LN(2)/25))/(LN(2)/25)*Calculateur!BL69*Calculateur!BN69*VLOOKUP('Données projet'!$B$11,Paramètres!$A$1:$I$89,3,0)*0.475*44/12</f>
        <v>14.737748505646147</v>
      </c>
      <c r="BR69" s="21">
        <f>EXP(-LN(2)/2)*BR68+(1-EXP(-LN(2)/2))/(LN(2)/2)*BL69*BO69*VLOOKUP('Données projet'!$B$11,Paramètres!$A$1:$I$89,3,0)*0.475*44/12</f>
        <v>2.2318017638570755E-6</v>
      </c>
      <c r="BS69" s="22">
        <f t="shared" si="63"/>
        <v>251.1655532031287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11.28875</v>
      </c>
      <c r="BY69" s="12">
        <f>IF('Données projet'!$A$114&gt;35,BY68+BX69-CG68,IF(A69&lt;'Données projet'!$A$114,$BV$205^A69,IF(A69='Données projet'!$A$114,'Données projet'!$B$114,BY68+BX69-CG68)))</f>
        <v>292.24625000000003</v>
      </c>
      <c r="BZ69" s="13">
        <f>BY69*VLOOKUP('Données projet'!$B$12,Paramètres!$A$1:$I$89,3,0)*VLOOKUP('Données projet'!$B$12,Paramètres!$A$1:$I$89,5,0)</f>
        <v>278.10153150000002</v>
      </c>
      <c r="CA69" s="13">
        <f t="shared" ref="CA69:CA132" si="93">EXP(-1.0587+0.8836*LN(BZ69)+0.284)</f>
        <v>66.565649193638095</v>
      </c>
      <c r="CB69" s="20">
        <f t="shared" si="64"/>
        <v>600.29533970808632</v>
      </c>
      <c r="CC69" s="59">
        <f t="shared" si="65"/>
        <v>893.62867304141969</v>
      </c>
      <c r="CD69" s="59">
        <f ca="1">AVERAGE(OFFSET($CC$3,0,0,'Données projet'!$E$12+1,1))-AVERAGE(OFFSET($H$3,0,0,'Données projet'!$E$12+1,1))</f>
        <v>555.3092253965317</v>
      </c>
      <c r="CE69" s="59">
        <f t="shared" ref="CE69:CE132" si="94">$CE$3</f>
        <v>292.20785523952651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93.757508829840376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93.757508829840376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5</v>
      </c>
      <c r="CT69" s="12">
        <f>IF('Données projet'!$A$140&gt;35,CT68+CS69-DB68,IF(A69&lt;'Données projet'!$A$140,$CQ$205^A69,IF(A69='Données projet'!$A$140,'Données projet'!$B$140,CT68+CS69-DB68)))</f>
        <v>217</v>
      </c>
      <c r="CU69" s="17">
        <f>CT69*VLOOKUP('Données projet'!$B$13,Paramètres!$A$1:$I$89,3,0)*VLOOKUP('Données projet'!$B$13,Paramètres!$A$1:$I$89,5,0)</f>
        <v>138.79320000000001</v>
      </c>
      <c r="CV69" s="13">
        <f t="shared" ref="CV69:CV132" si="95">EXP(-1.0587+0.8836*LN(CU69)+0.284)</f>
        <v>36.020405418475804</v>
      </c>
      <c r="CW69" s="20">
        <f t="shared" si="67"/>
        <v>304.46702943717872</v>
      </c>
      <c r="CX69" s="59">
        <f t="shared" si="68"/>
        <v>597.80036277051204</v>
      </c>
      <c r="CY69" s="59">
        <f ca="1">AVERAGE(OFFSET($CX$3,0,0,'Données projet'!$E$13+1,1))-AVERAGE(OFFSET($H$3,0,0,'Données projet'!$E$13+1,1))</f>
        <v>269.44168853803717</v>
      </c>
      <c r="CZ69" s="59">
        <f t="shared" ref="CZ69:CZ132" si="96">$CZ$3</f>
        <v>247.65158389074043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37.133513339064265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37.133513339064265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6">
        <f t="shared" si="56"/>
        <v>256.66666666666669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5.4</v>
      </c>
      <c r="N70" s="13">
        <f>IF('Données projet'!$A$36&gt;35,N69+M70-V69,IF(A70&lt;'Données projet'!$A$36,$K$205^A70,IF(A70='Données projet'!$A$36,'Données projet'!$B$36,N69+M70-V69)))</f>
        <v>240.8000000000001</v>
      </c>
      <c r="O70" s="13">
        <f>N70*VLOOKUP('Données projet'!$B$9,Paramètres!$A$1:$I$89,3,0)*VLOOKUP('Données projet'!$B$9,Paramètres!$A$1:$I$89,5,0)</f>
        <v>210.3628800000001</v>
      </c>
      <c r="P70" s="13">
        <f t="shared" si="87"/>
        <v>52.014876138342963</v>
      </c>
      <c r="Q70" s="20">
        <f t="shared" si="54"/>
        <v>456.97459194094745</v>
      </c>
      <c r="R70" s="59">
        <f t="shared" si="55"/>
        <v>750.30792527428071</v>
      </c>
      <c r="S70" s="59">
        <f ca="1">AVERAGE(OFFSET($R$3,0,0,'Données projet'!$E$9+1,1))-AVERAGE(OFFSET($H$3,0,0,'Données projet'!$E$9+1,1))</f>
        <v>381.72225529388083</v>
      </c>
      <c r="T70" s="59">
        <f t="shared" si="88"/>
        <v>360.05900046417361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56.924970030556523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56.924970030556523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304.99999999999994</v>
      </c>
      <c r="AJ70" s="13">
        <f>AI70*VLOOKUP('Données projet'!$B$10,Paramètres!$A$1:$I$89,3,0)*VLOOKUP('Données projet'!$B$10,Paramètres!$A$1:$I$89,5,0)</f>
        <v>275.96399999999994</v>
      </c>
      <c r="AK70" s="13">
        <f t="shared" si="89"/>
        <v>66.113366665488911</v>
      </c>
      <c r="AL70" s="20">
        <f t="shared" si="58"/>
        <v>595.7847469423931</v>
      </c>
      <c r="AM70" s="59">
        <f t="shared" si="59"/>
        <v>889.11808027572647</v>
      </c>
      <c r="AN70" s="59">
        <f ca="1">AVERAGE(OFFSET($AM$3,0,0,'Données projet'!$E$10+1,1))-AVERAGE(OFFSET($H$3,0,0,'Données projet'!$E$10+1,1))</f>
        <v>366.43676005661194</v>
      </c>
      <c r="AO70" s="59">
        <f t="shared" si="90"/>
        <v>513.80016421153414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4.0221335520887793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4.0221335520887793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0.8600000000003547</v>
      </c>
      <c r="BE70" s="13">
        <f>BD70*VLOOKUP('Données projet'!$B$11,Paramètres!$A$1:$I$89,3,0)*VLOOKUP('Données projet'!$B$11,Paramètres!$A$1:$I$89,5,0)</f>
        <v>0.38012000000015683</v>
      </c>
      <c r="BF70" s="13">
        <f t="shared" si="91"/>
        <v>0.19605142963512551</v>
      </c>
      <c r="BG70" s="20">
        <f t="shared" si="61"/>
        <v>1.0034985732814501</v>
      </c>
      <c r="BH70" s="59">
        <f t="shared" si="62"/>
        <v>294.33683190661475</v>
      </c>
      <c r="BI70" s="59">
        <f ca="1">AVERAGE(OFFSET($BH$3,0,0,'Données projet'!$E$11+1,1))-AVERAGE(OFFSET($H$3,0,0,'Données projet'!$E$11+1,1))</f>
        <v>328.58609979635901</v>
      </c>
      <c r="BJ70" s="59">
        <f t="shared" si="92"/>
        <v>432.3494365423407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231.79159746604904</v>
      </c>
      <c r="BQ70" s="21">
        <f>EXP(-LN(2)/25)*BQ69+(1-EXP(-LN(2)/25))/(LN(2)/25)*Calculateur!BL70*Calculateur!BN70*VLOOKUP('Données projet'!$B$11,Paramètres!$A$1:$I$89,3,0)*0.475*44/12</f>
        <v>14.334743997734742</v>
      </c>
      <c r="BR70" s="21">
        <f>EXP(-LN(2)/2)*BR69+(1-EXP(-LN(2)/2))/(LN(2)/2)*BL70*BO70*VLOOKUP('Données projet'!$B$11,Paramètres!$A$1:$I$89,3,0)*0.475*44/12</f>
        <v>1.5781221614874359E-6</v>
      </c>
      <c r="BS70" s="22">
        <f t="shared" si="63"/>
        <v>246.12634304190593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11.28875</v>
      </c>
      <c r="BY70" s="12">
        <f>IF('Données projet'!$A$114&gt;35,BY69+BX70-CG69,IF(A70&lt;'Données projet'!$A$114,$BV$205^A70,IF(A70='Données projet'!$A$114,'Données projet'!$B$114,BY69+BX70-CG69)))</f>
        <v>303.53500000000003</v>
      </c>
      <c r="BZ70" s="13">
        <f>BY70*VLOOKUP('Données projet'!$B$12,Paramètres!$A$1:$I$89,3,0)*VLOOKUP('Données projet'!$B$12,Paramètres!$A$1:$I$89,5,0)</f>
        <v>288.843906</v>
      </c>
      <c r="CA70" s="13">
        <f t="shared" si="93"/>
        <v>68.832584499489144</v>
      </c>
      <c r="CB70" s="20">
        <f t="shared" si="64"/>
        <v>622.95322095327685</v>
      </c>
      <c r="CC70" s="59">
        <f t="shared" si="65"/>
        <v>916.28655428661023</v>
      </c>
      <c r="CD70" s="59">
        <f ca="1">AVERAGE(OFFSET($CC$3,0,0,'Données projet'!$E$12+1,1))-AVERAGE(OFFSET($H$3,0,0,'Données projet'!$E$12+1,1))</f>
        <v>555.3092253965317</v>
      </c>
      <c r="CE70" s="59">
        <f t="shared" si="94"/>
        <v>292.20785523952651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91.918981268120902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91.918981268120902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5</v>
      </c>
      <c r="CT70" s="12">
        <f>IF('Données projet'!$A$140&gt;35,CT69+CS70-DB69,IF(A70&lt;'Données projet'!$A$140,$CQ$205^A70,IF(A70='Données projet'!$A$140,'Données projet'!$B$140,CT69+CS70-DB69)))</f>
        <v>222</v>
      </c>
      <c r="CU70" s="17">
        <f>CT70*VLOOKUP('Données projet'!$B$13,Paramètres!$A$1:$I$89,3,0)*VLOOKUP('Données projet'!$B$13,Paramètres!$A$1:$I$89,5,0)</f>
        <v>141.99119999999999</v>
      </c>
      <c r="CV70" s="13">
        <f t="shared" si="95"/>
        <v>36.752785844923459</v>
      </c>
      <c r="CW70" s="20">
        <f t="shared" si="67"/>
        <v>311.31244201324165</v>
      </c>
      <c r="CX70" s="59">
        <f t="shared" si="68"/>
        <v>604.64577534657496</v>
      </c>
      <c r="CY70" s="59">
        <f ca="1">AVERAGE(OFFSET($CX$3,0,0,'Données projet'!$E$13+1,1))-AVERAGE(OFFSET($H$3,0,0,'Données projet'!$E$13+1,1))</f>
        <v>269.44168853803717</v>
      </c>
      <c r="CZ70" s="59">
        <f t="shared" si="96"/>
        <v>247.65158389074043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36.405347791691931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36.405347791691931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6">
        <f t="shared" si="56"/>
        <v>256.66666666666669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5.4</v>
      </c>
      <c r="N71" s="13">
        <f>IF('Données projet'!$A$36&gt;35,N70+M71-V70,IF(A71&lt;'Données projet'!$A$36,$K$205^A71,IF(A71='Données projet'!$A$36,'Données projet'!$B$36,N70+M71-V70)))</f>
        <v>246.2000000000001</v>
      </c>
      <c r="O71" s="13">
        <f>N71*VLOOKUP('Données projet'!$B$9,Paramètres!$A$1:$I$89,3,0)*VLOOKUP('Données projet'!$B$9,Paramètres!$A$1:$I$89,5,0)</f>
        <v>215.08032000000011</v>
      </c>
      <c r="P71" s="13">
        <f t="shared" si="87"/>
        <v>53.044214230061506</v>
      </c>
      <c r="Q71" s="20">
        <f t="shared" si="54"/>
        <v>466.983563784024</v>
      </c>
      <c r="R71" s="59">
        <f t="shared" si="55"/>
        <v>760.31689711735726</v>
      </c>
      <c r="S71" s="59">
        <f ca="1">AVERAGE(OFFSET($R$3,0,0,'Données projet'!$E$9+1,1))-AVERAGE(OFFSET($H$3,0,0,'Données projet'!$E$9+1,1))</f>
        <v>381.72225529388083</v>
      </c>
      <c r="T71" s="59">
        <f t="shared" si="88"/>
        <v>360.05900046417361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55.808706089060635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55.808706089060635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304.99999999999994</v>
      </c>
      <c r="AJ71" s="13">
        <f>AI71*VLOOKUP('Données projet'!$B$10,Paramètres!$A$1:$I$89,3,0)*VLOOKUP('Données projet'!$B$10,Paramètres!$A$1:$I$89,5,0)</f>
        <v>275.96399999999994</v>
      </c>
      <c r="AK71" s="13">
        <f t="shared" si="89"/>
        <v>66.113366665488911</v>
      </c>
      <c r="AL71" s="20">
        <f t="shared" si="58"/>
        <v>595.7847469423931</v>
      </c>
      <c r="AM71" s="59">
        <f t="shared" si="59"/>
        <v>889.11808027572647</v>
      </c>
      <c r="AN71" s="59">
        <f ca="1">AVERAGE(OFFSET($AM$3,0,0,'Données projet'!$E$10+1,1))-AVERAGE(OFFSET($H$3,0,0,'Données projet'!$E$10+1,1))</f>
        <v>366.43676005661194</v>
      </c>
      <c r="AO71" s="59">
        <f t="shared" si="90"/>
        <v>513.80016421153414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3.943261966391546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3.943261966391546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0.8600000000003547</v>
      </c>
      <c r="BE71" s="13">
        <f>BD71*VLOOKUP('Données projet'!$B$11,Paramètres!$A$1:$I$89,3,0)*VLOOKUP('Données projet'!$B$11,Paramètres!$A$1:$I$89,5,0)</f>
        <v>0.38012000000015683</v>
      </c>
      <c r="BF71" s="13">
        <f t="shared" si="91"/>
        <v>0.19605142963512551</v>
      </c>
      <c r="BG71" s="20">
        <f t="shared" si="61"/>
        <v>1.0034985732814501</v>
      </c>
      <c r="BH71" s="59">
        <f t="shared" si="62"/>
        <v>294.33683190661475</v>
      </c>
      <c r="BI71" s="59">
        <f ca="1">AVERAGE(OFFSET($BH$3,0,0,'Données projet'!$E$11+1,1))-AVERAGE(OFFSET($H$3,0,0,'Données projet'!$E$11+1,1))</f>
        <v>328.58609979635901</v>
      </c>
      <c r="BJ71" s="59">
        <f t="shared" si="92"/>
        <v>432.3494365423407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227.24630561865428</v>
      </c>
      <c r="BQ71" s="21">
        <f>EXP(-LN(2)/25)*BQ70+(1-EXP(-LN(2)/25))/(LN(2)/25)*Calculateur!BL71*Calculateur!BN71*VLOOKUP('Données projet'!$B$11,Paramètres!$A$1:$I$89,3,0)*0.475*44/12</f>
        <v>13.942759669285261</v>
      </c>
      <c r="BR71" s="21">
        <f>EXP(-LN(2)/2)*BR70+(1-EXP(-LN(2)/2))/(LN(2)/2)*BL71*BO71*VLOOKUP('Données projet'!$B$11,Paramètres!$A$1:$I$89,3,0)*0.475*44/12</f>
        <v>1.1159008819285377E-6</v>
      </c>
      <c r="BS71" s="22">
        <f t="shared" si="63"/>
        <v>241.18906640384043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11.28875</v>
      </c>
      <c r="BY71" s="12">
        <f>IF('Données projet'!$A$114&gt;35,BY70+BX71-CG70,IF(A71&lt;'Données projet'!$A$114,$BV$205^A71,IF(A71='Données projet'!$A$114,'Données projet'!$B$114,BY70+BX71-CG70)))</f>
        <v>314.82375000000002</v>
      </c>
      <c r="BZ71" s="13">
        <f>BY71*VLOOKUP('Données projet'!$B$12,Paramètres!$A$1:$I$89,3,0)*VLOOKUP('Données projet'!$B$12,Paramètres!$A$1:$I$89,5,0)</f>
        <v>299.58628049999999</v>
      </c>
      <c r="CA71" s="13">
        <f t="shared" si="93"/>
        <v>71.089725012564571</v>
      </c>
      <c r="CB71" s="20">
        <f t="shared" si="64"/>
        <v>645.59404293438308</v>
      </c>
      <c r="CC71" s="59">
        <f t="shared" si="65"/>
        <v>938.92737626771645</v>
      </c>
      <c r="CD71" s="59">
        <f ca="1">AVERAGE(OFFSET($CC$3,0,0,'Données projet'!$E$12+1,1))-AVERAGE(OFFSET($H$3,0,0,'Données projet'!$E$12+1,1))</f>
        <v>555.3092253965317</v>
      </c>
      <c r="CE71" s="59">
        <f t="shared" si="94"/>
        <v>292.20785523952651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90.116506110495664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90.116506110495664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5</v>
      </c>
      <c r="CT71" s="12">
        <f>IF('Données projet'!$A$140&gt;35,CT70+CS71-DB70,IF(A71&lt;'Données projet'!$A$140,$CQ$205^A71,IF(A71='Données projet'!$A$140,'Données projet'!$B$140,CT70+CS71-DB70)))</f>
        <v>227</v>
      </c>
      <c r="CU71" s="17">
        <f>CT71*VLOOKUP('Données projet'!$B$13,Paramètres!$A$1:$I$89,3,0)*VLOOKUP('Données projet'!$B$13,Paramètres!$A$1:$I$89,5,0)</f>
        <v>145.1892</v>
      </c>
      <c r="CV71" s="13">
        <f t="shared" si="95"/>
        <v>37.483248590240066</v>
      </c>
      <c r="CW71" s="20">
        <f t="shared" si="67"/>
        <v>318.15451462800144</v>
      </c>
      <c r="CX71" s="59">
        <f t="shared" si="68"/>
        <v>611.48784796133475</v>
      </c>
      <c r="CY71" s="59">
        <f ca="1">AVERAGE(OFFSET($CX$3,0,0,'Données projet'!$E$13+1,1))-AVERAGE(OFFSET($H$3,0,0,'Données projet'!$E$13+1,1))</f>
        <v>269.44168853803717</v>
      </c>
      <c r="CZ71" s="59">
        <f t="shared" si="96"/>
        <v>247.65158389074043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35.691461126566438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35.691461126566438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6">
        <f t="shared" si="56"/>
        <v>256.66666666666669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5.4</v>
      </c>
      <c r="N72" s="13">
        <f>IF('Données projet'!$A$36&gt;35,N71+M72-V71,IF(A72&lt;'Données projet'!$A$36,$K$205^A72,IF(A72='Données projet'!$A$36,'Données projet'!$B$36,N71+M72-V71)))</f>
        <v>251.60000000000011</v>
      </c>
      <c r="O72" s="13">
        <f>N72*VLOOKUP('Données projet'!$B$9,Paramètres!$A$1:$I$89,3,0)*VLOOKUP('Données projet'!$B$9,Paramètres!$A$1:$I$89,5,0)</f>
        <v>219.79776000000012</v>
      </c>
      <c r="P72" s="13">
        <f t="shared" si="87"/>
        <v>54.070927503307431</v>
      </c>
      <c r="Q72" s="20">
        <f t="shared" si="54"/>
        <v>476.98796406826068</v>
      </c>
      <c r="R72" s="59">
        <f t="shared" si="55"/>
        <v>770.32129740159394</v>
      </c>
      <c r="S72" s="59">
        <f ca="1">AVERAGE(OFFSET($R$3,0,0,'Données projet'!$E$9+1,1))-AVERAGE(OFFSET($H$3,0,0,'Données projet'!$E$9+1,1))</f>
        <v>381.72225529388083</v>
      </c>
      <c r="T72" s="59">
        <f t="shared" si="88"/>
        <v>360.05900046417361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54.714331402603705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54.714331402603705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304.99999999999994</v>
      </c>
      <c r="AJ72" s="13">
        <f>AI72*VLOOKUP('Données projet'!$B$10,Paramètres!$A$1:$I$89,3,0)*VLOOKUP('Données projet'!$B$10,Paramètres!$A$1:$I$89,5,0)</f>
        <v>275.96399999999994</v>
      </c>
      <c r="AK72" s="13">
        <f t="shared" si="89"/>
        <v>66.113366665488911</v>
      </c>
      <c r="AL72" s="20">
        <f t="shared" si="58"/>
        <v>595.7847469423931</v>
      </c>
      <c r="AM72" s="59">
        <f t="shared" si="59"/>
        <v>889.11808027572647</v>
      </c>
      <c r="AN72" s="59">
        <f ca="1">AVERAGE(OFFSET($AM$3,0,0,'Données projet'!$E$10+1,1))-AVERAGE(OFFSET($H$3,0,0,'Données projet'!$E$10+1,1))</f>
        <v>366.43676005661194</v>
      </c>
      <c r="AO72" s="59">
        <f t="shared" si="90"/>
        <v>513.80016421153414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3.8659370043829182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3.8659370043829182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0.8600000000003547</v>
      </c>
      <c r="BE72" s="13">
        <f>BD72*VLOOKUP('Données projet'!$B$11,Paramètres!$A$1:$I$89,3,0)*VLOOKUP('Données projet'!$B$11,Paramètres!$A$1:$I$89,5,0)</f>
        <v>0.38012000000015683</v>
      </c>
      <c r="BF72" s="13">
        <f t="shared" si="91"/>
        <v>0.19605142963512551</v>
      </c>
      <c r="BG72" s="20">
        <f t="shared" si="61"/>
        <v>1.0034985732814501</v>
      </c>
      <c r="BH72" s="59">
        <f t="shared" si="62"/>
        <v>294.33683190661475</v>
      </c>
      <c r="BI72" s="59">
        <f ca="1">AVERAGE(OFFSET($BH$3,0,0,'Données projet'!$E$11+1,1))-AVERAGE(OFFSET($H$3,0,0,'Données projet'!$E$11+1,1))</f>
        <v>328.58609979635901</v>
      </c>
      <c r="BJ72" s="59">
        <f t="shared" si="92"/>
        <v>432.3494365423407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222.79014417203263</v>
      </c>
      <c r="BQ72" s="21">
        <f>EXP(-LN(2)/25)*BQ71+(1-EXP(-LN(2)/25))/(LN(2)/25)*Calculateur!BL72*Calculateur!BN72*VLOOKUP('Données projet'!$B$11,Paramètres!$A$1:$I$89,3,0)*0.475*44/12</f>
        <v>13.561494172910791</v>
      </c>
      <c r="BR72" s="21">
        <f>EXP(-LN(2)/2)*BR71+(1-EXP(-LN(2)/2))/(LN(2)/2)*BL72*BO72*VLOOKUP('Données projet'!$B$11,Paramètres!$A$1:$I$89,3,0)*0.475*44/12</f>
        <v>7.8906108074371796E-7</v>
      </c>
      <c r="BS72" s="22">
        <f t="shared" si="63"/>
        <v>236.3516391340045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11.28875</v>
      </c>
      <c r="BY72" s="12">
        <f>IF('Données projet'!$A$114&gt;35,BY71+BX72-CG71,IF(A72&lt;'Données projet'!$A$114,$BV$205^A72,IF(A72='Données projet'!$A$114,'Données projet'!$B$114,BY71+BX72-CG71)))</f>
        <v>326.11250000000001</v>
      </c>
      <c r="BZ72" s="13">
        <f>BY72*VLOOKUP('Données projet'!$B$12,Paramètres!$A$1:$I$89,3,0)*VLOOKUP('Données projet'!$B$12,Paramètres!$A$1:$I$89,5,0)</f>
        <v>310.32865500000003</v>
      </c>
      <c r="CA72" s="13">
        <f t="shared" si="93"/>
        <v>73.337462183263924</v>
      </c>
      <c r="CB72" s="20">
        <f t="shared" si="64"/>
        <v>668.21848742751797</v>
      </c>
      <c r="CC72" s="59">
        <f t="shared" si="65"/>
        <v>961.55182076085134</v>
      </c>
      <c r="CD72" s="59">
        <f ca="1">AVERAGE(OFFSET($CC$3,0,0,'Données projet'!$E$12+1,1))-AVERAGE(OFFSET($H$3,0,0,'Données projet'!$E$12+1,1))</f>
        <v>555.3092253965317</v>
      </c>
      <c r="CE72" s="59">
        <f t="shared" si="94"/>
        <v>292.20785523952651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88.349376391310159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88.349376391310159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5</v>
      </c>
      <c r="CT72" s="12">
        <f>IF('Données projet'!$A$140&gt;35,CT71+CS72-DB71,IF(A72&lt;'Données projet'!$A$140,$CQ$205^A72,IF(A72='Données projet'!$A$140,'Données projet'!$B$140,CT71+CS72-DB71)))</f>
        <v>232</v>
      </c>
      <c r="CU72" s="17">
        <f>CT72*VLOOKUP('Données projet'!$B$13,Paramètres!$A$1:$I$89,3,0)*VLOOKUP('Données projet'!$B$13,Paramètres!$A$1:$I$89,5,0)</f>
        <v>148.38719999999998</v>
      </c>
      <c r="CV72" s="13">
        <f t="shared" si="95"/>
        <v>38.211840758090553</v>
      </c>
      <c r="CW72" s="20">
        <f t="shared" si="67"/>
        <v>324.99332932034093</v>
      </c>
      <c r="CX72" s="59">
        <f t="shared" si="68"/>
        <v>618.32666265367425</v>
      </c>
      <c r="CY72" s="59">
        <f ca="1">AVERAGE(OFFSET($CX$3,0,0,'Données projet'!$E$13+1,1))-AVERAGE(OFFSET($H$3,0,0,'Données projet'!$E$13+1,1))</f>
        <v>269.44168853803717</v>
      </c>
      <c r="CZ72" s="59">
        <f t="shared" si="96"/>
        <v>247.65158389074043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34.991573343516187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34.991573343516187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6">
        <f t="shared" si="56"/>
        <v>256.66666666666669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257</v>
      </c>
      <c r="L73" s="12">
        <f>VLOOKUP(A73,'Données projet'!$A$35:$I$55,9,0)</f>
        <v>5.4</v>
      </c>
      <c r="M73" s="12">
        <f t="array" ref="M73">INDEX(L:L,MIN(IF(ISNUMBER(L73:L269),ROW(L73:L269),"")))</f>
        <v>5.4</v>
      </c>
      <c r="N73" s="13">
        <f>IF('Données projet'!$A$36&gt;35,N72+M73-V72,IF(A73&lt;'Données projet'!$A$36,$K$205^A73,IF(A73='Données projet'!$A$36,'Données projet'!$B$36,N72+M73-V72)))</f>
        <v>257.00000000000011</v>
      </c>
      <c r="O73" s="13">
        <f>N73*VLOOKUP('Données projet'!$B$9,Paramètres!$A$1:$I$89,3,0)*VLOOKUP('Données projet'!$B$9,Paramètres!$A$1:$I$89,5,0)</f>
        <v>224.51520000000014</v>
      </c>
      <c r="P73" s="13">
        <f t="shared" si="87"/>
        <v>55.095078782313593</v>
      </c>
      <c r="Q73" s="20">
        <f t="shared" si="54"/>
        <v>486.98790221252966</v>
      </c>
      <c r="R73" s="59">
        <f t="shared" si="55"/>
        <v>780.32123554586292</v>
      </c>
      <c r="S73" s="59">
        <f ca="1">AVERAGE(OFFSET($R$3,0,0,'Données projet'!$E$9+1,1))-AVERAGE(OFFSET($H$3,0,0,'Données projet'!$E$9+1,1))</f>
        <v>381.72225529388083</v>
      </c>
      <c r="T73" s="59">
        <f t="shared" si="88"/>
        <v>360.05900046417361</v>
      </c>
      <c r="U73" s="15">
        <f>IF(ISNA(VLOOKUP(A73,'Données projet'!$A$35:$I$55,3,0)),0,VLOOKUP(A73,'Données projet'!$A$35:$I$55,3,0))</f>
        <v>12</v>
      </c>
      <c r="V73" s="15">
        <f>IF(ISNA(VLOOKUP(A73,'Données projet'!$A$35:$I$55,4,0)),0,VLOOKUP(A73,'Données projet'!$A$35:$I$55,4,0))</f>
        <v>21</v>
      </c>
      <c r="W73" s="16">
        <f>IF(ISNA(VLOOKUP(A73,'Données projet'!$A$35:$I$55,5,0)),0%,VLOOKUP(A73,'Données projet'!$A$35:$I$55,5,0)*VLOOKUP('Données projet'!$B$9,Paramètres!$A$1:$I$89,7,0))</f>
        <v>0.43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62.362039215992212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62.362039215992212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304.99999999999994</v>
      </c>
      <c r="AJ73" s="13">
        <f>AI73*VLOOKUP('Données projet'!$B$10,Paramètres!$A$1:$I$89,3,0)*VLOOKUP('Données projet'!$B$10,Paramètres!$A$1:$I$89,5,0)</f>
        <v>275.96399999999994</v>
      </c>
      <c r="AK73" s="13">
        <f t="shared" si="89"/>
        <v>66.113366665488911</v>
      </c>
      <c r="AL73" s="20">
        <f t="shared" si="58"/>
        <v>595.7847469423931</v>
      </c>
      <c r="AM73" s="59">
        <f t="shared" si="59"/>
        <v>889.11808027572647</v>
      </c>
      <c r="AN73" s="59">
        <f ca="1">AVERAGE(OFFSET($AM$3,0,0,'Données projet'!$E$10+1,1))-AVERAGE(OFFSET($H$3,0,0,'Données projet'!$E$10+1,1))</f>
        <v>366.43676005661194</v>
      </c>
      <c r="AO73" s="59">
        <f t="shared" si="90"/>
        <v>513.80016421153414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3.7901283377157098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3.7901283377157098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0.8600000000003547</v>
      </c>
      <c r="BE73" s="13">
        <f>BD73*VLOOKUP('Données projet'!$B$11,Paramètres!$A$1:$I$89,3,0)*VLOOKUP('Données projet'!$B$11,Paramètres!$A$1:$I$89,5,0)</f>
        <v>0.38012000000015683</v>
      </c>
      <c r="BF73" s="13">
        <f t="shared" si="91"/>
        <v>0.19605142963512551</v>
      </c>
      <c r="BG73" s="20">
        <f t="shared" si="61"/>
        <v>1.0034985732814501</v>
      </c>
      <c r="BH73" s="59">
        <f t="shared" si="62"/>
        <v>294.33683190661475</v>
      </c>
      <c r="BI73" s="59">
        <f ca="1">AVERAGE(OFFSET($BH$3,0,0,'Données projet'!$E$11+1,1))-AVERAGE(OFFSET($H$3,0,0,'Données projet'!$E$11+1,1))</f>
        <v>328.58609979635901</v>
      </c>
      <c r="BJ73" s="59">
        <f t="shared" si="92"/>
        <v>432.3494365423407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218.42136533338913</v>
      </c>
      <c r="BQ73" s="21">
        <f>EXP(-LN(2)/25)*BQ72+(1-EXP(-LN(2)/25))/(LN(2)/25)*Calculateur!BL73*Calculateur!BN73*VLOOKUP('Données projet'!$B$11,Paramètres!$A$1:$I$89,3,0)*0.475*44/12</f>
        <v>13.190654401584561</v>
      </c>
      <c r="BR73" s="21">
        <f>EXP(-LN(2)/2)*BR72+(1-EXP(-LN(2)/2))/(LN(2)/2)*BL73*BO73*VLOOKUP('Données projet'!$B$11,Paramètres!$A$1:$I$89,3,0)*0.475*44/12</f>
        <v>5.5795044096426887E-7</v>
      </c>
      <c r="BS73" s="22">
        <f t="shared" si="63"/>
        <v>231.61202029292414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11.28875</v>
      </c>
      <c r="BY73" s="12">
        <f>IF('Données projet'!$A$114&gt;35,BY72+BX73-CG72,IF(A73&lt;'Données projet'!$A$114,$BV$205^A73,IF(A73='Données projet'!$A$114,'Données projet'!$B$114,BY72+BX73-CG72)))</f>
        <v>337.40125</v>
      </c>
      <c r="BZ73" s="13">
        <f>BY73*VLOOKUP('Données projet'!$B$12,Paramètres!$A$1:$I$89,3,0)*VLOOKUP('Données projet'!$B$12,Paramètres!$A$1:$I$89,5,0)</f>
        <v>321.07102950000001</v>
      </c>
      <c r="CA73" s="13">
        <f t="shared" si="93"/>
        <v>75.576158824004594</v>
      </c>
      <c r="CB73" s="20">
        <f t="shared" si="64"/>
        <v>690.82718633097465</v>
      </c>
      <c r="CC73" s="59">
        <f t="shared" si="65"/>
        <v>984.16051966430791</v>
      </c>
      <c r="CD73" s="59">
        <f ca="1">AVERAGE(OFFSET($CC$3,0,0,'Données projet'!$E$12+1,1))-AVERAGE(OFFSET($H$3,0,0,'Données projet'!$E$12+1,1))</f>
        <v>555.3092253965317</v>
      </c>
      <c r="CE73" s="59">
        <f t="shared" si="94"/>
        <v>292.20785523952651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86.616899008075194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86.616899008075194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237</v>
      </c>
      <c r="CR73" s="12">
        <f>VLOOKUP(A73,'Données projet'!$A$139:$I$159,9,0)</f>
        <v>5</v>
      </c>
      <c r="CS73" s="12">
        <f t="array" ref="CS73">INDEX(CR:CR,MIN(IF(ISNUMBER(CR73:CR269),ROW(CR73:CR269),"")))</f>
        <v>5</v>
      </c>
      <c r="CT73" s="12">
        <f>IF('Données projet'!$A$140&gt;35,CT72+CS73-DB72,IF(A73&lt;'Données projet'!$A$140,$CQ$205^A73,IF(A73='Données projet'!$A$140,'Données projet'!$B$140,CT72+CS73-DB72)))</f>
        <v>237</v>
      </c>
      <c r="CU73" s="17">
        <f>CT73*VLOOKUP('Données projet'!$B$13,Paramètres!$A$1:$I$89,3,0)*VLOOKUP('Données projet'!$B$13,Paramètres!$A$1:$I$89,5,0)</f>
        <v>151.58519999999999</v>
      </c>
      <c r="CV73" s="13">
        <f t="shared" si="95"/>
        <v>38.938607305837699</v>
      </c>
      <c r="CW73" s="20">
        <f t="shared" si="67"/>
        <v>331.82896439100062</v>
      </c>
      <c r="CX73" s="59">
        <f t="shared" si="68"/>
        <v>625.16229772433394</v>
      </c>
      <c r="CY73" s="59">
        <f ca="1">AVERAGE(OFFSET($CX$3,0,0,'Données projet'!$E$13+1,1))-AVERAGE(OFFSET($H$3,0,0,'Données projet'!$E$13+1,1))</f>
        <v>269.44168853803717</v>
      </c>
      <c r="CZ73" s="59">
        <f t="shared" si="96"/>
        <v>247.65158389074043</v>
      </c>
      <c r="DA73" s="15">
        <f>IF(ISNA(VLOOKUP(A73,'Données projet'!$A$139:$I$159,3,0)),0,VLOOKUP(A73,'Données projet'!$A$139:$I$159,3,0))</f>
        <v>11</v>
      </c>
      <c r="DB73" s="15">
        <f>IF(ISNA(VLOOKUP(A73,'Données projet'!$A$139:$I$159,4,0)),0,VLOOKUP(A73,'Données projet'!$A$139:$I$159,4,0))</f>
        <v>18</v>
      </c>
      <c r="DC73" s="16">
        <f>IF(ISNA(VLOOKUP(A73,'Données projet'!$A$139:$I$159,5,0)),0%,VLOOKUP(A73,'Données projet'!$A$139:$I$159,5,0)*VLOOKUP('Données projet'!$B$13,Paramètres!$A$1:$I$89,7,0))</f>
        <v>0.43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39.77804546876154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39.77804546876154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6">
        <f t="shared" si="56"/>
        <v>256.66666666666669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5</v>
      </c>
      <c r="N74" s="13">
        <f>IF('Données projet'!$A$36&gt;35,N73+M74-V73,IF(A74&lt;'Données projet'!$A$36,$K$205^A74,IF(A74='Données projet'!$A$36,'Données projet'!$B$36,N73+M74-V73)))</f>
        <v>241.00000000000011</v>
      </c>
      <c r="O74" s="13">
        <f>N74*VLOOKUP('Données projet'!$B$9,Paramètres!$A$1:$I$89,3,0)*VLOOKUP('Données projet'!$B$9,Paramètres!$A$1:$I$89,5,0)</f>
        <v>210.53760000000011</v>
      </c>
      <c r="P74" s="13">
        <f t="shared" si="87"/>
        <v>52.053047337322276</v>
      </c>
      <c r="Q74" s="20">
        <f t="shared" si="54"/>
        <v>457.34537744583645</v>
      </c>
      <c r="R74" s="59">
        <f t="shared" si="55"/>
        <v>750.67871077916971</v>
      </c>
      <c r="S74" s="59">
        <f ca="1">AVERAGE(OFFSET($R$3,0,0,'Données projet'!$E$9+1,1))-AVERAGE(OFFSET($H$3,0,0,'Données projet'!$E$9+1,1))</f>
        <v>381.72225529388083</v>
      </c>
      <c r="T74" s="59">
        <f t="shared" si="88"/>
        <v>360.05900046417361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61.139157664054679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61.139157664054679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304.99999999999994</v>
      </c>
      <c r="AJ74" s="13">
        <f>AI74*VLOOKUP('Données projet'!$B$10,Paramètres!$A$1:$I$89,3,0)*VLOOKUP('Données projet'!$B$10,Paramètres!$A$1:$I$89,5,0)</f>
        <v>275.96399999999994</v>
      </c>
      <c r="AK74" s="13">
        <f t="shared" si="89"/>
        <v>66.113366665488911</v>
      </c>
      <c r="AL74" s="20">
        <f t="shared" si="58"/>
        <v>595.7847469423931</v>
      </c>
      <c r="AM74" s="59">
        <f t="shared" si="59"/>
        <v>889.11808027572647</v>
      </c>
      <c r="AN74" s="59">
        <f ca="1">AVERAGE(OFFSET($AM$3,0,0,'Données projet'!$E$10+1,1))-AVERAGE(OFFSET($H$3,0,0,'Données projet'!$E$10+1,1))</f>
        <v>366.43676005661194</v>
      </c>
      <c r="AO74" s="59">
        <f t="shared" si="90"/>
        <v>513.80016421153414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3.7158062327631245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3.7158062327631245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0.8600000000003547</v>
      </c>
      <c r="BE74" s="13">
        <f>BD74*VLOOKUP('Données projet'!$B$11,Paramètres!$A$1:$I$89,3,0)*VLOOKUP('Données projet'!$B$11,Paramètres!$A$1:$I$89,5,0)</f>
        <v>0.38012000000015683</v>
      </c>
      <c r="BF74" s="13">
        <f t="shared" si="91"/>
        <v>0.19605142963512551</v>
      </c>
      <c r="BG74" s="20">
        <f t="shared" si="61"/>
        <v>1.0034985732814501</v>
      </c>
      <c r="BH74" s="59">
        <f t="shared" si="62"/>
        <v>294.33683190661475</v>
      </c>
      <c r="BI74" s="59">
        <f ca="1">AVERAGE(OFFSET($BH$3,0,0,'Données projet'!$E$11+1,1))-AVERAGE(OFFSET($H$3,0,0,'Données projet'!$E$11+1,1))</f>
        <v>328.58609979635901</v>
      </c>
      <c r="BJ74" s="59">
        <f t="shared" si="92"/>
        <v>432.3494365423407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214.13825558307946</v>
      </c>
      <c r="BQ74" s="21">
        <f>EXP(-LN(2)/25)*BQ73+(1-EXP(-LN(2)/25))/(LN(2)/25)*Calculateur!BL74*Calculateur!BN74*VLOOKUP('Données projet'!$B$11,Paramètres!$A$1:$I$89,3,0)*0.475*44/12</f>
        <v>12.829955263306864</v>
      </c>
      <c r="BR74" s="21">
        <f>EXP(-LN(2)/2)*BR73+(1-EXP(-LN(2)/2))/(LN(2)/2)*BL74*BO74*VLOOKUP('Données projet'!$B$11,Paramètres!$A$1:$I$89,3,0)*0.475*44/12</f>
        <v>3.9453054037185898E-7</v>
      </c>
      <c r="BS74" s="22">
        <f t="shared" si="63"/>
        <v>226.96821124091684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>
        <f>VLOOKUP(A74,'Données projet'!$A$113:$I$133,2,0)</f>
        <v>348.69</v>
      </c>
      <c r="BW74" s="12">
        <f>VLOOKUP(A74,'Données projet'!$A$113:$I$133,9,0)</f>
        <v>11.28875</v>
      </c>
      <c r="BX74" s="12">
        <f t="array" ref="BX74">INDEX(BW:BW,MIN(IF(ISNUMBER(BW74:BW270),ROW(BW74:BW270),"")))</f>
        <v>11.28875</v>
      </c>
      <c r="BY74" s="12">
        <f>IF('Données projet'!$A$114&gt;35,BY73+BX74-CG73,IF(A74&lt;'Données projet'!$A$114,$BV$205^A74,IF(A74='Données projet'!$A$114,'Données projet'!$B$114,BY73+BX74-CG73)))</f>
        <v>348.69</v>
      </c>
      <c r="BZ74" s="13">
        <f>BY74*VLOOKUP('Données projet'!$B$12,Paramètres!$A$1:$I$89,3,0)*VLOOKUP('Données projet'!$B$12,Paramètres!$A$1:$I$89,5,0)</f>
        <v>331.81340399999999</v>
      </c>
      <c r="CA74" s="13">
        <f t="shared" si="93"/>
        <v>77.806152091723447</v>
      </c>
      <c r="CB74" s="20">
        <f t="shared" si="64"/>
        <v>713.42072685975165</v>
      </c>
      <c r="CC74" s="59">
        <f t="shared" si="65"/>
        <v>1006.754060193085</v>
      </c>
      <c r="CD74" s="59">
        <f ca="1">AVERAGE(OFFSET($CC$3,0,0,'Données projet'!$E$12+1,1))-AVERAGE(OFFSET($H$3,0,0,'Données projet'!$E$12+1,1))</f>
        <v>555.3092253965317</v>
      </c>
      <c r="CE74" s="59">
        <f t="shared" si="94"/>
        <v>292.20785523952651</v>
      </c>
      <c r="CF74" s="15">
        <f>IF(ISNA(VLOOKUP(A74,'Données projet'!$A$113:$I$133,3,0)),0,VLOOKUP(A74,'Données projet'!$A$113:$I$133,3,0))</f>
        <v>6</v>
      </c>
      <c r="CG74" s="15">
        <f>IF(ISNA(VLOOKUP(A74,'Données projet'!$A$113:$I$133,4,0)),0,VLOOKUP(A74,'Données projet'!$A$113:$I$133,4,0))</f>
        <v>52.07</v>
      </c>
      <c r="CH74" s="16">
        <f>IF(ISNA(VLOOKUP(A74,'Données projet'!$A$113:$I$133,5,0)),0%,VLOOKUP(A74,'Données projet'!$A$113:$I$133,5,0)*VLOOKUP('Données projet'!$B$12,Paramètres!$A$1:$I$89,7,0))</f>
        <v>0.43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108.47200972491193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108.47200972491193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4.4000000000000004</v>
      </c>
      <c r="CT74" s="12">
        <f>IF('Données projet'!$A$140&gt;35,CT73+CS74-DB73,IF(A74&lt;'Données projet'!$A$140,$CQ$205^A74,IF(A74='Données projet'!$A$140,'Données projet'!$B$140,CT73+CS74-DB73)))</f>
        <v>223.4</v>
      </c>
      <c r="CU74" s="17">
        <f>CT74*VLOOKUP('Données projet'!$B$13,Paramètres!$A$1:$I$89,3,0)*VLOOKUP('Données projet'!$B$13,Paramètres!$A$1:$I$89,5,0)</f>
        <v>142.88664</v>
      </c>
      <c r="CV74" s="13">
        <f t="shared" si="95"/>
        <v>36.957506648844401</v>
      </c>
      <c r="CW74" s="20">
        <f t="shared" si="67"/>
        <v>313.22855541340397</v>
      </c>
      <c r="CX74" s="59">
        <f t="shared" si="68"/>
        <v>606.56188874673728</v>
      </c>
      <c r="CY74" s="59">
        <f ca="1">AVERAGE(OFFSET($CX$3,0,0,'Données projet'!$E$13+1,1))-AVERAGE(OFFSET($H$3,0,0,'Données projet'!$E$13+1,1))</f>
        <v>269.44168853803717</v>
      </c>
      <c r="CZ74" s="59">
        <f t="shared" si="96"/>
        <v>247.65158389074043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38.998022259331165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38.998022259331165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6">
        <f t="shared" si="56"/>
        <v>256.66666666666669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5</v>
      </c>
      <c r="N75" s="13">
        <f>IF('Données projet'!$A$36&gt;35,N74+M75-V74,IF(A75&lt;'Données projet'!$A$36,$K$205^A75,IF(A75='Données projet'!$A$36,'Données projet'!$B$36,N74+M75-V74)))</f>
        <v>246.00000000000011</v>
      </c>
      <c r="O75" s="13">
        <f>N75*VLOOKUP('Données projet'!$B$9,Paramètres!$A$1:$I$89,3,0)*VLOOKUP('Données projet'!$B$9,Paramètres!$A$1:$I$89,5,0)</f>
        <v>214.90560000000013</v>
      </c>
      <c r="P75" s="13">
        <f t="shared" si="87"/>
        <v>53.006137800892375</v>
      </c>
      <c r="Q75" s="20">
        <f t="shared" si="54"/>
        <v>466.61294333655451</v>
      </c>
      <c r="R75" s="59">
        <f t="shared" si="55"/>
        <v>759.94627666988777</v>
      </c>
      <c r="S75" s="59">
        <f ca="1">AVERAGE(OFFSET($R$3,0,0,'Données projet'!$E$9+1,1))-AVERAGE(OFFSET($H$3,0,0,'Données projet'!$E$9+1,1))</f>
        <v>381.72225529388083</v>
      </c>
      <c r="T75" s="59">
        <f t="shared" si="88"/>
        <v>360.05900046417361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59.940256073466543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59.940256073466543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304.99999999999994</v>
      </c>
      <c r="AJ75" s="13">
        <f>AI75*VLOOKUP('Données projet'!$B$10,Paramètres!$A$1:$I$89,3,0)*VLOOKUP('Données projet'!$B$10,Paramètres!$A$1:$I$89,5,0)</f>
        <v>275.96399999999994</v>
      </c>
      <c r="AK75" s="13">
        <f t="shared" si="89"/>
        <v>66.113366665488911</v>
      </c>
      <c r="AL75" s="20">
        <f t="shared" si="58"/>
        <v>595.7847469423931</v>
      </c>
      <c r="AM75" s="59">
        <f t="shared" si="59"/>
        <v>889.11808027572647</v>
      </c>
      <c r="AN75" s="59">
        <f ca="1">AVERAGE(OFFSET($AM$3,0,0,'Données projet'!$E$10+1,1))-AVERAGE(OFFSET($H$3,0,0,'Données projet'!$E$10+1,1))</f>
        <v>366.43676005661194</v>
      </c>
      <c r="AO75" s="59">
        <f t="shared" si="90"/>
        <v>513.80016421153414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3.6429415389566513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3.6429415389566513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0.8600000000003547</v>
      </c>
      <c r="BE75" s="13">
        <f>BD75*VLOOKUP('Données projet'!$B$11,Paramètres!$A$1:$I$89,3,0)*VLOOKUP('Données projet'!$B$11,Paramètres!$A$1:$I$89,5,0)</f>
        <v>0.38012000000015683</v>
      </c>
      <c r="BF75" s="13">
        <f t="shared" si="91"/>
        <v>0.19605142963512551</v>
      </c>
      <c r="BG75" s="20">
        <f t="shared" si="61"/>
        <v>1.0034985732814501</v>
      </c>
      <c r="BH75" s="59">
        <f t="shared" si="62"/>
        <v>294.33683190661475</v>
      </c>
      <c r="BI75" s="59">
        <f ca="1">AVERAGE(OFFSET($BH$3,0,0,'Données projet'!$E$11+1,1))-AVERAGE(OFFSET($H$3,0,0,'Données projet'!$E$11+1,1))</f>
        <v>328.58609979635901</v>
      </c>
      <c r="BJ75" s="59">
        <f t="shared" si="92"/>
        <v>432.3494365423407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209.93913500253436</v>
      </c>
      <c r="BQ75" s="21">
        <f>EXP(-LN(2)/25)*BQ74+(1-EXP(-LN(2)/25))/(LN(2)/25)*Calculateur!BL75*Calculateur!BN75*VLOOKUP('Données projet'!$B$11,Paramètres!$A$1:$I$89,3,0)*0.475*44/12</f>
        <v>12.479119461933713</v>
      </c>
      <c r="BR75" s="21">
        <f>EXP(-LN(2)/2)*BR74+(1-EXP(-LN(2)/2))/(LN(2)/2)*BL75*BO75*VLOOKUP('Données projet'!$B$11,Paramètres!$A$1:$I$89,3,0)*0.475*44/12</f>
        <v>2.7897522048213443E-7</v>
      </c>
      <c r="BS75" s="22">
        <f t="shared" si="63"/>
        <v>222.4182547434433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11.009999999999998</v>
      </c>
      <c r="BY75" s="12">
        <f>IF('Données projet'!$A$114&gt;35,BY74+BX75-CG74,IF(A75&lt;'Données projet'!$A$114,$BV$205^A75,IF(A75='Données projet'!$A$114,'Données projet'!$B$114,BY74+BX75-CG74)))</f>
        <v>307.63</v>
      </c>
      <c r="BZ75" s="13">
        <f>BY75*VLOOKUP('Données projet'!$B$12,Paramètres!$A$1:$I$89,3,0)*VLOOKUP('Données projet'!$B$12,Paramètres!$A$1:$I$89,5,0)</f>
        <v>292.74070800000004</v>
      </c>
      <c r="CA75" s="13">
        <f t="shared" si="93"/>
        <v>69.652474298028039</v>
      </c>
      <c r="CB75" s="20">
        <f t="shared" si="64"/>
        <v>631.16812583573221</v>
      </c>
      <c r="CC75" s="59">
        <f t="shared" si="65"/>
        <v>924.50145916906558</v>
      </c>
      <c r="CD75" s="59">
        <f ca="1">AVERAGE(OFFSET($CC$3,0,0,'Données projet'!$E$12+1,1))-AVERAGE(OFFSET($H$3,0,0,'Données projet'!$E$12+1,1))</f>
        <v>555.3092253965317</v>
      </c>
      <c r="CE75" s="59">
        <f t="shared" si="94"/>
        <v>292.20785523952651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106.34493977559944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106.34493977559944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4.4000000000000004</v>
      </c>
      <c r="CT75" s="12">
        <f>IF('Données projet'!$A$140&gt;35,CT74+CS75-DB74,IF(A75&lt;'Données projet'!$A$140,$CQ$205^A75,IF(A75='Données projet'!$A$140,'Données projet'!$B$140,CT74+CS75-DB74)))</f>
        <v>227.8</v>
      </c>
      <c r="CU75" s="17">
        <f>CT75*VLOOKUP('Données projet'!$B$13,Paramètres!$A$1:$I$89,3,0)*VLOOKUP('Données projet'!$B$13,Paramètres!$A$1:$I$89,5,0)</f>
        <v>145.70088000000001</v>
      </c>
      <c r="CV75" s="13">
        <f t="shared" si="95"/>
        <v>37.599947846834802</v>
      </c>
      <c r="CW75" s="20">
        <f t="shared" si="67"/>
        <v>319.24894183323727</v>
      </c>
      <c r="CX75" s="59">
        <f t="shared" si="68"/>
        <v>612.58227516657053</v>
      </c>
      <c r="CY75" s="59">
        <f ca="1">AVERAGE(OFFSET($CX$3,0,0,'Données projet'!$E$13+1,1))-AVERAGE(OFFSET($H$3,0,0,'Données projet'!$E$13+1,1))</f>
        <v>269.44168853803717</v>
      </c>
      <c r="CZ75" s="59">
        <f t="shared" si="96"/>
        <v>247.65158389074043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38.233294829270541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38.233294829270541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6">
        <f t="shared" si="56"/>
        <v>256.66666666666669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5</v>
      </c>
      <c r="N76" s="13">
        <f>IF('Données projet'!$A$36&gt;35,N75+M76-V75,IF(A76&lt;'Données projet'!$A$36,$K$205^A76,IF(A76='Données projet'!$A$36,'Données projet'!$B$36,N75+M76-V75)))</f>
        <v>251.00000000000011</v>
      </c>
      <c r="O76" s="13">
        <f>N76*VLOOKUP('Données projet'!$B$9,Paramètres!$A$1:$I$89,3,0)*VLOOKUP('Données projet'!$B$9,Paramètres!$A$1:$I$89,5,0)</f>
        <v>219.27360000000016</v>
      </c>
      <c r="P76" s="13">
        <f t="shared" si="87"/>
        <v>53.956975893220168</v>
      </c>
      <c r="Q76" s="20">
        <f t="shared" si="54"/>
        <v>475.87658634735868</v>
      </c>
      <c r="R76" s="59">
        <f t="shared" si="55"/>
        <v>769.209919680692</v>
      </c>
      <c r="S76" s="59">
        <f ca="1">AVERAGE(OFFSET($R$3,0,0,'Données projet'!$E$9+1,1))-AVERAGE(OFFSET($H$3,0,0,'Données projet'!$E$9+1,1))</f>
        <v>381.72225529388083</v>
      </c>
      <c r="T76" s="59">
        <f t="shared" si="88"/>
        <v>360.05900046417361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58.764864211812075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58.764864211812075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304.99999999999994</v>
      </c>
      <c r="AJ76" s="13">
        <f>AI76*VLOOKUP('Données projet'!$B$10,Paramètres!$A$1:$I$89,3,0)*VLOOKUP('Données projet'!$B$10,Paramètres!$A$1:$I$89,5,0)</f>
        <v>275.96399999999994</v>
      </c>
      <c r="AK76" s="13">
        <f t="shared" si="89"/>
        <v>66.113366665488911</v>
      </c>
      <c r="AL76" s="20">
        <f t="shared" si="58"/>
        <v>595.7847469423931</v>
      </c>
      <c r="AM76" s="59">
        <f t="shared" si="59"/>
        <v>889.11808027572647</v>
      </c>
      <c r="AN76" s="59">
        <f ca="1">AVERAGE(OFFSET($AM$3,0,0,'Données projet'!$E$10+1,1))-AVERAGE(OFFSET($H$3,0,0,'Données projet'!$E$10+1,1))</f>
        <v>366.43676005661194</v>
      </c>
      <c r="AO76" s="59">
        <f t="shared" si="90"/>
        <v>513.80016421153414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3.5715056773526483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3.5715056773526483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0.8600000000003547</v>
      </c>
      <c r="BE76" s="13">
        <f>BD76*VLOOKUP('Données projet'!$B$11,Paramètres!$A$1:$I$89,3,0)*VLOOKUP('Données projet'!$B$11,Paramètres!$A$1:$I$89,5,0)</f>
        <v>0.38012000000015683</v>
      </c>
      <c r="BF76" s="13">
        <f t="shared" si="91"/>
        <v>0.19605142963512551</v>
      </c>
      <c r="BG76" s="20">
        <f t="shared" si="61"/>
        <v>1.0034985732814501</v>
      </c>
      <c r="BH76" s="59">
        <f t="shared" si="62"/>
        <v>294.33683190661475</v>
      </c>
      <c r="BI76" s="59">
        <f ca="1">AVERAGE(OFFSET($BH$3,0,0,'Données projet'!$E$11+1,1))-AVERAGE(OFFSET($H$3,0,0,'Données projet'!$E$11+1,1))</f>
        <v>328.58609979635901</v>
      </c>
      <c r="BJ76" s="59">
        <f t="shared" si="92"/>
        <v>432.3494365423407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205.82235661536311</v>
      </c>
      <c r="BQ76" s="21">
        <f>EXP(-LN(2)/25)*BQ75+(1-EXP(-LN(2)/25))/(LN(2)/25)*Calculateur!BL76*Calculateur!BN76*VLOOKUP('Données projet'!$B$11,Paramètres!$A$1:$I$89,3,0)*0.475*44/12</f>
        <v>12.137877283998765</v>
      </c>
      <c r="BR76" s="21">
        <f>EXP(-LN(2)/2)*BR75+(1-EXP(-LN(2)/2))/(LN(2)/2)*BL76*BO76*VLOOKUP('Données projet'!$B$11,Paramètres!$A$1:$I$89,3,0)*0.475*44/12</f>
        <v>1.9726527018592949E-7</v>
      </c>
      <c r="BS76" s="22">
        <f t="shared" si="63"/>
        <v>217.96023409662715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11.009999999999998</v>
      </c>
      <c r="BY76" s="12">
        <f>IF('Données projet'!$A$114&gt;35,BY75+BX76-CG75,IF(A76&lt;'Données projet'!$A$114,$BV$205^A76,IF(A76='Données projet'!$A$114,'Données projet'!$B$114,BY75+BX76-CG75)))</f>
        <v>318.64</v>
      </c>
      <c r="BZ76" s="13">
        <f>BY76*VLOOKUP('Données projet'!$B$12,Paramètres!$A$1:$I$89,3,0)*VLOOKUP('Données projet'!$B$12,Paramètres!$A$1:$I$89,5,0)</f>
        <v>303.21782400000001</v>
      </c>
      <c r="CA76" s="13">
        <f t="shared" si="93"/>
        <v>71.850623543918246</v>
      </c>
      <c r="CB76" s="20">
        <f t="shared" si="64"/>
        <v>653.24421280565764</v>
      </c>
      <c r="CC76" s="59">
        <f t="shared" si="65"/>
        <v>946.57754613899101</v>
      </c>
      <c r="CD76" s="59">
        <f ca="1">AVERAGE(OFFSET($CC$3,0,0,'Données projet'!$E$12+1,1))-AVERAGE(OFFSET($H$3,0,0,'Données projet'!$E$12+1,1))</f>
        <v>555.3092253965317</v>
      </c>
      <c r="CE76" s="59">
        <f t="shared" si="94"/>
        <v>292.20785523952651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104.25958037060842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104.25958037060842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4.4000000000000004</v>
      </c>
      <c r="CT76" s="12">
        <f>IF('Données projet'!$A$140&gt;35,CT75+CS76-DB75,IF(A76&lt;'Données projet'!$A$140,$CQ$205^A76,IF(A76='Données projet'!$A$140,'Données projet'!$B$140,CT75+CS76-DB75)))</f>
        <v>232.20000000000002</v>
      </c>
      <c r="CU76" s="17">
        <f>CT76*VLOOKUP('Données projet'!$B$13,Paramètres!$A$1:$I$89,3,0)*VLOOKUP('Données projet'!$B$13,Paramètres!$A$1:$I$89,5,0)</f>
        <v>148.51512</v>
      </c>
      <c r="CV76" s="13">
        <f t="shared" si="95"/>
        <v>38.240946179656547</v>
      </c>
      <c r="CW76" s="20">
        <f t="shared" si="67"/>
        <v>325.26681526290184</v>
      </c>
      <c r="CX76" s="59">
        <f t="shared" si="68"/>
        <v>618.60014859623516</v>
      </c>
      <c r="CY76" s="59">
        <f ca="1">AVERAGE(OFFSET($CX$3,0,0,'Données projet'!$E$13+1,1))-AVERAGE(OFFSET($H$3,0,0,'Données projet'!$E$13+1,1))</f>
        <v>269.44168853803717</v>
      </c>
      <c r="CZ76" s="59">
        <f t="shared" si="96"/>
        <v>247.65158389074043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37.483563237675732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37.483563237675732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6">
        <f t="shared" si="56"/>
        <v>256.66666666666669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5</v>
      </c>
      <c r="N77" s="13">
        <f>IF('Données projet'!$A$36&gt;35,N76+M77-V76,IF(A77&lt;'Données projet'!$A$36,$K$205^A77,IF(A77='Données projet'!$A$36,'Données projet'!$B$36,N76+M77-V76)))</f>
        <v>256.00000000000011</v>
      </c>
      <c r="O77" s="13">
        <f>N77*VLOOKUP('Données projet'!$B$9,Paramètres!$A$1:$I$89,3,0)*VLOOKUP('Données projet'!$B$9,Paramètres!$A$1:$I$89,5,0)</f>
        <v>223.64160000000012</v>
      </c>
      <c r="P77" s="13">
        <f t="shared" si="87"/>
        <v>54.905611653539218</v>
      </c>
      <c r="Q77" s="20">
        <f t="shared" si="54"/>
        <v>485.13639362991444</v>
      </c>
      <c r="R77" s="59">
        <f t="shared" si="55"/>
        <v>778.46972696324769</v>
      </c>
      <c r="S77" s="59">
        <f ca="1">AVERAGE(OFFSET($R$3,0,0,'Données projet'!$E$9+1,1))-AVERAGE(OFFSET($H$3,0,0,'Données projet'!$E$9+1,1))</f>
        <v>381.72225529388083</v>
      </c>
      <c r="T77" s="59">
        <f t="shared" si="88"/>
        <v>360.05900046417361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57.612521067646405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57.612521067646405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304.99999999999994</v>
      </c>
      <c r="AJ77" s="13">
        <f>AI77*VLOOKUP('Données projet'!$B$10,Paramètres!$A$1:$I$89,3,0)*VLOOKUP('Données projet'!$B$10,Paramètres!$A$1:$I$89,5,0)</f>
        <v>275.96399999999994</v>
      </c>
      <c r="AK77" s="13">
        <f t="shared" si="89"/>
        <v>66.113366665488911</v>
      </c>
      <c r="AL77" s="20">
        <f t="shared" si="58"/>
        <v>595.7847469423931</v>
      </c>
      <c r="AM77" s="59">
        <f t="shared" si="59"/>
        <v>889.11808027572647</v>
      </c>
      <c r="AN77" s="59">
        <f ca="1">AVERAGE(OFFSET($AM$3,0,0,'Données projet'!$E$10+1,1))-AVERAGE(OFFSET($H$3,0,0,'Données projet'!$E$10+1,1))</f>
        <v>366.43676005661194</v>
      </c>
      <c r="AO77" s="59">
        <f t="shared" si="90"/>
        <v>513.80016421153414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3.5014706294231268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3.5014706294231268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0.8600000000003547</v>
      </c>
      <c r="BE77" s="13">
        <f>BD77*VLOOKUP('Données projet'!$B$11,Paramètres!$A$1:$I$89,3,0)*VLOOKUP('Données projet'!$B$11,Paramètres!$A$1:$I$89,5,0)</f>
        <v>0.38012000000015683</v>
      </c>
      <c r="BF77" s="13">
        <f t="shared" si="91"/>
        <v>0.19605142963512551</v>
      </c>
      <c r="BG77" s="20">
        <f t="shared" si="61"/>
        <v>1.0034985732814501</v>
      </c>
      <c r="BH77" s="59">
        <f t="shared" si="62"/>
        <v>294.33683190661475</v>
      </c>
      <c r="BI77" s="59">
        <f ca="1">AVERAGE(OFFSET($BH$3,0,0,'Données projet'!$E$11+1,1))-AVERAGE(OFFSET($H$3,0,0,'Données projet'!$E$11+1,1))</f>
        <v>328.58609979635901</v>
      </c>
      <c r="BJ77" s="59">
        <f t="shared" si="92"/>
        <v>432.3494365423407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201.78630574137739</v>
      </c>
      <c r="BQ77" s="21">
        <f>EXP(-LN(2)/25)*BQ76+(1-EXP(-LN(2)/25))/(LN(2)/25)*Calculateur!BL77*Calculateur!BN77*VLOOKUP('Données projet'!$B$11,Paramètres!$A$1:$I$89,3,0)*0.475*44/12</f>
        <v>11.805966391364594</v>
      </c>
      <c r="BR77" s="21">
        <f>EXP(-LN(2)/2)*BR76+(1-EXP(-LN(2)/2))/(LN(2)/2)*BL77*BO77*VLOOKUP('Données projet'!$B$11,Paramètres!$A$1:$I$89,3,0)*0.475*44/12</f>
        <v>1.3948761024106722E-7</v>
      </c>
      <c r="BS77" s="22">
        <f t="shared" si="63"/>
        <v>213.59227227222959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11.009999999999998</v>
      </c>
      <c r="BY77" s="12">
        <f>IF('Données projet'!$A$114&gt;35,BY76+BX77-CG76,IF(A77&lt;'Données projet'!$A$114,$BV$205^A77,IF(A77='Données projet'!$A$114,'Données projet'!$B$114,BY76+BX77-CG76)))</f>
        <v>329.65</v>
      </c>
      <c r="BZ77" s="13">
        <f>BY77*VLOOKUP('Données projet'!$B$12,Paramètres!$A$1:$I$89,3,0)*VLOOKUP('Données projet'!$B$12,Paramètres!$A$1:$I$89,5,0)</f>
        <v>313.69493999999997</v>
      </c>
      <c r="CA77" s="13">
        <f t="shared" si="93"/>
        <v>74.03994777560689</v>
      </c>
      <c r="CB77" s="20">
        <f t="shared" si="64"/>
        <v>675.3049295425152</v>
      </c>
      <c r="CC77" s="59">
        <f t="shared" si="65"/>
        <v>968.63826287584857</v>
      </c>
      <c r="CD77" s="59">
        <f ca="1">AVERAGE(OFFSET($CC$3,0,0,'Données projet'!$E$12+1,1))-AVERAGE(OFFSET($H$3,0,0,'Données projet'!$E$12+1,1))</f>
        <v>555.3092253965317</v>
      </c>
      <c r="CE77" s="59">
        <f t="shared" si="94"/>
        <v>292.20785523952651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102.21511359160561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102.21511359160561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4.4000000000000004</v>
      </c>
      <c r="CT77" s="12">
        <f>IF('Données projet'!$A$140&gt;35,CT76+CS77-DB76,IF(A77&lt;'Données projet'!$A$140,$CQ$205^A77,IF(A77='Données projet'!$A$140,'Données projet'!$B$140,CT76+CS77-DB76)))</f>
        <v>236.60000000000002</v>
      </c>
      <c r="CU77" s="17">
        <f>CT77*VLOOKUP('Données projet'!$B$13,Paramètres!$A$1:$I$89,3,0)*VLOOKUP('Données projet'!$B$13,Paramètres!$A$1:$I$89,5,0)</f>
        <v>151.32936000000001</v>
      </c>
      <c r="CV77" s="13">
        <f t="shared" si="95"/>
        <v>38.880532140972903</v>
      </c>
      <c r="CW77" s="20">
        <f t="shared" si="67"/>
        <v>331.28222881219443</v>
      </c>
      <c r="CX77" s="59">
        <f t="shared" si="68"/>
        <v>624.61556214552775</v>
      </c>
      <c r="CY77" s="59">
        <f ca="1">AVERAGE(OFFSET($CX$3,0,0,'Données projet'!$E$13+1,1))-AVERAGE(OFFSET($H$3,0,0,'Données projet'!$E$13+1,1))</f>
        <v>269.44168853803717</v>
      </c>
      <c r="CZ77" s="59">
        <f t="shared" si="96"/>
        <v>247.65158389074043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36.748533425300977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36.748533425300977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6">
        <f t="shared" si="56"/>
        <v>256.66666666666669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261</v>
      </c>
      <c r="L78" s="12">
        <f>VLOOKUP(A78,'Données projet'!$A$35:$I$55,9,0)</f>
        <v>5</v>
      </c>
      <c r="M78" s="12">
        <f t="array" ref="M78">INDEX(L:L,MIN(IF(ISNUMBER(L78:L274),ROW(L78:L274),"")))</f>
        <v>5</v>
      </c>
      <c r="N78" s="13">
        <f>IF('Données projet'!$A$36&gt;35,N77+M78-V77,IF(A78&lt;'Données projet'!$A$36,$K$205^A78,IF(A78='Données projet'!$A$36,'Données projet'!$B$36,N77+M78-V77)))</f>
        <v>261.00000000000011</v>
      </c>
      <c r="O78" s="13">
        <f>N78*VLOOKUP('Données projet'!$B$9,Paramètres!$A$1:$I$89,3,0)*VLOOKUP('Données projet'!$B$9,Paramètres!$A$1:$I$89,5,0)</f>
        <v>228.00960000000015</v>
      </c>
      <c r="P78" s="13">
        <f t="shared" si="87"/>
        <v>55.852093054619878</v>
      </c>
      <c r="Q78" s="20">
        <f t="shared" si="54"/>
        <v>494.39244873679655</v>
      </c>
      <c r="R78" s="59">
        <f t="shared" si="55"/>
        <v>787.72578207012987</v>
      </c>
      <c r="S78" s="59">
        <f ca="1">AVERAGE(OFFSET($R$3,0,0,'Données projet'!$E$9+1,1))-AVERAGE(OFFSET($H$3,0,0,'Données projet'!$E$9+1,1))</f>
        <v>381.72225529388083</v>
      </c>
      <c r="T78" s="59">
        <f t="shared" si="88"/>
        <v>360.05900046417361</v>
      </c>
      <c r="U78" s="15">
        <f>IF(ISNA(VLOOKUP(A78,'Données projet'!$A$35:$I$55,3,0)),0,VLOOKUP(A78,'Données projet'!$A$35:$I$55,3,0))</f>
        <v>13</v>
      </c>
      <c r="V78" s="15">
        <f>IF(ISNA(VLOOKUP(A78,'Données projet'!$A$35:$I$55,4,0)),0,VLOOKUP(A78,'Données projet'!$A$35:$I$55,4,0))</f>
        <v>19</v>
      </c>
      <c r="W78" s="16">
        <f>IF(ISNA(VLOOKUP(A78,'Données projet'!$A$35:$I$55,5,0)),0%,VLOOKUP(A78,'Données projet'!$A$35:$I$55,5,0)*VLOOKUP('Données projet'!$B$9,Paramètres!$A$1:$I$89,7,0))</f>
        <v>0.43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64.372861675162994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64.372861675162994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304.99999999999994</v>
      </c>
      <c r="AJ78" s="13">
        <f>AI78*VLOOKUP('Données projet'!$B$10,Paramètres!$A$1:$I$89,3,0)*VLOOKUP('Données projet'!$B$10,Paramètres!$A$1:$I$89,5,0)</f>
        <v>275.96399999999994</v>
      </c>
      <c r="AK78" s="13">
        <f t="shared" si="89"/>
        <v>66.113366665488911</v>
      </c>
      <c r="AL78" s="20">
        <f t="shared" si="58"/>
        <v>595.7847469423931</v>
      </c>
      <c r="AM78" s="59">
        <f t="shared" si="59"/>
        <v>889.11808027572647</v>
      </c>
      <c r="AN78" s="59">
        <f ca="1">AVERAGE(OFFSET($AM$3,0,0,'Données projet'!$E$10+1,1))-AVERAGE(OFFSET($H$3,0,0,'Données projet'!$E$10+1,1))</f>
        <v>366.43676005661194</v>
      </c>
      <c r="AO78" s="59">
        <f t="shared" si="90"/>
        <v>513.80016421153414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3.4328089260663419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3.4328089260663419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0.8600000000003547</v>
      </c>
      <c r="BE78" s="13">
        <f>BD78*VLOOKUP('Données projet'!$B$11,Paramètres!$A$1:$I$89,3,0)*VLOOKUP('Données projet'!$B$11,Paramètres!$A$1:$I$89,5,0)</f>
        <v>0.38012000000015683</v>
      </c>
      <c r="BF78" s="13">
        <f t="shared" si="91"/>
        <v>0.19605142963512551</v>
      </c>
      <c r="BG78" s="20">
        <f t="shared" si="61"/>
        <v>1.0034985732814501</v>
      </c>
      <c r="BH78" s="59">
        <f t="shared" si="62"/>
        <v>294.33683190661475</v>
      </c>
      <c r="BI78" s="59">
        <f ca="1">AVERAGE(OFFSET($BH$3,0,0,'Données projet'!$E$11+1,1))-AVERAGE(OFFSET($H$3,0,0,'Données projet'!$E$11+1,1))</f>
        <v>328.58609979635901</v>
      </c>
      <c r="BJ78" s="59">
        <f t="shared" si="92"/>
        <v>432.3494365423407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197.82939936328259</v>
      </c>
      <c r="BQ78" s="21">
        <f>EXP(-LN(2)/25)*BQ77+(1-EXP(-LN(2)/25))/(LN(2)/25)*Calculateur!BL78*Calculateur!BN78*VLOOKUP('Données projet'!$B$11,Paramètres!$A$1:$I$89,3,0)*0.475*44/12</f>
        <v>11.48313161954394</v>
      </c>
      <c r="BR78" s="21">
        <f>EXP(-LN(2)/2)*BR77+(1-EXP(-LN(2)/2))/(LN(2)/2)*BL78*BO78*VLOOKUP('Données projet'!$B$11,Paramètres!$A$1:$I$89,3,0)*0.475*44/12</f>
        <v>9.8632635092964745E-8</v>
      </c>
      <c r="BS78" s="22">
        <f t="shared" si="63"/>
        <v>209.31253108145916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11.009999999999998</v>
      </c>
      <c r="BY78" s="12">
        <f>IF('Données projet'!$A$114&gt;35,BY77+BX78-CG77,IF(A78&lt;'Données projet'!$A$114,$BV$205^A78,IF(A78='Données projet'!$A$114,'Données projet'!$B$114,BY77+BX78-CG77)))</f>
        <v>340.65999999999997</v>
      </c>
      <c r="BZ78" s="13">
        <f>BY78*VLOOKUP('Données projet'!$B$12,Paramètres!$A$1:$I$89,3,0)*VLOOKUP('Données projet'!$B$12,Paramètres!$A$1:$I$89,5,0)</f>
        <v>324.172056</v>
      </c>
      <c r="CA78" s="13">
        <f t="shared" si="93"/>
        <v>76.220775534111311</v>
      </c>
      <c r="CB78" s="20">
        <f t="shared" si="64"/>
        <v>697.35084825524393</v>
      </c>
      <c r="CC78" s="59">
        <f t="shared" si="65"/>
        <v>990.6841815885773</v>
      </c>
      <c r="CD78" s="59">
        <f ca="1">AVERAGE(OFFSET($CC$3,0,0,'Données projet'!$E$12+1,1))-AVERAGE(OFFSET($H$3,0,0,'Données projet'!$E$12+1,1))</f>
        <v>555.3092253965317</v>
      </c>
      <c r="CE78" s="59">
        <f t="shared" si="94"/>
        <v>292.20785523952651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100.21073755913746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100.21073755913746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241</v>
      </c>
      <c r="CR78" s="12">
        <f>VLOOKUP(A78,'Données projet'!$A$139:$I$159,9,0)</f>
        <v>4.4000000000000004</v>
      </c>
      <c r="CS78" s="12">
        <f t="array" ref="CS78">INDEX(CR:CR,MIN(IF(ISNUMBER(CR78:CR274),ROW(CR78:CR274),"")))</f>
        <v>4.4000000000000004</v>
      </c>
      <c r="CT78" s="12">
        <f>IF('Données projet'!$A$140&gt;35,CT77+CS78-DB77,IF(A78&lt;'Données projet'!$A$140,$CQ$205^A78,IF(A78='Données projet'!$A$140,'Données projet'!$B$140,CT77+CS78-DB77)))</f>
        <v>241.00000000000003</v>
      </c>
      <c r="CU78" s="17">
        <f>CT78*VLOOKUP('Données projet'!$B$13,Paramètres!$A$1:$I$89,3,0)*VLOOKUP('Données projet'!$B$13,Paramètres!$A$1:$I$89,5,0)</f>
        <v>154.14360000000002</v>
      </c>
      <c r="CV78" s="13">
        <f t="shared" si="95"/>
        <v>39.518735025361231</v>
      </c>
      <c r="CW78" s="20">
        <f t="shared" si="67"/>
        <v>337.29523350250412</v>
      </c>
      <c r="CX78" s="59">
        <f t="shared" si="68"/>
        <v>630.62856683583743</v>
      </c>
      <c r="CY78" s="59">
        <f ca="1">AVERAGE(OFFSET($CX$3,0,0,'Données projet'!$E$13+1,1))-AVERAGE(OFFSET($H$3,0,0,'Données projet'!$E$13+1,1))</f>
        <v>269.44168853803717</v>
      </c>
      <c r="CZ78" s="59">
        <f t="shared" si="96"/>
        <v>247.65158389074043</v>
      </c>
      <c r="DA78" s="15">
        <f>IF(ISNA(VLOOKUP(A78,'Données projet'!$A$139:$I$159,3,0)),0,VLOOKUP(A78,'Données projet'!$A$139:$I$159,3,0))</f>
        <v>12</v>
      </c>
      <c r="DB78" s="15">
        <f>IF(ISNA(VLOOKUP(A78,'Données projet'!$A$139:$I$159,4,0)),0,VLOOKUP(A78,'Données projet'!$A$139:$I$159,4,0))</f>
        <v>16</v>
      </c>
      <c r="DC78" s="16">
        <f>IF(ISNA(VLOOKUP(A78,'Données projet'!$A$139:$I$159,5,0)),0%,VLOOKUP(A78,'Données projet'!$A$139:$I$159,5,0)*VLOOKUP('Données projet'!$B$13,Paramètres!$A$1:$I$89,7,0))</f>
        <v>0.43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40.892482019897983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40.892482019897983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6">
        <f t="shared" si="56"/>
        <v>256.66666666666669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4.4000000000000004</v>
      </c>
      <c r="N79" s="13">
        <f>IF('Données projet'!$A$36&gt;35,N78+M79-V78,IF(A79&lt;'Données projet'!$A$36,$K$205^A79,IF(A79='Données projet'!$A$36,'Données projet'!$B$36,N78+M79-V78)))</f>
        <v>246.40000000000009</v>
      </c>
      <c r="O79" s="13">
        <f>N79*VLOOKUP('Données projet'!$B$9,Paramètres!$A$1:$I$89,3,0)*VLOOKUP('Données projet'!$B$9,Paramètres!$A$1:$I$89,5,0)</f>
        <v>215.25504000000012</v>
      </c>
      <c r="P79" s="13">
        <f t="shared" si="87"/>
        <v>53.082287058997267</v>
      </c>
      <c r="Q79" s="20">
        <f t="shared" si="54"/>
        <v>467.35417796108709</v>
      </c>
      <c r="R79" s="59">
        <f t="shared" si="55"/>
        <v>760.68751129442035</v>
      </c>
      <c r="S79" s="59">
        <f ca="1">AVERAGE(OFFSET($R$3,0,0,'Données projet'!$E$9+1,1))-AVERAGE(OFFSET($H$3,0,0,'Données projet'!$E$9+1,1))</f>
        <v>381.72225529388083</v>
      </c>
      <c r="T79" s="59">
        <f t="shared" si="88"/>
        <v>360.05900046417361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63.110549121281714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63.110549121281714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304.99999999999994</v>
      </c>
      <c r="AJ79" s="13">
        <f>AI79*VLOOKUP('Données projet'!$B$10,Paramètres!$A$1:$I$89,3,0)*VLOOKUP('Données projet'!$B$10,Paramètres!$A$1:$I$89,5,0)</f>
        <v>275.96399999999994</v>
      </c>
      <c r="AK79" s="13">
        <f t="shared" si="89"/>
        <v>66.113366665488911</v>
      </c>
      <c r="AL79" s="20">
        <f t="shared" si="58"/>
        <v>595.7847469423931</v>
      </c>
      <c r="AM79" s="59">
        <f t="shared" si="59"/>
        <v>889.11808027572647</v>
      </c>
      <c r="AN79" s="59">
        <f ca="1">AVERAGE(OFFSET($AM$3,0,0,'Données projet'!$E$10+1,1))-AVERAGE(OFFSET($H$3,0,0,'Données projet'!$E$10+1,1))</f>
        <v>366.43676005661194</v>
      </c>
      <c r="AO79" s="59">
        <f t="shared" si="90"/>
        <v>513.80016421153414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3.3654936368328796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3.3654936368328796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0.8600000000003547</v>
      </c>
      <c r="BE79" s="13">
        <f>BD79*VLOOKUP('Données projet'!$B$11,Paramètres!$A$1:$I$89,3,0)*VLOOKUP('Données projet'!$B$11,Paramètres!$A$1:$I$89,5,0)</f>
        <v>0.38012000000015683</v>
      </c>
      <c r="BF79" s="13">
        <f t="shared" si="91"/>
        <v>0.19605142963512551</v>
      </c>
      <c r="BG79" s="20">
        <f t="shared" si="61"/>
        <v>1.0034985732814501</v>
      </c>
      <c r="BH79" s="59">
        <f t="shared" si="62"/>
        <v>294.33683190661475</v>
      </c>
      <c r="BI79" s="59">
        <f ca="1">AVERAGE(OFFSET($BH$3,0,0,'Données projet'!$E$11+1,1))-AVERAGE(OFFSET($H$3,0,0,'Données projet'!$E$11+1,1))</f>
        <v>328.58609979635901</v>
      </c>
      <c r="BJ79" s="59">
        <f t="shared" si="92"/>
        <v>432.3494365423407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193.95008550578765</v>
      </c>
      <c r="BQ79" s="21">
        <f>EXP(-LN(2)/25)*BQ78+(1-EXP(-LN(2)/25))/(LN(2)/25)*Calculateur!BL79*Calculateur!BN79*VLOOKUP('Données projet'!$B$11,Paramètres!$A$1:$I$89,3,0)*0.475*44/12</f>
        <v>11.169124781535864</v>
      </c>
      <c r="BR79" s="21">
        <f>EXP(-LN(2)/2)*BR78+(1-EXP(-LN(2)/2))/(LN(2)/2)*BL79*BO79*VLOOKUP('Données projet'!$B$11,Paramètres!$A$1:$I$89,3,0)*0.475*44/12</f>
        <v>6.9743805120533609E-8</v>
      </c>
      <c r="BS79" s="22">
        <f t="shared" si="63"/>
        <v>205.11921035706732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11.009999999999998</v>
      </c>
      <c r="BY79" s="12">
        <f>IF('Données projet'!$A$114&gt;35,BY78+BX79-CG78,IF(A79&lt;'Données projet'!$A$114,$BV$205^A79,IF(A79='Données projet'!$A$114,'Données projet'!$B$114,BY78+BX79-CG78)))</f>
        <v>351.66999999999996</v>
      </c>
      <c r="BZ79" s="13">
        <f>BY79*VLOOKUP('Données projet'!$B$12,Paramètres!$A$1:$I$89,3,0)*VLOOKUP('Données projet'!$B$12,Paramètres!$A$1:$I$89,5,0)</f>
        <v>334.64917199999996</v>
      </c>
      <c r="CA79" s="13">
        <f t="shared" si="93"/>
        <v>78.393412918187892</v>
      </c>
      <c r="CB79" s="20">
        <f t="shared" si="64"/>
        <v>719.38250206584382</v>
      </c>
      <c r="CC79" s="59">
        <f t="shared" si="65"/>
        <v>1012.7158353991772</v>
      </c>
      <c r="CD79" s="59">
        <f ca="1">AVERAGE(OFFSET($CC$3,0,0,'Données projet'!$E$12+1,1))-AVERAGE(OFFSET($H$3,0,0,'Données projet'!$E$12+1,1))</f>
        <v>555.3092253965317</v>
      </c>
      <c r="CE79" s="59">
        <f t="shared" si="94"/>
        <v>292.20785523952651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98.245666118117342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98.245666118117342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4</v>
      </c>
      <c r="CT79" s="12">
        <f>IF('Données projet'!$A$140&gt;35,CT78+CS79-DB78,IF(A79&lt;'Données projet'!$A$140,$CQ$205^A79,IF(A79='Données projet'!$A$140,'Données projet'!$B$140,CT78+CS79-DB78)))</f>
        <v>229.00000000000003</v>
      </c>
      <c r="CU79" s="17">
        <f>CT79*VLOOKUP('Données projet'!$B$13,Paramètres!$A$1:$I$89,3,0)*VLOOKUP('Données projet'!$B$13,Paramètres!$A$1:$I$89,5,0)</f>
        <v>146.4684</v>
      </c>
      <c r="CV79" s="13">
        <f t="shared" si="95"/>
        <v>37.774907362561549</v>
      </c>
      <c r="CW79" s="20">
        <f t="shared" si="67"/>
        <v>320.89042698979466</v>
      </c>
      <c r="CX79" s="59">
        <f t="shared" si="68"/>
        <v>614.22376032312798</v>
      </c>
      <c r="CY79" s="59">
        <f ca="1">AVERAGE(OFFSET($CX$3,0,0,'Données projet'!$E$13+1,1))-AVERAGE(OFFSET($H$3,0,0,'Données projet'!$E$13+1,1))</f>
        <v>269.44168853803717</v>
      </c>
      <c r="CZ79" s="59">
        <f t="shared" si="96"/>
        <v>247.65158389074043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40.090605389439006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40.090605389439006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6">
        <f t="shared" si="56"/>
        <v>256.66666666666669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4.4000000000000004</v>
      </c>
      <c r="N80" s="13">
        <f>IF('Données projet'!$A$36&gt;35,N79+M80-V79,IF(A80&lt;'Données projet'!$A$36,$K$205^A80,IF(A80='Données projet'!$A$36,'Données projet'!$B$36,N79+M80-V79)))</f>
        <v>250.8000000000001</v>
      </c>
      <c r="O80" s="13">
        <f>N80*VLOOKUP('Données projet'!$B$9,Paramètres!$A$1:$I$89,3,0)*VLOOKUP('Données projet'!$B$9,Paramètres!$A$1:$I$89,5,0)</f>
        <v>219.09888000000012</v>
      </c>
      <c r="P80" s="13">
        <f t="shared" si="87"/>
        <v>53.918984980452286</v>
      </c>
      <c r="Q80" s="20">
        <f t="shared" si="54"/>
        <v>475.50611484095458</v>
      </c>
      <c r="R80" s="59">
        <f t="shared" si="55"/>
        <v>768.8394481742879</v>
      </c>
      <c r="S80" s="59">
        <f ca="1">AVERAGE(OFFSET($R$3,0,0,'Données projet'!$E$9+1,1))-AVERAGE(OFFSET($H$3,0,0,'Données projet'!$E$9+1,1))</f>
        <v>381.72225529388083</v>
      </c>
      <c r="T80" s="59">
        <f t="shared" si="88"/>
        <v>360.05900046417361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61.872989746647413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61.872989746647413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304.99999999999994</v>
      </c>
      <c r="AJ80" s="13">
        <f>AI80*VLOOKUP('Données projet'!$B$10,Paramètres!$A$1:$I$89,3,0)*VLOOKUP('Données projet'!$B$10,Paramètres!$A$1:$I$89,5,0)</f>
        <v>275.96399999999994</v>
      </c>
      <c r="AK80" s="13">
        <f t="shared" si="89"/>
        <v>66.113366665488911</v>
      </c>
      <c r="AL80" s="20">
        <f t="shared" si="58"/>
        <v>595.7847469423931</v>
      </c>
      <c r="AM80" s="59">
        <f t="shared" si="59"/>
        <v>889.11808027572647</v>
      </c>
      <c r="AN80" s="59">
        <f ca="1">AVERAGE(OFFSET($AM$3,0,0,'Données projet'!$E$10+1,1))-AVERAGE(OFFSET($H$3,0,0,'Données projet'!$E$10+1,1))</f>
        <v>366.43676005661194</v>
      </c>
      <c r="AO80" s="59">
        <f t="shared" si="90"/>
        <v>513.80016421153414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3.2994983593630134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3.2994983593630134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0.8600000000003547</v>
      </c>
      <c r="BE80" s="13">
        <f>BD80*VLOOKUP('Données projet'!$B$11,Paramètres!$A$1:$I$89,3,0)*VLOOKUP('Données projet'!$B$11,Paramètres!$A$1:$I$89,5,0)</f>
        <v>0.38012000000015683</v>
      </c>
      <c r="BF80" s="13">
        <f t="shared" si="91"/>
        <v>0.19605142963512551</v>
      </c>
      <c r="BG80" s="20">
        <f t="shared" si="61"/>
        <v>1.0034985732814501</v>
      </c>
      <c r="BH80" s="59">
        <f t="shared" si="62"/>
        <v>294.33683190661475</v>
      </c>
      <c r="BI80" s="59">
        <f ca="1">AVERAGE(OFFSET($BH$3,0,0,'Données projet'!$E$11+1,1))-AVERAGE(OFFSET($H$3,0,0,'Données projet'!$E$11+1,1))</f>
        <v>328.58609979635901</v>
      </c>
      <c r="BJ80" s="59">
        <f t="shared" si="92"/>
        <v>432.3494365423407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190.14684262689036</v>
      </c>
      <c r="BQ80" s="21">
        <f>EXP(-LN(2)/25)*BQ79+(1-EXP(-LN(2)/25))/(LN(2)/25)*Calculateur!BL80*Calculateur!BN80*VLOOKUP('Données projet'!$B$11,Paramètres!$A$1:$I$89,3,0)*0.475*44/12</f>
        <v>10.863704477026021</v>
      </c>
      <c r="BR80" s="21">
        <f>EXP(-LN(2)/2)*BR79+(1-EXP(-LN(2)/2))/(LN(2)/2)*BL80*BO80*VLOOKUP('Données projet'!$B$11,Paramètres!$A$1:$I$89,3,0)*0.475*44/12</f>
        <v>4.9316317546482372E-8</v>
      </c>
      <c r="BS80" s="22">
        <f t="shared" si="63"/>
        <v>201.01054715323272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11.009999999999998</v>
      </c>
      <c r="BY80" s="12">
        <f>IF('Données projet'!$A$114&gt;35,BY79+BX80-CG79,IF(A80&lt;'Données projet'!$A$114,$BV$205^A80,IF(A80='Données projet'!$A$114,'Données projet'!$B$114,BY79+BX80-CG79)))</f>
        <v>362.67999999999995</v>
      </c>
      <c r="BZ80" s="13">
        <f>BY80*VLOOKUP('Données projet'!$B$12,Paramètres!$A$1:$I$89,3,0)*VLOOKUP('Données projet'!$B$12,Paramètres!$A$1:$I$89,5,0)</f>
        <v>345.12628799999999</v>
      </c>
      <c r="CA80" s="13">
        <f t="shared" si="93"/>
        <v>80.558145771439186</v>
      </c>
      <c r="CB80" s="20">
        <f t="shared" si="64"/>
        <v>741.40038881858982</v>
      </c>
      <c r="CC80" s="59">
        <f t="shared" si="65"/>
        <v>1034.7337221519231</v>
      </c>
      <c r="CD80" s="59">
        <f ca="1">AVERAGE(OFFSET($CC$3,0,0,'Données projet'!$E$12+1,1))-AVERAGE(OFFSET($H$3,0,0,'Données projet'!$E$12+1,1))</f>
        <v>555.3092253965317</v>
      </c>
      <c r="CE80" s="59">
        <f t="shared" si="94"/>
        <v>292.20785523952651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96.319128529480395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96.319128529480395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4</v>
      </c>
      <c r="CT80" s="12">
        <f>IF('Données projet'!$A$140&gt;35,CT79+CS80-DB79,IF(A80&lt;'Données projet'!$A$140,$CQ$205^A80,IF(A80='Données projet'!$A$140,'Données projet'!$B$140,CT79+CS80-DB79)))</f>
        <v>233.00000000000003</v>
      </c>
      <c r="CU80" s="17">
        <f>CT80*VLOOKUP('Données projet'!$B$13,Paramètres!$A$1:$I$89,3,0)*VLOOKUP('Données projet'!$B$13,Paramètres!$A$1:$I$89,5,0)</f>
        <v>149.02680000000001</v>
      </c>
      <c r="CV80" s="13">
        <f t="shared" si="95"/>
        <v>38.357338714757276</v>
      </c>
      <c r="CW80" s="20">
        <f t="shared" si="67"/>
        <v>326.36070826153559</v>
      </c>
      <c r="CX80" s="59">
        <f t="shared" si="68"/>
        <v>619.69404159486885</v>
      </c>
      <c r="CY80" s="59">
        <f ca="1">AVERAGE(OFFSET($CX$3,0,0,'Données projet'!$E$13+1,1))-AVERAGE(OFFSET($H$3,0,0,'Données projet'!$E$13+1,1))</f>
        <v>269.44168853803717</v>
      </c>
      <c r="CZ80" s="59">
        <f t="shared" si="96"/>
        <v>247.65158389074043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39.304453070606876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39.304453070606876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6">
        <f t="shared" si="56"/>
        <v>256.66666666666669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4.4000000000000004</v>
      </c>
      <c r="N81" s="13">
        <f>IF('Données projet'!$A$36&gt;35,N80+M81-V80,IF(A81&lt;'Données projet'!$A$36,$K$205^A81,IF(A81='Données projet'!$A$36,'Données projet'!$B$36,N80+M81-V80)))</f>
        <v>255.2000000000001</v>
      </c>
      <c r="O81" s="13">
        <f>N81*VLOOKUP('Données projet'!$B$9,Paramètres!$A$1:$I$89,3,0)*VLOOKUP('Données projet'!$B$9,Paramètres!$A$1:$I$89,5,0)</f>
        <v>222.94272000000009</v>
      </c>
      <c r="P81" s="13">
        <f t="shared" si="87"/>
        <v>54.753975927514929</v>
      </c>
      <c r="Q81" s="20">
        <f t="shared" si="54"/>
        <v>483.65507874042197</v>
      </c>
      <c r="R81" s="59">
        <f t="shared" si="55"/>
        <v>776.98841207375528</v>
      </c>
      <c r="S81" s="59">
        <f ca="1">AVERAGE(OFFSET($R$3,0,0,'Données projet'!$E$9+1,1))-AVERAGE(OFFSET($H$3,0,0,'Données projet'!$E$9+1,1))</f>
        <v>381.72225529388083</v>
      </c>
      <c r="T81" s="59">
        <f t="shared" si="88"/>
        <v>360.05900046417361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60.659698156513002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60.659698156513002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304.99999999999994</v>
      </c>
      <c r="AJ81" s="13">
        <f>AI81*VLOOKUP('Données projet'!$B$10,Paramètres!$A$1:$I$89,3,0)*VLOOKUP('Données projet'!$B$10,Paramètres!$A$1:$I$89,5,0)</f>
        <v>275.96399999999994</v>
      </c>
      <c r="AK81" s="13">
        <f t="shared" si="89"/>
        <v>66.113366665488911</v>
      </c>
      <c r="AL81" s="20">
        <f t="shared" si="58"/>
        <v>595.7847469423931</v>
      </c>
      <c r="AM81" s="59">
        <f t="shared" si="59"/>
        <v>889.11808027572647</v>
      </c>
      <c r="AN81" s="59">
        <f ca="1">AVERAGE(OFFSET($AM$3,0,0,'Données projet'!$E$10+1,1))-AVERAGE(OFFSET($H$3,0,0,'Données projet'!$E$10+1,1))</f>
        <v>366.43676005661194</v>
      </c>
      <c r="AO81" s="59">
        <f t="shared" si="90"/>
        <v>513.80016421153414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3.2347972090311865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3.2347972090311865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0.8600000000003547</v>
      </c>
      <c r="BE81" s="13">
        <f>BD81*VLOOKUP('Données projet'!$B$11,Paramètres!$A$1:$I$89,3,0)*VLOOKUP('Données projet'!$B$11,Paramètres!$A$1:$I$89,5,0)</f>
        <v>0.38012000000015683</v>
      </c>
      <c r="BF81" s="13">
        <f t="shared" si="91"/>
        <v>0.19605142963512551</v>
      </c>
      <c r="BG81" s="20">
        <f t="shared" si="61"/>
        <v>1.0034985732814501</v>
      </c>
      <c r="BH81" s="59">
        <f t="shared" si="62"/>
        <v>294.33683190661475</v>
      </c>
      <c r="BI81" s="59">
        <f ca="1">AVERAGE(OFFSET($BH$3,0,0,'Données projet'!$E$11+1,1))-AVERAGE(OFFSET($H$3,0,0,'Données projet'!$E$11+1,1))</f>
        <v>328.58609979635901</v>
      </c>
      <c r="BJ81" s="59">
        <f t="shared" si="92"/>
        <v>432.3494365423407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186.41817902109915</v>
      </c>
      <c r="BQ81" s="21">
        <f>EXP(-LN(2)/25)*BQ80+(1-EXP(-LN(2)/25))/(LN(2)/25)*Calculateur!BL81*Calculateur!BN81*VLOOKUP('Données projet'!$B$11,Paramètres!$A$1:$I$89,3,0)*0.475*44/12</f>
        <v>10.566635906804356</v>
      </c>
      <c r="BR81" s="21">
        <f>EXP(-LN(2)/2)*BR80+(1-EXP(-LN(2)/2))/(LN(2)/2)*BL81*BO81*VLOOKUP('Données projet'!$B$11,Paramètres!$A$1:$I$89,3,0)*0.475*44/12</f>
        <v>3.4871902560266804E-8</v>
      </c>
      <c r="BS81" s="22">
        <f t="shared" si="63"/>
        <v>196.9848149627754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11.009999999999998</v>
      </c>
      <c r="BY81" s="12">
        <f>IF('Données projet'!$A$114&gt;35,BY80+BX81-CG80,IF(A81&lt;'Données projet'!$A$114,$BV$205^A81,IF(A81='Données projet'!$A$114,'Données projet'!$B$114,BY80+BX81-CG80)))</f>
        <v>373.68999999999994</v>
      </c>
      <c r="BZ81" s="13">
        <f>BY81*VLOOKUP('Données projet'!$B$12,Paramètres!$A$1:$I$89,3,0)*VLOOKUP('Données projet'!$B$12,Paramètres!$A$1:$I$89,5,0)</f>
        <v>355.60340399999995</v>
      </c>
      <c r="CA81" s="13">
        <f t="shared" si="93"/>
        <v>82.715241596378789</v>
      </c>
      <c r="CB81" s="20">
        <f t="shared" si="64"/>
        <v>763.40497441369291</v>
      </c>
      <c r="CC81" s="59">
        <f t="shared" si="65"/>
        <v>1056.7383077470263</v>
      </c>
      <c r="CD81" s="59">
        <f ca="1">AVERAGE(OFFSET($CC$3,0,0,'Données projet'!$E$12+1,1))-AVERAGE(OFFSET($H$3,0,0,'Données projet'!$E$12+1,1))</f>
        <v>555.3092253965317</v>
      </c>
      <c r="CE81" s="59">
        <f t="shared" si="94"/>
        <v>292.20785523952651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94.43036916788472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94.43036916788472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4</v>
      </c>
      <c r="CT81" s="12">
        <f>IF('Données projet'!$A$140&gt;35,CT80+CS81-DB80,IF(A81&lt;'Données projet'!$A$140,$CQ$205^A81,IF(A81='Données projet'!$A$140,'Données projet'!$B$140,CT80+CS81-DB80)))</f>
        <v>237.00000000000003</v>
      </c>
      <c r="CU81" s="17">
        <f>CT81*VLOOKUP('Données projet'!$B$13,Paramètres!$A$1:$I$89,3,0)*VLOOKUP('Données projet'!$B$13,Paramètres!$A$1:$I$89,5,0)</f>
        <v>151.58520000000001</v>
      </c>
      <c r="CV81" s="13">
        <f t="shared" si="95"/>
        <v>38.938607305837735</v>
      </c>
      <c r="CW81" s="20">
        <f t="shared" si="67"/>
        <v>331.82896439100074</v>
      </c>
      <c r="CX81" s="59">
        <f t="shared" si="68"/>
        <v>625.16229772433405</v>
      </c>
      <c r="CY81" s="59">
        <f ca="1">AVERAGE(OFFSET($CX$3,0,0,'Données projet'!$E$13+1,1))-AVERAGE(OFFSET($H$3,0,0,'Données projet'!$E$13+1,1))</f>
        <v>269.44168853803717</v>
      </c>
      <c r="CZ81" s="59">
        <f t="shared" si="96"/>
        <v>247.65158389074043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38.533716719241475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38.533716719241475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6">
        <f t="shared" si="56"/>
        <v>256.66666666666669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4.4000000000000004</v>
      </c>
      <c r="N82" s="13">
        <f>IF('Données projet'!$A$36&gt;35,N81+M82-V81,IF(A82&lt;'Données projet'!$A$36,$K$205^A82,IF(A82='Données projet'!$A$36,'Données projet'!$B$36,N81+M82-V81)))</f>
        <v>259.60000000000008</v>
      </c>
      <c r="O82" s="13">
        <f>N82*VLOOKUP('Données projet'!$B$9,Paramètres!$A$1:$I$89,3,0)*VLOOKUP('Données projet'!$B$9,Paramètres!$A$1:$I$89,5,0)</f>
        <v>226.78656000000009</v>
      </c>
      <c r="P82" s="13">
        <f t="shared" si="87"/>
        <v>55.587292726829872</v>
      </c>
      <c r="Q82" s="20">
        <f t="shared" si="54"/>
        <v>491.8011268325622</v>
      </c>
      <c r="R82" s="59">
        <f t="shared" si="55"/>
        <v>785.13446016589546</v>
      </c>
      <c r="S82" s="59">
        <f ca="1">AVERAGE(OFFSET($R$3,0,0,'Données projet'!$E$9+1,1))-AVERAGE(OFFSET($H$3,0,0,'Données projet'!$E$9+1,1))</f>
        <v>381.72225529388083</v>
      </c>
      <c r="T82" s="59">
        <f t="shared" si="88"/>
        <v>360.05900046417361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59.470198474426333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59.470198474426333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304.99999999999994</v>
      </c>
      <c r="AJ82" s="13">
        <f>AI82*VLOOKUP('Données projet'!$B$10,Paramètres!$A$1:$I$89,3,0)*VLOOKUP('Données projet'!$B$10,Paramètres!$A$1:$I$89,5,0)</f>
        <v>275.96399999999994</v>
      </c>
      <c r="AK82" s="13">
        <f t="shared" si="89"/>
        <v>66.113366665488911</v>
      </c>
      <c r="AL82" s="20">
        <f t="shared" si="58"/>
        <v>595.7847469423931</v>
      </c>
      <c r="AM82" s="59">
        <f t="shared" si="59"/>
        <v>889.11808027572647</v>
      </c>
      <c r="AN82" s="59">
        <f ca="1">AVERAGE(OFFSET($AM$3,0,0,'Données projet'!$E$10+1,1))-AVERAGE(OFFSET($H$3,0,0,'Données projet'!$E$10+1,1))</f>
        <v>366.43676005661194</v>
      </c>
      <c r="AO82" s="59">
        <f t="shared" si="90"/>
        <v>513.80016421153414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3.171364808793562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3.171364808793562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0.8600000000003547</v>
      </c>
      <c r="BE82" s="13">
        <f>BD82*VLOOKUP('Données projet'!$B$11,Paramètres!$A$1:$I$89,3,0)*VLOOKUP('Données projet'!$B$11,Paramètres!$A$1:$I$89,5,0)</f>
        <v>0.38012000000015683</v>
      </c>
      <c r="BF82" s="13">
        <f t="shared" si="91"/>
        <v>0.19605142963512551</v>
      </c>
      <c r="BG82" s="20">
        <f t="shared" si="61"/>
        <v>1.0034985732814501</v>
      </c>
      <c r="BH82" s="59">
        <f t="shared" si="62"/>
        <v>294.33683190661475</v>
      </c>
      <c r="BI82" s="59">
        <f ca="1">AVERAGE(OFFSET($BH$3,0,0,'Données projet'!$E$11+1,1))-AVERAGE(OFFSET($H$3,0,0,'Données projet'!$E$11+1,1))</f>
        <v>328.58609979635901</v>
      </c>
      <c r="BJ82" s="59">
        <f t="shared" si="92"/>
        <v>432.3494365423407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182.76263223435728</v>
      </c>
      <c r="BQ82" s="21">
        <f>EXP(-LN(2)/25)*BQ81+(1-EXP(-LN(2)/25))/(LN(2)/25)*Calculateur!BL82*Calculateur!BN82*VLOOKUP('Données projet'!$B$11,Paramètres!$A$1:$I$89,3,0)*0.475*44/12</f>
        <v>10.277690692257559</v>
      </c>
      <c r="BR82" s="21">
        <f>EXP(-LN(2)/2)*BR81+(1-EXP(-LN(2)/2))/(LN(2)/2)*BL82*BO82*VLOOKUP('Données projet'!$B$11,Paramètres!$A$1:$I$89,3,0)*0.475*44/12</f>
        <v>2.4658158773241186E-8</v>
      </c>
      <c r="BS82" s="22">
        <f t="shared" si="63"/>
        <v>193.040322951273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11.009999999999998</v>
      </c>
      <c r="BY82" s="12">
        <f>IF('Données projet'!$A$114&gt;35,BY81+BX82-CG81,IF(A82&lt;'Données projet'!$A$114,$BV$205^A82,IF(A82='Données projet'!$A$114,'Données projet'!$B$114,BY81+BX82-CG81)))</f>
        <v>384.69999999999993</v>
      </c>
      <c r="BZ82" s="13">
        <f>BY82*VLOOKUP('Données projet'!$B$12,Paramètres!$A$1:$I$89,3,0)*VLOOKUP('Données projet'!$B$12,Paramètres!$A$1:$I$89,5,0)</f>
        <v>366.08051999999992</v>
      </c>
      <c r="CA82" s="13">
        <f t="shared" si="93"/>
        <v>84.864951236582286</v>
      </c>
      <c r="CB82" s="20">
        <f t="shared" si="64"/>
        <v>785.39669573704725</v>
      </c>
      <c r="CC82" s="59">
        <f t="shared" si="65"/>
        <v>1078.7300290703806</v>
      </c>
      <c r="CD82" s="59">
        <f ca="1">AVERAGE(OFFSET($CC$3,0,0,'Données projet'!$E$12+1,1))-AVERAGE(OFFSET($H$3,0,0,'Données projet'!$E$12+1,1))</f>
        <v>555.3092253965317</v>
      </c>
      <c r="CE82" s="59">
        <f t="shared" si="94"/>
        <v>292.20785523952651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92.578647225340475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92.578647225340475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4</v>
      </c>
      <c r="CT82" s="12">
        <f>IF('Données projet'!$A$140&gt;35,CT81+CS82-DB81,IF(A82&lt;'Données projet'!$A$140,$CQ$205^A82,IF(A82='Données projet'!$A$140,'Données projet'!$B$140,CT81+CS82-DB81)))</f>
        <v>241.00000000000003</v>
      </c>
      <c r="CU82" s="17">
        <f>CT82*VLOOKUP('Données projet'!$B$13,Paramètres!$A$1:$I$89,3,0)*VLOOKUP('Données projet'!$B$13,Paramètres!$A$1:$I$89,5,0)</f>
        <v>154.14360000000002</v>
      </c>
      <c r="CV82" s="13">
        <f t="shared" si="95"/>
        <v>39.518735025361231</v>
      </c>
      <c r="CW82" s="20">
        <f t="shared" si="67"/>
        <v>337.29523350250412</v>
      </c>
      <c r="CX82" s="59">
        <f t="shared" si="68"/>
        <v>630.62856683583743</v>
      </c>
      <c r="CY82" s="59">
        <f ca="1">AVERAGE(OFFSET($CX$3,0,0,'Données projet'!$E$13+1,1))-AVERAGE(OFFSET($H$3,0,0,'Données projet'!$E$13+1,1))</f>
        <v>269.44168853803717</v>
      </c>
      <c r="CZ82" s="59">
        <f t="shared" si="96"/>
        <v>247.65158389074043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37.778094037623596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37.778094037623596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6">
        <f t="shared" si="56"/>
        <v>256.66666666666669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264</v>
      </c>
      <c r="L83" s="12">
        <f>VLOOKUP(A83,'Données projet'!$A$35:$I$55,9,0)</f>
        <v>4.4000000000000004</v>
      </c>
      <c r="M83" s="12">
        <f t="array" ref="M83">INDEX(L:L,MIN(IF(ISNUMBER(L83:L279),ROW(L83:L279),"")))</f>
        <v>4.4000000000000004</v>
      </c>
      <c r="N83" s="13">
        <f>IF('Données projet'!$A$36&gt;35,N82+M83-V82,IF(A83&lt;'Données projet'!$A$36,$K$205^A83,IF(A83='Données projet'!$A$36,'Données projet'!$B$36,N82+M83-V82)))</f>
        <v>264.00000000000006</v>
      </c>
      <c r="O83" s="13">
        <f>N83*VLOOKUP('Données projet'!$B$9,Paramètres!$A$1:$I$89,3,0)*VLOOKUP('Données projet'!$B$9,Paramètres!$A$1:$I$89,5,0)</f>
        <v>230.63040000000007</v>
      </c>
      <c r="P83" s="13">
        <f t="shared" si="87"/>
        <v>56.418967028503253</v>
      </c>
      <c r="Q83" s="20">
        <f t="shared" si="54"/>
        <v>499.94431424130994</v>
      </c>
      <c r="R83" s="59">
        <f t="shared" si="55"/>
        <v>793.2776475746432</v>
      </c>
      <c r="S83" s="59">
        <f ca="1">AVERAGE(OFFSET($R$3,0,0,'Données projet'!$E$9+1,1))-AVERAGE(OFFSET($H$3,0,0,'Données projet'!$E$9+1,1))</f>
        <v>381.72225529388083</v>
      </c>
      <c r="T83" s="59">
        <f t="shared" si="88"/>
        <v>360.05900046417361</v>
      </c>
      <c r="U83" s="15">
        <f>IF(ISNA(VLOOKUP(A83,'Données projet'!$A$35:$I$55,3,0)),0,VLOOKUP(A83,'Données projet'!$A$35:$I$55,3,0))</f>
        <v>14</v>
      </c>
      <c r="V83" s="15">
        <f>IF(ISNA(VLOOKUP(A83,'Données projet'!$A$35:$I$55,4,0)),0,VLOOKUP(A83,'Données projet'!$A$35:$I$55,4,0))</f>
        <v>17</v>
      </c>
      <c r="W83" s="16">
        <f>IF(ISNA(VLOOKUP(A83,'Données projet'!$A$35:$I$55,5,0)),0%,VLOOKUP(A83,'Données projet'!$A$35:$I$55,5,0)*VLOOKUP('Données projet'!$B$9,Paramètres!$A$1:$I$89,7,0))</f>
        <v>0.43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65.363575686805717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65.363575686805717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304.99999999999994</v>
      </c>
      <c r="AJ83" s="13">
        <f>AI83*VLOOKUP('Données projet'!$B$10,Paramètres!$A$1:$I$89,3,0)*VLOOKUP('Données projet'!$B$10,Paramètres!$A$1:$I$89,5,0)</f>
        <v>275.96399999999994</v>
      </c>
      <c r="AK83" s="13">
        <f t="shared" si="89"/>
        <v>66.113366665488911</v>
      </c>
      <c r="AL83" s="20">
        <f t="shared" si="58"/>
        <v>595.7847469423931</v>
      </c>
      <c r="AM83" s="59">
        <f t="shared" si="59"/>
        <v>889.11808027572647</v>
      </c>
      <c r="AN83" s="59">
        <f ca="1">AVERAGE(OFFSET($AM$3,0,0,'Données projet'!$E$10+1,1))-AVERAGE(OFFSET($H$3,0,0,'Données projet'!$E$10+1,1))</f>
        <v>366.43676005661194</v>
      </c>
      <c r="AO83" s="59">
        <f t="shared" si="90"/>
        <v>513.80016421153414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3.1091762792346533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3.1091762792346533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0.8600000000003547</v>
      </c>
      <c r="BE83" s="13">
        <f>BD83*VLOOKUP('Données projet'!$B$11,Paramètres!$A$1:$I$89,3,0)*VLOOKUP('Données projet'!$B$11,Paramètres!$A$1:$I$89,5,0)</f>
        <v>0.38012000000015683</v>
      </c>
      <c r="BF83" s="13">
        <f t="shared" si="91"/>
        <v>0.19605142963512551</v>
      </c>
      <c r="BG83" s="20">
        <f t="shared" si="61"/>
        <v>1.0034985732814501</v>
      </c>
      <c r="BH83" s="59">
        <f t="shared" si="62"/>
        <v>294.33683190661475</v>
      </c>
      <c r="BI83" s="59">
        <f ca="1">AVERAGE(OFFSET($BH$3,0,0,'Données projet'!$E$11+1,1))-AVERAGE(OFFSET($H$3,0,0,'Données projet'!$E$11+1,1))</f>
        <v>328.58609979635901</v>
      </c>
      <c r="BJ83" s="59">
        <f t="shared" si="92"/>
        <v>432.3494365423407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179.17876849044004</v>
      </c>
      <c r="BQ83" s="21">
        <f>EXP(-LN(2)/25)*BQ82+(1-EXP(-LN(2)/25))/(LN(2)/25)*Calculateur!BL83*Calculateur!BN83*VLOOKUP('Données projet'!$B$11,Paramètres!$A$1:$I$89,3,0)*0.475*44/12</f>
        <v>9.9966466997975125</v>
      </c>
      <c r="BR83" s="21">
        <f>EXP(-LN(2)/2)*BR82+(1-EXP(-LN(2)/2))/(LN(2)/2)*BL83*BO83*VLOOKUP('Données projet'!$B$11,Paramètres!$A$1:$I$89,3,0)*0.475*44/12</f>
        <v>1.7435951280133402E-8</v>
      </c>
      <c r="BS83" s="22">
        <f t="shared" si="63"/>
        <v>189.1754152076735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395.71</v>
      </c>
      <c r="BW83" s="12">
        <f>VLOOKUP(A83,'Données projet'!$A$113:$I$133,9,0)</f>
        <v>11.009999999999998</v>
      </c>
      <c r="BX83" s="12">
        <f t="array" ref="BX83">INDEX(BW:BW,MIN(IF(ISNUMBER(BW83:BW279),ROW(BW83:BW279),"")))</f>
        <v>11.009999999999998</v>
      </c>
      <c r="BY83" s="12">
        <f>IF('Données projet'!$A$114&gt;35,BY82+BX83-CG82,IF(A83&lt;'Données projet'!$A$114,$BV$205^A83,IF(A83='Données projet'!$A$114,'Données projet'!$B$114,BY82+BX83-CG82)))</f>
        <v>395.70999999999992</v>
      </c>
      <c r="BZ83" s="13">
        <f>BY83*VLOOKUP('Données projet'!$B$12,Paramètres!$A$1:$I$89,3,0)*VLOOKUP('Données projet'!$B$12,Paramètres!$A$1:$I$89,5,0)</f>
        <v>376.55763599999995</v>
      </c>
      <c r="CA83" s="13">
        <f t="shared" si="93"/>
        <v>87.007510360855733</v>
      </c>
      <c r="CB83" s="20">
        <f t="shared" si="64"/>
        <v>807.37596324515698</v>
      </c>
      <c r="CC83" s="59">
        <f t="shared" si="65"/>
        <v>1100.7092965784902</v>
      </c>
      <c r="CD83" s="59">
        <f ca="1">AVERAGE(OFFSET($CC$3,0,0,'Données projet'!$E$12+1,1))-AVERAGE(OFFSET($H$3,0,0,'Données projet'!$E$12+1,1))</f>
        <v>555.3092253965317</v>
      </c>
      <c r="CE83" s="59">
        <f t="shared" si="94"/>
        <v>292.20785523952651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59.57</v>
      </c>
      <c r="CH83" s="16">
        <f>IF(ISNA(VLOOKUP(A83,'Données projet'!$A$113:$I$133,5,0)),0%,VLOOKUP(A83,'Données projet'!$A$113:$I$133,5,0)*VLOOKUP('Données projet'!$B$12,Paramètres!$A$1:$I$89,7,0))</f>
        <v>0.43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117.70944079839644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117.70944079839644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245</v>
      </c>
      <c r="CR83" s="12">
        <f>VLOOKUP(A83,'Données projet'!$A$139:$I$159,9,0)</f>
        <v>4</v>
      </c>
      <c r="CS83" s="12">
        <f t="array" ref="CS83">INDEX(CR:CR,MIN(IF(ISNUMBER(CR83:CR279),ROW(CR83:CR279),"")))</f>
        <v>4</v>
      </c>
      <c r="CT83" s="12">
        <f>IF('Données projet'!$A$140&gt;35,CT82+CS83-DB82,IF(A83&lt;'Données projet'!$A$140,$CQ$205^A83,IF(A83='Données projet'!$A$140,'Données projet'!$B$140,CT82+CS83-DB82)))</f>
        <v>245.00000000000003</v>
      </c>
      <c r="CU83" s="17">
        <f>CT83*VLOOKUP('Données projet'!$B$13,Paramètres!$A$1:$I$89,3,0)*VLOOKUP('Données projet'!$B$13,Paramètres!$A$1:$I$89,5,0)</f>
        <v>156.702</v>
      </c>
      <c r="CV83" s="13">
        <f t="shared" si="95"/>
        <v>40.097742994609092</v>
      </c>
      <c r="CW83" s="20">
        <f t="shared" si="67"/>
        <v>342.75955238227749</v>
      </c>
      <c r="CX83" s="59">
        <f t="shared" si="68"/>
        <v>636.09288571561081</v>
      </c>
      <c r="CY83" s="59">
        <f ca="1">AVERAGE(OFFSET($CX$3,0,0,'Données projet'!$E$13+1,1))-AVERAGE(OFFSET($H$3,0,0,'Données projet'!$E$13+1,1))</f>
        <v>269.44168853803717</v>
      </c>
      <c r="CZ83" s="59">
        <f t="shared" si="96"/>
        <v>247.65158389074043</v>
      </c>
      <c r="DA83" s="15">
        <f>IF(ISNA(VLOOKUP(A83,'Données projet'!$A$139:$I$159,3,0)),0,VLOOKUP(A83,'Données projet'!$A$139:$I$159,3,0))</f>
        <v>13</v>
      </c>
      <c r="DB83" s="15">
        <f>IF(ISNA(VLOOKUP(A83,'Données projet'!$A$139:$I$159,4,0)),0,VLOOKUP(A83,'Données projet'!$A$139:$I$159,4,0))</f>
        <v>15</v>
      </c>
      <c r="DC83" s="16">
        <f>IF(ISNA(VLOOKUP(A83,'Données projet'!$A$139:$I$159,5,0)),0%,VLOOKUP(A83,'Données projet'!$A$139:$I$159,5,0)*VLOOKUP('Données projet'!$B$13,Paramètres!$A$1:$I$89,7,0))</f>
        <v>0.43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41.597818269040737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41.597818269040737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6">
        <f t="shared" si="56"/>
        <v>256.66666666666669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4</v>
      </c>
      <c r="N84" s="13">
        <f>IF('Données projet'!$A$36&gt;35,N83+M84-V83,IF(A84&lt;'Données projet'!$A$36,$K$205^A84,IF(A84='Données projet'!$A$36,'Données projet'!$B$36,N83+M84-V83)))</f>
        <v>251.00000000000006</v>
      </c>
      <c r="O84" s="13">
        <f>N84*VLOOKUP('Données projet'!$B$9,Paramètres!$A$1:$I$89,3,0)*VLOOKUP('Données projet'!$B$9,Paramètres!$A$1:$I$89,5,0)</f>
        <v>219.2736000000001</v>
      </c>
      <c r="P84" s="13">
        <f t="shared" si="87"/>
        <v>53.956975893220125</v>
      </c>
      <c r="Q84" s="20">
        <f t="shared" si="54"/>
        <v>475.87658634735857</v>
      </c>
      <c r="R84" s="59">
        <f t="shared" si="55"/>
        <v>769.20991968069188</v>
      </c>
      <c r="S84" s="59">
        <f ca="1">AVERAGE(OFFSET($R$3,0,0,'Données projet'!$E$9+1,1))-AVERAGE(OFFSET($H$3,0,0,'Données projet'!$E$9+1,1))</f>
        <v>381.72225529388083</v>
      </c>
      <c r="T84" s="59">
        <f t="shared" si="88"/>
        <v>360.05900046417361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64.081835835432003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64.081835835432003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304.99999999999994</v>
      </c>
      <c r="AJ84" s="13">
        <f>AI84*VLOOKUP('Données projet'!$B$10,Paramètres!$A$1:$I$89,3,0)*VLOOKUP('Données projet'!$B$10,Paramètres!$A$1:$I$89,5,0)</f>
        <v>275.96399999999994</v>
      </c>
      <c r="AK84" s="13">
        <f t="shared" si="89"/>
        <v>66.113366665488911</v>
      </c>
      <c r="AL84" s="20">
        <f t="shared" si="58"/>
        <v>595.7847469423931</v>
      </c>
      <c r="AM84" s="59">
        <f t="shared" si="59"/>
        <v>889.11808027572647</v>
      </c>
      <c r="AN84" s="59">
        <f ca="1">AVERAGE(OFFSET($AM$3,0,0,'Données projet'!$E$10+1,1))-AVERAGE(OFFSET($H$3,0,0,'Données projet'!$E$10+1,1))</f>
        <v>366.43676005661194</v>
      </c>
      <c r="AO84" s="59">
        <f t="shared" si="90"/>
        <v>513.80016421153414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3.0482072288091371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3.0482072288091371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0.8600000000003547</v>
      </c>
      <c r="BE84" s="13">
        <f>BD84*VLOOKUP('Données projet'!$B$11,Paramètres!$A$1:$I$89,3,0)*VLOOKUP('Données projet'!$B$11,Paramètres!$A$1:$I$89,5,0)</f>
        <v>0.38012000000015683</v>
      </c>
      <c r="BF84" s="13">
        <f t="shared" si="91"/>
        <v>0.19605142963512551</v>
      </c>
      <c r="BG84" s="20">
        <f t="shared" si="61"/>
        <v>1.0034985732814501</v>
      </c>
      <c r="BH84" s="59">
        <f t="shared" si="62"/>
        <v>294.33683190661475</v>
      </c>
      <c r="BI84" s="59">
        <f ca="1">AVERAGE(OFFSET($BH$3,0,0,'Données projet'!$E$11+1,1))-AVERAGE(OFFSET($H$3,0,0,'Données projet'!$E$11+1,1))</f>
        <v>328.58609979635901</v>
      </c>
      <c r="BJ84" s="59">
        <f t="shared" si="92"/>
        <v>432.3494365423407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175.66518212859998</v>
      </c>
      <c r="BQ84" s="21">
        <f>EXP(-LN(2)/25)*BQ83+(1-EXP(-LN(2)/25))/(LN(2)/25)*Calculateur!BL84*Calculateur!BN84*VLOOKUP('Données projet'!$B$11,Paramètres!$A$1:$I$89,3,0)*0.475*44/12</f>
        <v>9.723287870090747</v>
      </c>
      <c r="BR84" s="21">
        <f>EXP(-LN(2)/2)*BR83+(1-EXP(-LN(2)/2))/(LN(2)/2)*BL84*BO84*VLOOKUP('Données projet'!$B$11,Paramètres!$A$1:$I$89,3,0)*0.475*44/12</f>
        <v>1.2329079386620593E-8</v>
      </c>
      <c r="BS84" s="22">
        <f t="shared" si="63"/>
        <v>185.38847001101982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10.41</v>
      </c>
      <c r="BY84" s="12">
        <f>IF('Données projet'!$A$114&gt;35,BY83+BX84-CG83,IF(A84&lt;'Données projet'!$A$114,$BV$205^A84,IF(A84='Données projet'!$A$114,'Données projet'!$B$114,BY83+BX84-CG83)))</f>
        <v>346.54999999999995</v>
      </c>
      <c r="BZ84" s="13">
        <f>BY84*VLOOKUP('Données projet'!$B$12,Paramètres!$A$1:$I$89,3,0)*VLOOKUP('Données projet'!$B$12,Paramètres!$A$1:$I$89,5,0)</f>
        <v>329.77697999999998</v>
      </c>
      <c r="CA84" s="13">
        <f t="shared" si="93"/>
        <v>77.384067616717971</v>
      </c>
      <c r="CB84" s="20">
        <f t="shared" si="64"/>
        <v>709.13882459911702</v>
      </c>
      <c r="CC84" s="59">
        <f t="shared" si="65"/>
        <v>1002.4721579324503</v>
      </c>
      <c r="CD84" s="59">
        <f ca="1">AVERAGE(OFFSET($CC$3,0,0,'Données projet'!$E$12+1,1))-AVERAGE(OFFSET($H$3,0,0,'Données projet'!$E$12+1,1))</f>
        <v>555.3092253965317</v>
      </c>
      <c r="CE84" s="59">
        <f t="shared" si="94"/>
        <v>292.20785523952651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115.40123046000954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115.40123046000954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3.6</v>
      </c>
      <c r="CT84" s="12">
        <f>IF('Données projet'!$A$140&gt;35,CT83+CS84-DB83,IF(A84&lt;'Données projet'!$A$140,$CQ$205^A84,IF(A84='Données projet'!$A$140,'Données projet'!$B$140,CT83+CS84-DB83)))</f>
        <v>233.60000000000002</v>
      </c>
      <c r="CU84" s="17">
        <f>CT84*VLOOKUP('Données projet'!$B$13,Paramètres!$A$1:$I$89,3,0)*VLOOKUP('Données projet'!$B$13,Paramètres!$A$1:$I$89,5,0)</f>
        <v>149.41056000000003</v>
      </c>
      <c r="CV84" s="13">
        <f t="shared" si="95"/>
        <v>38.444602585568106</v>
      </c>
      <c r="CW84" s="20">
        <f t="shared" si="67"/>
        <v>327.1810748365312</v>
      </c>
      <c r="CX84" s="59">
        <f t="shared" si="68"/>
        <v>620.51440816986451</v>
      </c>
      <c r="CY84" s="59">
        <f ca="1">AVERAGE(OFFSET($CX$3,0,0,'Données projet'!$E$13+1,1))-AVERAGE(OFFSET($H$3,0,0,'Données projet'!$E$13+1,1))</f>
        <v>269.44168853803717</v>
      </c>
      <c r="CZ84" s="59">
        <f t="shared" si="96"/>
        <v>247.65158389074043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40.782110424948698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40.782110424948698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6">
        <f t="shared" si="56"/>
        <v>256.66666666666669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4</v>
      </c>
      <c r="N85" s="13">
        <f>IF('Données projet'!$A$36&gt;35,N84+M85-V84,IF(A85&lt;'Données projet'!$A$36,$K$205^A85,IF(A85='Données projet'!$A$36,'Données projet'!$B$36,N84+M85-V84)))</f>
        <v>255.00000000000006</v>
      </c>
      <c r="O85" s="13">
        <f>N85*VLOOKUP('Données projet'!$B$9,Paramètres!$A$1:$I$89,3,0)*VLOOKUP('Données projet'!$B$9,Paramètres!$A$1:$I$89,5,0)</f>
        <v>222.76800000000006</v>
      </c>
      <c r="P85" s="13">
        <f t="shared" si="87"/>
        <v>54.716058356609508</v>
      </c>
      <c r="Q85" s="20">
        <f t="shared" si="54"/>
        <v>483.28473497109502</v>
      </c>
      <c r="R85" s="59">
        <f t="shared" si="55"/>
        <v>776.61806830442833</v>
      </c>
      <c r="S85" s="59">
        <f ca="1">AVERAGE(OFFSET($R$3,0,0,'Données projet'!$E$9+1,1))-AVERAGE(OFFSET($H$3,0,0,'Données projet'!$E$9+1,1))</f>
        <v>381.72225529388083</v>
      </c>
      <c r="T85" s="59">
        <f t="shared" si="88"/>
        <v>360.05900046417361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62.825230120759613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62.825230120759613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304.99999999999994</v>
      </c>
      <c r="AJ85" s="13">
        <f>AI85*VLOOKUP('Données projet'!$B$10,Paramètres!$A$1:$I$89,3,0)*VLOOKUP('Données projet'!$B$10,Paramètres!$A$1:$I$89,5,0)</f>
        <v>275.96399999999994</v>
      </c>
      <c r="AK85" s="13">
        <f t="shared" si="89"/>
        <v>66.113366665488911</v>
      </c>
      <c r="AL85" s="20">
        <f t="shared" si="58"/>
        <v>595.7847469423931</v>
      </c>
      <c r="AM85" s="59">
        <f t="shared" si="59"/>
        <v>889.11808027572647</v>
      </c>
      <c r="AN85" s="59">
        <f ca="1">AVERAGE(OFFSET($AM$3,0,0,'Données projet'!$E$10+1,1))-AVERAGE(OFFSET($H$3,0,0,'Données projet'!$E$10+1,1))</f>
        <v>366.43676005661194</v>
      </c>
      <c r="AO85" s="59">
        <f t="shared" si="90"/>
        <v>513.80016421153414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2.9884337442750164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2.9884337442750164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0.8600000000003547</v>
      </c>
      <c r="BE85" s="13">
        <f>BD85*VLOOKUP('Données projet'!$B$11,Paramètres!$A$1:$I$89,3,0)*VLOOKUP('Données projet'!$B$11,Paramètres!$A$1:$I$89,5,0)</f>
        <v>0.38012000000015683</v>
      </c>
      <c r="BF85" s="13">
        <f t="shared" si="91"/>
        <v>0.19605142963512551</v>
      </c>
      <c r="BG85" s="20">
        <f t="shared" si="61"/>
        <v>1.0034985732814501</v>
      </c>
      <c r="BH85" s="59">
        <f t="shared" si="62"/>
        <v>294.33683190661475</v>
      </c>
      <c r="BI85" s="59">
        <f ca="1">AVERAGE(OFFSET($BH$3,0,0,'Données projet'!$E$11+1,1))-AVERAGE(OFFSET($H$3,0,0,'Données projet'!$E$11+1,1))</f>
        <v>328.58609979635901</v>
      </c>
      <c r="BJ85" s="59">
        <f t="shared" si="92"/>
        <v>432.3494365423407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172.22049505223953</v>
      </c>
      <c r="BQ85" s="21">
        <f>EXP(-LN(2)/25)*BQ84+(1-EXP(-LN(2)/25))/(LN(2)/25)*Calculateur!BL85*Calculateur!BN85*VLOOKUP('Données projet'!$B$11,Paramètres!$A$1:$I$89,3,0)*0.475*44/12</f>
        <v>9.4574040519576297</v>
      </c>
      <c r="BR85" s="21">
        <f>EXP(-LN(2)/2)*BR84+(1-EXP(-LN(2)/2))/(LN(2)/2)*BL85*BO85*VLOOKUP('Données projet'!$B$11,Paramètres!$A$1:$I$89,3,0)*0.475*44/12</f>
        <v>8.7179756400667011E-9</v>
      </c>
      <c r="BS85" s="22">
        <f t="shared" si="63"/>
        <v>181.67789911291513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10.41</v>
      </c>
      <c r="BY85" s="12">
        <f>IF('Données projet'!$A$114&gt;35,BY84+BX85-CG84,IF(A85&lt;'Données projet'!$A$114,$BV$205^A85,IF(A85='Données projet'!$A$114,'Données projet'!$B$114,BY84+BX85-CG84)))</f>
        <v>356.96</v>
      </c>
      <c r="BZ85" s="13">
        <f>BY85*VLOOKUP('Données projet'!$B$12,Paramètres!$A$1:$I$89,3,0)*VLOOKUP('Données projet'!$B$12,Paramètres!$A$1:$I$89,5,0)</f>
        <v>339.68313599999999</v>
      </c>
      <c r="CA85" s="13">
        <f t="shared" si="93"/>
        <v>79.434476761127598</v>
      </c>
      <c r="CB85" s="20">
        <f t="shared" si="64"/>
        <v>729.96317555896394</v>
      </c>
      <c r="CC85" s="59">
        <f t="shared" si="65"/>
        <v>1023.2965088922972</v>
      </c>
      <c r="CD85" s="59">
        <f ca="1">AVERAGE(OFFSET($CC$3,0,0,'Données projet'!$E$12+1,1))-AVERAGE(OFFSET($H$3,0,0,'Données projet'!$E$12+1,1))</f>
        <v>555.3092253965317</v>
      </c>
      <c r="CE85" s="59">
        <f t="shared" si="94"/>
        <v>292.20785523952651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113.13828271848912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113.13828271848912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3.6</v>
      </c>
      <c r="CT85" s="12">
        <f>IF('Données projet'!$A$140&gt;35,CT84+CS85-DB84,IF(A85&lt;'Données projet'!$A$140,$CQ$205^A85,IF(A85='Données projet'!$A$140,'Données projet'!$B$140,CT84+CS85-DB84)))</f>
        <v>237.20000000000002</v>
      </c>
      <c r="CU85" s="17">
        <f>CT85*VLOOKUP('Données projet'!$B$13,Paramètres!$A$1:$I$89,3,0)*VLOOKUP('Données projet'!$B$13,Paramètres!$A$1:$I$89,5,0)</f>
        <v>151.71312</v>
      </c>
      <c r="CV85" s="13">
        <f t="shared" si="95"/>
        <v>38.967640608896517</v>
      </c>
      <c r="CW85" s="20">
        <f t="shared" si="67"/>
        <v>332.10232472716143</v>
      </c>
      <c r="CX85" s="59">
        <f t="shared" si="68"/>
        <v>625.43565806049469</v>
      </c>
      <c r="CY85" s="59">
        <f ca="1">AVERAGE(OFFSET($CX$3,0,0,'Données projet'!$E$13+1,1))-AVERAGE(OFFSET($H$3,0,0,'Données projet'!$E$13+1,1))</f>
        <v>269.44168853803717</v>
      </c>
      <c r="CZ85" s="59">
        <f t="shared" si="96"/>
        <v>247.65158389074043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39.982398114146648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39.982398114146648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6">
        <f t="shared" si="56"/>
        <v>256.66666666666669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4</v>
      </c>
      <c r="N86" s="13">
        <f>IF('Données projet'!$A$36&gt;35,N85+M86-V85,IF(A86&lt;'Données projet'!$A$36,$K$205^A86,IF(A86='Données projet'!$A$36,'Données projet'!$B$36,N85+M86-V85)))</f>
        <v>259.00000000000006</v>
      </c>
      <c r="O86" s="13">
        <f>N86*VLOOKUP('Données projet'!$B$9,Paramètres!$A$1:$I$89,3,0)*VLOOKUP('Données projet'!$B$9,Paramètres!$A$1:$I$89,5,0)</f>
        <v>226.26240000000007</v>
      </c>
      <c r="P86" s="13">
        <f t="shared" si="87"/>
        <v>55.473756029242935</v>
      </c>
      <c r="Q86" s="20">
        <f t="shared" si="54"/>
        <v>490.69047175093164</v>
      </c>
      <c r="R86" s="59">
        <f t="shared" si="55"/>
        <v>784.02380508426495</v>
      </c>
      <c r="S86" s="59">
        <f ca="1">AVERAGE(OFFSET($R$3,0,0,'Données projet'!$E$9+1,1))-AVERAGE(OFFSET($H$3,0,0,'Données projet'!$E$9+1,1))</f>
        <v>381.72225529388083</v>
      </c>
      <c r="T86" s="59">
        <f t="shared" si="88"/>
        <v>360.05900046417361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61.593265677698142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61.593265677698142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304.99999999999994</v>
      </c>
      <c r="AJ86" s="13">
        <f>AI86*VLOOKUP('Données projet'!$B$10,Paramètres!$A$1:$I$89,3,0)*VLOOKUP('Données projet'!$B$10,Paramètres!$A$1:$I$89,5,0)</f>
        <v>275.96399999999994</v>
      </c>
      <c r="AK86" s="13">
        <f t="shared" si="89"/>
        <v>66.113366665488911</v>
      </c>
      <c r="AL86" s="20">
        <f t="shared" si="58"/>
        <v>595.7847469423931</v>
      </c>
      <c r="AM86" s="59">
        <f t="shared" si="59"/>
        <v>889.11808027572647</v>
      </c>
      <c r="AN86" s="59">
        <f ca="1">AVERAGE(OFFSET($AM$3,0,0,'Données projet'!$E$10+1,1))-AVERAGE(OFFSET($H$3,0,0,'Données projet'!$E$10+1,1))</f>
        <v>366.43676005661194</v>
      </c>
      <c r="AO86" s="59">
        <f t="shared" si="90"/>
        <v>513.80016421153414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2.9298323813143843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2.9298323813143843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0.8600000000003547</v>
      </c>
      <c r="BE86" s="13">
        <f>BD86*VLOOKUP('Données projet'!$B$11,Paramètres!$A$1:$I$89,3,0)*VLOOKUP('Données projet'!$B$11,Paramètres!$A$1:$I$89,5,0)</f>
        <v>0.38012000000015683</v>
      </c>
      <c r="BF86" s="13">
        <f t="shared" si="91"/>
        <v>0.19605142963512551</v>
      </c>
      <c r="BG86" s="20">
        <f t="shared" si="61"/>
        <v>1.0034985732814501</v>
      </c>
      <c r="BH86" s="59">
        <f t="shared" si="62"/>
        <v>294.33683190661475</v>
      </c>
      <c r="BI86" s="59">
        <f ca="1">AVERAGE(OFFSET($BH$3,0,0,'Données projet'!$E$11+1,1))-AVERAGE(OFFSET($H$3,0,0,'Données projet'!$E$11+1,1))</f>
        <v>328.58609979635901</v>
      </c>
      <c r="BJ86" s="59">
        <f t="shared" si="92"/>
        <v>432.3494365423407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168.84335618839484</v>
      </c>
      <c r="BQ86" s="21">
        <f>EXP(-LN(2)/25)*BQ85+(1-EXP(-LN(2)/25))/(LN(2)/25)*Calculateur!BL86*Calculateur!BN86*VLOOKUP('Données projet'!$B$11,Paramètres!$A$1:$I$89,3,0)*0.475*44/12</f>
        <v>9.1987908408135848</v>
      </c>
      <c r="BR86" s="21">
        <f>EXP(-LN(2)/2)*BR85+(1-EXP(-LN(2)/2))/(LN(2)/2)*BL86*BO86*VLOOKUP('Données projet'!$B$11,Paramètres!$A$1:$I$89,3,0)*0.475*44/12</f>
        <v>6.1645396933102965E-9</v>
      </c>
      <c r="BS86" s="22">
        <f t="shared" si="63"/>
        <v>178.04214703537295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10.41</v>
      </c>
      <c r="BY86" s="12">
        <f>IF('Données projet'!$A$114&gt;35,BY85+BX86-CG85,IF(A86&lt;'Données projet'!$A$114,$BV$205^A86,IF(A86='Données projet'!$A$114,'Données projet'!$B$114,BY85+BX86-CG85)))</f>
        <v>367.37</v>
      </c>
      <c r="BZ86" s="13">
        <f>BY86*VLOOKUP('Données projet'!$B$12,Paramètres!$A$1:$I$89,3,0)*VLOOKUP('Données projet'!$B$12,Paramètres!$A$1:$I$89,5,0)</f>
        <v>349.589292</v>
      </c>
      <c r="CA86" s="13">
        <f t="shared" si="93"/>
        <v>81.47793641728552</v>
      </c>
      <c r="CB86" s="20">
        <f t="shared" si="64"/>
        <v>750.77542282677223</v>
      </c>
      <c r="CC86" s="59">
        <f t="shared" si="65"/>
        <v>1044.1087561601055</v>
      </c>
      <c r="CD86" s="59">
        <f ca="1">AVERAGE(OFFSET($CC$3,0,0,'Données projet'!$E$12+1,1))-AVERAGE(OFFSET($H$3,0,0,'Données projet'!$E$12+1,1))</f>
        <v>555.3092253965317</v>
      </c>
      <c r="CE86" s="59">
        <f t="shared" si="94"/>
        <v>292.20785523952651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110.91971000191808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110.91971000191808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3.6</v>
      </c>
      <c r="CT86" s="12">
        <f>IF('Données projet'!$A$140&gt;35,CT85+CS86-DB85,IF(A86&lt;'Données projet'!$A$140,$CQ$205^A86,IF(A86='Données projet'!$A$140,'Données projet'!$B$140,CT85+CS86-DB85)))</f>
        <v>240.8</v>
      </c>
      <c r="CU86" s="17">
        <f>CT86*VLOOKUP('Données projet'!$B$13,Paramètres!$A$1:$I$89,3,0)*VLOOKUP('Données projet'!$B$13,Paramètres!$A$1:$I$89,5,0)</f>
        <v>154.01568</v>
      </c>
      <c r="CV86" s="13">
        <f t="shared" si="95"/>
        <v>39.489755406006992</v>
      </c>
      <c r="CW86" s="20">
        <f t="shared" si="67"/>
        <v>337.02196666546217</v>
      </c>
      <c r="CX86" s="59">
        <f t="shared" si="68"/>
        <v>630.35529999879554</v>
      </c>
      <c r="CY86" s="59">
        <f ca="1">AVERAGE(OFFSET($CX$3,0,0,'Données projet'!$E$13+1,1))-AVERAGE(OFFSET($H$3,0,0,'Données projet'!$E$13+1,1))</f>
        <v>269.44168853803717</v>
      </c>
      <c r="CZ86" s="59">
        <f t="shared" si="96"/>
        <v>247.65158389074043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39.198367673983078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39.198367673983078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6">
        <f t="shared" si="56"/>
        <v>256.66666666666669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4</v>
      </c>
      <c r="N87" s="13">
        <f>IF('Données projet'!$A$36&gt;35,N86+M87-V86,IF(A87&lt;'Données projet'!$A$36,$K$205^A87,IF(A87='Données projet'!$A$36,'Données projet'!$B$36,N86+M87-V86)))</f>
        <v>263.00000000000006</v>
      </c>
      <c r="O87" s="13">
        <f>N87*VLOOKUP('Données projet'!$B$9,Paramètres!$A$1:$I$89,3,0)*VLOOKUP('Données projet'!$B$9,Paramètres!$A$1:$I$89,5,0)</f>
        <v>229.75680000000011</v>
      </c>
      <c r="P87" s="13">
        <f t="shared" si="87"/>
        <v>56.230092767727569</v>
      </c>
      <c r="Q87" s="20">
        <f t="shared" si="54"/>
        <v>498.09383823712568</v>
      </c>
      <c r="R87" s="59">
        <f t="shared" si="55"/>
        <v>791.427171570459</v>
      </c>
      <c r="S87" s="59">
        <f ca="1">AVERAGE(OFFSET($R$3,0,0,'Données projet'!$E$9+1,1))-AVERAGE(OFFSET($H$3,0,0,'Données projet'!$E$9+1,1))</f>
        <v>381.72225529388083</v>
      </c>
      <c r="T87" s="59">
        <f t="shared" si="88"/>
        <v>360.05900046417361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60.385459305940998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60.385459305940998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304.99999999999994</v>
      </c>
      <c r="AJ87" s="13">
        <f>AI87*VLOOKUP('Données projet'!$B$10,Paramètres!$A$1:$I$89,3,0)*VLOOKUP('Données projet'!$B$10,Paramètres!$A$1:$I$89,5,0)</f>
        <v>275.96399999999994</v>
      </c>
      <c r="AK87" s="13">
        <f t="shared" si="89"/>
        <v>66.113366665488911</v>
      </c>
      <c r="AL87" s="20">
        <f t="shared" si="58"/>
        <v>595.7847469423931</v>
      </c>
      <c r="AM87" s="59">
        <f t="shared" si="59"/>
        <v>889.11808027572647</v>
      </c>
      <c r="AN87" s="59">
        <f ca="1">AVERAGE(OFFSET($AM$3,0,0,'Données projet'!$E$10+1,1))-AVERAGE(OFFSET($H$3,0,0,'Données projet'!$E$10+1,1))</f>
        <v>366.43676005661194</v>
      </c>
      <c r="AO87" s="59">
        <f t="shared" si="90"/>
        <v>513.80016421153414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2.8723801553381083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2.8723801553381083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0.8600000000003547</v>
      </c>
      <c r="BE87" s="13">
        <f>BD87*VLOOKUP('Données projet'!$B$11,Paramètres!$A$1:$I$89,3,0)*VLOOKUP('Données projet'!$B$11,Paramètres!$A$1:$I$89,5,0)</f>
        <v>0.38012000000015683</v>
      </c>
      <c r="BF87" s="13">
        <f t="shared" si="91"/>
        <v>0.19605142963512551</v>
      </c>
      <c r="BG87" s="20">
        <f t="shared" si="61"/>
        <v>1.0034985732814501</v>
      </c>
      <c r="BH87" s="59">
        <f t="shared" si="62"/>
        <v>294.33683190661475</v>
      </c>
      <c r="BI87" s="59">
        <f ca="1">AVERAGE(OFFSET($BH$3,0,0,'Données projet'!$E$11+1,1))-AVERAGE(OFFSET($H$3,0,0,'Données projet'!$E$11+1,1))</f>
        <v>328.58609979635901</v>
      </c>
      <c r="BJ87" s="59">
        <f t="shared" si="92"/>
        <v>432.3494365423407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165.53244095781884</v>
      </c>
      <c r="BQ87" s="21">
        <f>EXP(-LN(2)/25)*BQ86+(1-EXP(-LN(2)/25))/(LN(2)/25)*Calculateur!BL87*Calculateur!BN87*VLOOKUP('Données projet'!$B$11,Paramètres!$A$1:$I$89,3,0)*0.475*44/12</f>
        <v>8.9472494215281504</v>
      </c>
      <c r="BR87" s="21">
        <f>EXP(-LN(2)/2)*BR86+(1-EXP(-LN(2)/2))/(LN(2)/2)*BL87*BO87*VLOOKUP('Données projet'!$B$11,Paramètres!$A$1:$I$89,3,0)*0.475*44/12</f>
        <v>4.3589878200333505E-9</v>
      </c>
      <c r="BS87" s="22">
        <f t="shared" si="63"/>
        <v>174.47969038370596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10.41</v>
      </c>
      <c r="BY87" s="12">
        <f>IF('Données projet'!$A$114&gt;35,BY86+BX87-CG86,IF(A87&lt;'Données projet'!$A$114,$BV$205^A87,IF(A87='Données projet'!$A$114,'Données projet'!$B$114,BY86+BX87-CG86)))</f>
        <v>377.78000000000003</v>
      </c>
      <c r="BZ87" s="13">
        <f>BY87*VLOOKUP('Données projet'!$B$12,Paramètres!$A$1:$I$89,3,0)*VLOOKUP('Données projet'!$B$12,Paramètres!$A$1:$I$89,5,0)</f>
        <v>359.49544800000007</v>
      </c>
      <c r="CA87" s="13">
        <f t="shared" si="93"/>
        <v>83.51466612912472</v>
      </c>
      <c r="CB87" s="20">
        <f t="shared" si="64"/>
        <v>771.57594877489225</v>
      </c>
      <c r="CC87" s="59">
        <f t="shared" si="65"/>
        <v>1064.9092821082256</v>
      </c>
      <c r="CD87" s="59">
        <f ca="1">AVERAGE(OFFSET($CC$3,0,0,'Données projet'!$E$12+1,1))-AVERAGE(OFFSET($H$3,0,0,'Données projet'!$E$12+1,1))</f>
        <v>555.3092253965317</v>
      </c>
      <c r="CE87" s="59">
        <f t="shared" si="94"/>
        <v>292.20785523952651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108.74464214312326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108.74464214312326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3.6</v>
      </c>
      <c r="CT87" s="12">
        <f>IF('Données projet'!$A$140&gt;35,CT86+CS87-DB86,IF(A87&lt;'Données projet'!$A$140,$CQ$205^A87,IF(A87='Données projet'!$A$140,'Données projet'!$B$140,CT86+CS87-DB86)))</f>
        <v>244.4</v>
      </c>
      <c r="CU87" s="17">
        <f>CT87*VLOOKUP('Données projet'!$B$13,Paramètres!$A$1:$I$89,3,0)*VLOOKUP('Données projet'!$B$13,Paramètres!$A$1:$I$89,5,0)</f>
        <v>156.31824</v>
      </c>
      <c r="CV87" s="13">
        <f t="shared" si="95"/>
        <v>40.010962373637824</v>
      </c>
      <c r="CW87" s="20">
        <f t="shared" si="67"/>
        <v>341.94002746741921</v>
      </c>
      <c r="CX87" s="59">
        <f t="shared" si="68"/>
        <v>635.27336080075247</v>
      </c>
      <c r="CY87" s="59">
        <f ca="1">AVERAGE(OFFSET($CX$3,0,0,'Données projet'!$E$13+1,1))-AVERAGE(OFFSET($H$3,0,0,'Données projet'!$E$13+1,1))</f>
        <v>269.44168853803717</v>
      </c>
      <c r="CZ87" s="59">
        <f t="shared" si="96"/>
        <v>247.65158389074043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38.429711592539768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38.429711592539768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6">
        <f t="shared" si="56"/>
        <v>256.66666666666669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267</v>
      </c>
      <c r="L88" s="12">
        <f>VLOOKUP(A88,'Données projet'!$A$35:$I$55,9,0)</f>
        <v>4</v>
      </c>
      <c r="M88" s="12">
        <f t="array" ref="M88">INDEX(L:L,MIN(IF(ISNUMBER(L88:L284),ROW(L88:L284),"")))</f>
        <v>4</v>
      </c>
      <c r="N88" s="13">
        <f>IF('Données projet'!$A$36&gt;35,N87+M88-V87,IF(A88&lt;'Données projet'!$A$36,$K$205^A88,IF(A88='Données projet'!$A$36,'Données projet'!$B$36,N87+M88-V87)))</f>
        <v>267.00000000000006</v>
      </c>
      <c r="O88" s="13">
        <f>N88*VLOOKUP('Données projet'!$B$9,Paramètres!$A$1:$I$89,3,0)*VLOOKUP('Données projet'!$B$9,Paramètres!$A$1:$I$89,5,0)</f>
        <v>233.25120000000007</v>
      </c>
      <c r="P88" s="13">
        <f t="shared" si="87"/>
        <v>56.985091661350914</v>
      </c>
      <c r="Q88" s="20">
        <f t="shared" si="54"/>
        <v>505.49487464351961</v>
      </c>
      <c r="R88" s="59">
        <f t="shared" si="55"/>
        <v>798.82820797685292</v>
      </c>
      <c r="S88" s="59">
        <f ca="1">AVERAGE(OFFSET($R$3,0,0,'Données projet'!$E$9+1,1))-AVERAGE(OFFSET($H$3,0,0,'Données projet'!$E$9+1,1))</f>
        <v>381.72225529388083</v>
      </c>
      <c r="T88" s="59">
        <f t="shared" si="88"/>
        <v>360.05900046417361</v>
      </c>
      <c r="U88" s="15">
        <f>IF(ISNA(VLOOKUP(A88,'Données projet'!$A$35:$I$55,3,0)),0,VLOOKUP(A88,'Données projet'!$A$35:$I$55,3,0))</f>
        <v>15</v>
      </c>
      <c r="V88" s="15">
        <f>IF(ISNA(VLOOKUP(A88,'Données projet'!$A$35:$I$55,4,0)),0,VLOOKUP(A88,'Données projet'!$A$35:$I$55,4,0))</f>
        <v>16</v>
      </c>
      <c r="W88" s="16">
        <f>IF(ISNA(VLOOKUP(A88,'Données projet'!$A$35:$I$55,5,0)),0%,VLOOKUP(A88,'Données projet'!$A$35:$I$55,5,0)*VLOOKUP('Données projet'!$B$9,Paramètres!$A$1:$I$89,7,0))</f>
        <v>0.43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65.845621074537561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65.845621074537561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304.99999999999994</v>
      </c>
      <c r="AJ88" s="13">
        <f>AI88*VLOOKUP('Données projet'!$B$10,Paramètres!$A$1:$I$89,3,0)*VLOOKUP('Données projet'!$B$10,Paramètres!$A$1:$I$89,5,0)</f>
        <v>275.96399999999994</v>
      </c>
      <c r="AK88" s="13">
        <f t="shared" si="89"/>
        <v>66.113366665488911</v>
      </c>
      <c r="AL88" s="20">
        <f t="shared" si="58"/>
        <v>595.7847469423931</v>
      </c>
      <c r="AM88" s="59">
        <f t="shared" si="59"/>
        <v>889.11808027572647</v>
      </c>
      <c r="AN88" s="59">
        <f ca="1">AVERAGE(OFFSET($AM$3,0,0,'Données projet'!$E$10+1,1))-AVERAGE(OFFSET($H$3,0,0,'Données projet'!$E$10+1,1))</f>
        <v>366.43676005661194</v>
      </c>
      <c r="AO88" s="59">
        <f t="shared" si="90"/>
        <v>513.80016421153414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2.816054532470829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2.816054532470829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0.8600000000003547</v>
      </c>
      <c r="BE88" s="13">
        <f>BD88*VLOOKUP('Données projet'!$B$11,Paramètres!$A$1:$I$89,3,0)*VLOOKUP('Données projet'!$B$11,Paramètres!$A$1:$I$89,5,0)</f>
        <v>0.38012000000015683</v>
      </c>
      <c r="BF88" s="13">
        <f t="shared" si="91"/>
        <v>0.19605142963512551</v>
      </c>
      <c r="BG88" s="20">
        <f t="shared" si="61"/>
        <v>1.0034985732814501</v>
      </c>
      <c r="BH88" s="59">
        <f t="shared" si="62"/>
        <v>294.33683190661475</v>
      </c>
      <c r="BI88" s="59">
        <f ca="1">AVERAGE(OFFSET($BH$3,0,0,'Données projet'!$E$11+1,1))-AVERAGE(OFFSET($H$3,0,0,'Données projet'!$E$11+1,1))</f>
        <v>328.58609979635901</v>
      </c>
      <c r="BJ88" s="59">
        <f t="shared" si="92"/>
        <v>432.3494365423407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162.28645075545555</v>
      </c>
      <c r="BQ88" s="21">
        <f>EXP(-LN(2)/25)*BQ87+(1-EXP(-LN(2)/25))/(LN(2)/25)*Calculateur!BL88*Calculateur!BN88*VLOOKUP('Données projet'!$B$11,Paramètres!$A$1:$I$89,3,0)*0.475*44/12</f>
        <v>8.7025864155810648</v>
      </c>
      <c r="BR88" s="21">
        <f>EXP(-LN(2)/2)*BR87+(1-EXP(-LN(2)/2))/(LN(2)/2)*BL88*BO88*VLOOKUP('Données projet'!$B$11,Paramètres!$A$1:$I$89,3,0)*0.475*44/12</f>
        <v>3.0822698466551483E-9</v>
      </c>
      <c r="BS88" s="22">
        <f t="shared" si="63"/>
        <v>170.98903717411889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10.41</v>
      </c>
      <c r="BY88" s="12">
        <f>IF('Données projet'!$A$114&gt;35,BY87+BX88-CG87,IF(A88&lt;'Données projet'!$A$114,$BV$205^A88,IF(A88='Données projet'!$A$114,'Données projet'!$B$114,BY87+BX88-CG87)))</f>
        <v>388.19000000000005</v>
      </c>
      <c r="BZ88" s="13">
        <f>BY88*VLOOKUP('Données projet'!$B$12,Paramètres!$A$1:$I$89,3,0)*VLOOKUP('Données projet'!$B$12,Paramètres!$A$1:$I$89,5,0)</f>
        <v>369.40160400000002</v>
      </c>
      <c r="CA88" s="13">
        <f t="shared" si="93"/>
        <v>85.544872652631781</v>
      </c>
      <c r="CB88" s="20">
        <f t="shared" si="64"/>
        <v>792.36511350333376</v>
      </c>
      <c r="CC88" s="59">
        <f t="shared" si="65"/>
        <v>1085.698446836667</v>
      </c>
      <c r="CD88" s="59">
        <f ca="1">AVERAGE(OFFSET($CC$3,0,0,'Données projet'!$E$12+1,1))-AVERAGE(OFFSET($H$3,0,0,'Données projet'!$E$12+1,1))</f>
        <v>555.3092253965317</v>
      </c>
      <c r="CE88" s="59">
        <f t="shared" si="94"/>
        <v>292.20785523952651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106.61222603837901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106.61222603837901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>
        <f>VLOOKUP(A88,'Données projet'!$A$139:$I$159,2,0)</f>
        <v>248</v>
      </c>
      <c r="CR88" s="12">
        <f>VLOOKUP(A88,'Données projet'!$A$139:$I$159,9,0)</f>
        <v>3.6</v>
      </c>
      <c r="CS88" s="12">
        <f t="array" ref="CS88">INDEX(CR:CR,MIN(IF(ISNUMBER(CR88:CR284),ROW(CR88:CR284),"")))</f>
        <v>3.6</v>
      </c>
      <c r="CT88" s="12">
        <f>IF('Données projet'!$A$140&gt;35,CT87+CS88-DB87,IF(A88&lt;'Données projet'!$A$140,$CQ$205^A88,IF(A88='Données projet'!$A$140,'Données projet'!$B$140,CT87+CS88-DB87)))</f>
        <v>248</v>
      </c>
      <c r="CU88" s="17">
        <f>CT88*VLOOKUP('Données projet'!$B$13,Paramètres!$A$1:$I$89,3,0)*VLOOKUP('Données projet'!$B$13,Paramètres!$A$1:$I$89,5,0)</f>
        <v>158.6208</v>
      </c>
      <c r="CV88" s="13">
        <f t="shared" si="95"/>
        <v>40.531276428901542</v>
      </c>
      <c r="CW88" s="20">
        <f t="shared" si="67"/>
        <v>346.8565331136702</v>
      </c>
      <c r="CX88" s="59">
        <f t="shared" si="68"/>
        <v>640.18986644700351</v>
      </c>
      <c r="CY88" s="59">
        <f ca="1">AVERAGE(OFFSET($CX$3,0,0,'Données projet'!$E$13+1,1))-AVERAGE(OFFSET($H$3,0,0,'Données projet'!$E$13+1,1))</f>
        <v>269.44168853803717</v>
      </c>
      <c r="CZ88" s="59">
        <f t="shared" si="96"/>
        <v>247.65158389074043</v>
      </c>
      <c r="DA88" s="15">
        <f>IF(ISNA(VLOOKUP(A88,'Données projet'!$A$139:$I$159,3,0)),0,VLOOKUP(A88,'Données projet'!$A$139:$I$159,3,0))</f>
        <v>14</v>
      </c>
      <c r="DB88" s="15">
        <f>IF(ISNA(VLOOKUP(A88,'Données projet'!$A$139:$I$159,4,0)),0,VLOOKUP(A88,'Données projet'!$A$139:$I$159,4,0))</f>
        <v>14</v>
      </c>
      <c r="DC88" s="16">
        <f>IF(ISNA(VLOOKUP(A88,'Données projet'!$A$139:$I$159,5,0)),0%,VLOOKUP(A88,'Données projet'!$A$139:$I$159,5,0)*VLOOKUP('Données projet'!$B$13,Paramètres!$A$1:$I$89,7,0))</f>
        <v>0.43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41.932622693610284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41.932622693610284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6">
        <f t="shared" si="56"/>
        <v>256.66666666666669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3.4</v>
      </c>
      <c r="N89" s="13">
        <f>IF('Données projet'!$A$36&gt;35,N88+M89-V88,IF(A89&lt;'Données projet'!$A$36,$K$205^A89,IF(A89='Données projet'!$A$36,'Données projet'!$B$36,N88+M89-V88)))</f>
        <v>254.40000000000003</v>
      </c>
      <c r="O89" s="13">
        <f>N89*VLOOKUP('Données projet'!$B$9,Paramètres!$A$1:$I$89,3,0)*VLOOKUP('Données projet'!$B$9,Paramètres!$A$1:$I$89,5,0)</f>
        <v>222.24384000000006</v>
      </c>
      <c r="P89" s="13">
        <f t="shared" si="87"/>
        <v>54.602284860895942</v>
      </c>
      <c r="Q89" s="20">
        <f t="shared" si="54"/>
        <v>482.17366746606058</v>
      </c>
      <c r="R89" s="59">
        <f t="shared" si="55"/>
        <v>775.50700079939384</v>
      </c>
      <c r="S89" s="59">
        <f ca="1">AVERAGE(OFFSET($R$3,0,0,'Données projet'!$E$9+1,1))-AVERAGE(OFFSET($H$3,0,0,'Données projet'!$E$9+1,1))</f>
        <v>381.72225529388083</v>
      </c>
      <c r="T89" s="59">
        <f t="shared" si="88"/>
        <v>360.05900046417361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64.554428607129083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64.554428607129083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304.99999999999994</v>
      </c>
      <c r="AJ89" s="13">
        <f>AI89*VLOOKUP('Données projet'!$B$10,Paramètres!$A$1:$I$89,3,0)*VLOOKUP('Données projet'!$B$10,Paramètres!$A$1:$I$89,5,0)</f>
        <v>275.96399999999994</v>
      </c>
      <c r="AK89" s="13">
        <f t="shared" si="89"/>
        <v>66.113366665488911</v>
      </c>
      <c r="AL89" s="20">
        <f t="shared" si="58"/>
        <v>595.7847469423931</v>
      </c>
      <c r="AM89" s="59">
        <f t="shared" si="59"/>
        <v>889.11808027572647</v>
      </c>
      <c r="AN89" s="59">
        <f ca="1">AVERAGE(OFFSET($AM$3,0,0,'Données projet'!$E$10+1,1))-AVERAGE(OFFSET($H$3,0,0,'Données projet'!$E$10+1,1))</f>
        <v>366.43676005661194</v>
      </c>
      <c r="AO89" s="59">
        <f t="shared" si="90"/>
        <v>513.80016421153414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2.7608334207127396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2.7608334207127396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0.8600000000003547</v>
      </c>
      <c r="BE89" s="13">
        <f>BD89*VLOOKUP('Données projet'!$B$11,Paramètres!$A$1:$I$89,3,0)*VLOOKUP('Données projet'!$B$11,Paramètres!$A$1:$I$89,5,0)</f>
        <v>0.38012000000015683</v>
      </c>
      <c r="BF89" s="13">
        <f t="shared" si="91"/>
        <v>0.19605142963512551</v>
      </c>
      <c r="BG89" s="20">
        <f t="shared" si="61"/>
        <v>1.0034985732814501</v>
      </c>
      <c r="BH89" s="59">
        <f t="shared" si="62"/>
        <v>294.33683190661475</v>
      </c>
      <c r="BI89" s="59">
        <f ca="1">AVERAGE(OFFSET($BH$3,0,0,'Données projet'!$E$11+1,1))-AVERAGE(OFFSET($H$3,0,0,'Données projet'!$E$11+1,1))</f>
        <v>328.58609979635901</v>
      </c>
      <c r="BJ89" s="59">
        <f t="shared" si="92"/>
        <v>432.3494365423407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159.10411244110207</v>
      </c>
      <c r="BQ89" s="21">
        <f>EXP(-LN(2)/25)*BQ88+(1-EXP(-LN(2)/25))/(LN(2)/25)*Calculateur!BL89*Calculateur!BN89*VLOOKUP('Données projet'!$B$11,Paramètres!$A$1:$I$89,3,0)*0.475*44/12</f>
        <v>8.4646137323978703</v>
      </c>
      <c r="BR89" s="21">
        <f>EXP(-LN(2)/2)*BR88+(1-EXP(-LN(2)/2))/(LN(2)/2)*BL89*BO89*VLOOKUP('Données projet'!$B$11,Paramètres!$A$1:$I$89,3,0)*0.475*44/12</f>
        <v>2.1794939100166753E-9</v>
      </c>
      <c r="BS89" s="22">
        <f t="shared" si="63"/>
        <v>167.56872617567944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10.41</v>
      </c>
      <c r="BY89" s="12">
        <f>IF('Données projet'!$A$114&gt;35,BY88+BX89-CG88,IF(A89&lt;'Données projet'!$A$114,$BV$205^A89,IF(A89='Données projet'!$A$114,'Données projet'!$B$114,BY88+BX89-CG88)))</f>
        <v>398.60000000000008</v>
      </c>
      <c r="BZ89" s="13">
        <f>BY89*VLOOKUP('Données projet'!$B$12,Paramètres!$A$1:$I$89,3,0)*VLOOKUP('Données projet'!$B$12,Paramètres!$A$1:$I$89,5,0)</f>
        <v>379.30776000000009</v>
      </c>
      <c r="CA89" s="13">
        <f t="shared" si="93"/>
        <v>87.568751023409277</v>
      </c>
      <c r="CB89" s="20">
        <f t="shared" si="64"/>
        <v>813.14325669910465</v>
      </c>
      <c r="CC89" s="59">
        <f t="shared" si="65"/>
        <v>1106.476590032438</v>
      </c>
      <c r="CD89" s="59">
        <f ca="1">AVERAGE(OFFSET($CC$3,0,0,'Données projet'!$E$12+1,1))-AVERAGE(OFFSET($H$3,0,0,'Données projet'!$E$12+1,1))</f>
        <v>555.3092253965317</v>
      </c>
      <c r="CE89" s="59">
        <f t="shared" si="94"/>
        <v>292.20785523952651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104.52162531280339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104.52162531280339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3</v>
      </c>
      <c r="CT89" s="12">
        <f>IF('Données projet'!$A$140&gt;35,CT88+CS89-DB88,IF(A89&lt;'Données projet'!$A$140,$CQ$205^A89,IF(A89='Données projet'!$A$140,'Données projet'!$B$140,CT88+CS89-DB88)))</f>
        <v>237</v>
      </c>
      <c r="CU89" s="17">
        <f>CT89*VLOOKUP('Données projet'!$B$13,Paramètres!$A$1:$I$89,3,0)*VLOOKUP('Données projet'!$B$13,Paramètres!$A$1:$I$89,5,0)</f>
        <v>151.58519999999999</v>
      </c>
      <c r="CV89" s="13">
        <f t="shared" si="95"/>
        <v>38.938607305837699</v>
      </c>
      <c r="CW89" s="20">
        <f t="shared" si="67"/>
        <v>331.82896439100062</v>
      </c>
      <c r="CX89" s="59">
        <f t="shared" si="68"/>
        <v>625.16229772433394</v>
      </c>
      <c r="CY89" s="59">
        <f ca="1">AVERAGE(OFFSET($CX$3,0,0,'Données projet'!$E$13+1,1))-AVERAGE(OFFSET($H$3,0,0,'Données projet'!$E$13+1,1))</f>
        <v>269.44168853803717</v>
      </c>
      <c r="CZ89" s="59">
        <f t="shared" si="96"/>
        <v>247.65158389074043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41.110349538962971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41.110349538962971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6">
        <f t="shared" si="56"/>
        <v>256.66666666666669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3.4</v>
      </c>
      <c r="N90" s="13">
        <f>IF('Données projet'!$A$36&gt;35,N89+M90-V89,IF(A90&lt;'Données projet'!$A$36,$K$205^A90,IF(A90='Données projet'!$A$36,'Données projet'!$B$36,N89+M90-V89)))</f>
        <v>257.8</v>
      </c>
      <c r="O90" s="13">
        <f>N90*VLOOKUP('Données projet'!$B$9,Paramètres!$A$1:$I$89,3,0)*VLOOKUP('Données projet'!$B$9,Paramètres!$A$1:$I$89,5,0)</f>
        <v>225.21408000000005</v>
      </c>
      <c r="P90" s="13">
        <f t="shared" si="87"/>
        <v>55.246590695846493</v>
      </c>
      <c r="Q90" s="20">
        <f t="shared" si="54"/>
        <v>488.46900146193275</v>
      </c>
      <c r="R90" s="59">
        <f t="shared" si="55"/>
        <v>781.80233479526601</v>
      </c>
      <c r="S90" s="59">
        <f ca="1">AVERAGE(OFFSET($R$3,0,0,'Données projet'!$E$9+1,1))-AVERAGE(OFFSET($H$3,0,0,'Données projet'!$E$9+1,1))</f>
        <v>381.72225529388083</v>
      </c>
      <c r="T90" s="59">
        <f t="shared" si="88"/>
        <v>360.05900046417361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63.288555636456842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63.288555636456842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304.99999999999994</v>
      </c>
      <c r="AJ90" s="13">
        <f>AI90*VLOOKUP('Données projet'!$B$10,Paramètres!$A$1:$I$89,3,0)*VLOOKUP('Données projet'!$B$10,Paramètres!$A$1:$I$89,5,0)</f>
        <v>275.96399999999994</v>
      </c>
      <c r="AK90" s="13">
        <f t="shared" si="89"/>
        <v>66.113366665488911</v>
      </c>
      <c r="AL90" s="20">
        <f t="shared" si="58"/>
        <v>595.7847469423931</v>
      </c>
      <c r="AM90" s="59">
        <f t="shared" si="59"/>
        <v>889.11808027572647</v>
      </c>
      <c r="AN90" s="59">
        <f ca="1">AVERAGE(OFFSET($AM$3,0,0,'Données projet'!$E$10+1,1))-AVERAGE(OFFSET($H$3,0,0,'Données projet'!$E$10+1,1))</f>
        <v>366.43676005661194</v>
      </c>
      <c r="AO90" s="59">
        <f t="shared" si="90"/>
        <v>513.80016421153414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2.7066951612746739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2.7066951612746739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0.8600000000003547</v>
      </c>
      <c r="BE90" s="13">
        <f>BD90*VLOOKUP('Données projet'!$B$11,Paramètres!$A$1:$I$89,3,0)*VLOOKUP('Données projet'!$B$11,Paramètres!$A$1:$I$89,5,0)</f>
        <v>0.38012000000015683</v>
      </c>
      <c r="BF90" s="13">
        <f t="shared" si="91"/>
        <v>0.19605142963512551</v>
      </c>
      <c r="BG90" s="20">
        <f t="shared" si="61"/>
        <v>1.0034985732814501</v>
      </c>
      <c r="BH90" s="59">
        <f t="shared" si="62"/>
        <v>294.33683190661475</v>
      </c>
      <c r="BI90" s="59">
        <f ca="1">AVERAGE(OFFSET($BH$3,0,0,'Données projet'!$E$11+1,1))-AVERAGE(OFFSET($H$3,0,0,'Données projet'!$E$11+1,1))</f>
        <v>328.58609979635901</v>
      </c>
      <c r="BJ90" s="59">
        <f t="shared" si="92"/>
        <v>432.3494365423407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155.98417784005835</v>
      </c>
      <c r="BQ90" s="21">
        <f>EXP(-LN(2)/25)*BQ89+(1-EXP(-LN(2)/25))/(LN(2)/25)*Calculateur!BL90*Calculateur!BN90*VLOOKUP('Données projet'!$B$11,Paramètres!$A$1:$I$89,3,0)*0.475*44/12</f>
        <v>8.2331484247507607</v>
      </c>
      <c r="BR90" s="21">
        <f>EXP(-LN(2)/2)*BR89+(1-EXP(-LN(2)/2))/(LN(2)/2)*BL90*BO90*VLOOKUP('Données projet'!$B$11,Paramètres!$A$1:$I$89,3,0)*0.475*44/12</f>
        <v>1.5411349233275741E-9</v>
      </c>
      <c r="BS90" s="22">
        <f t="shared" si="63"/>
        <v>164.21732626635026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10.41</v>
      </c>
      <c r="BY90" s="12">
        <f>IF('Données projet'!$A$114&gt;35,BY89+BX90-CG89,IF(A90&lt;'Données projet'!$A$114,$BV$205^A90,IF(A90='Données projet'!$A$114,'Données projet'!$B$114,BY89+BX90-CG89)))</f>
        <v>409.0100000000001</v>
      </c>
      <c r="BZ90" s="13">
        <f>BY90*VLOOKUP('Données projet'!$B$12,Paramètres!$A$1:$I$89,3,0)*VLOOKUP('Données projet'!$B$12,Paramètres!$A$1:$I$89,5,0)</f>
        <v>389.2139160000001</v>
      </c>
      <c r="CA90" s="13">
        <f t="shared" si="93"/>
        <v>89.586485509577855</v>
      </c>
      <c r="CB90" s="20">
        <f t="shared" si="64"/>
        <v>833.9106992958483</v>
      </c>
      <c r="CC90" s="59">
        <f t="shared" si="65"/>
        <v>1127.2440326291817</v>
      </c>
      <c r="CD90" s="59">
        <f ca="1">AVERAGE(OFFSET($CC$3,0,0,'Données projet'!$E$12+1,1))-AVERAGE(OFFSET($H$3,0,0,'Données projet'!$E$12+1,1))</f>
        <v>555.3092253965317</v>
      </c>
      <c r="CE90" s="59">
        <f t="shared" si="94"/>
        <v>292.20785523952651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102.47201999231578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102.47201999231578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3</v>
      </c>
      <c r="CT90" s="12">
        <f>IF('Données projet'!$A$140&gt;35,CT89+CS90-DB89,IF(A90&lt;'Données projet'!$A$140,$CQ$205^A90,IF(A90='Données projet'!$A$140,'Données projet'!$B$140,CT89+CS90-DB89)))</f>
        <v>240</v>
      </c>
      <c r="CU90" s="17">
        <f>CT90*VLOOKUP('Données projet'!$B$13,Paramètres!$A$1:$I$89,3,0)*VLOOKUP('Données projet'!$B$13,Paramètres!$A$1:$I$89,5,0)</f>
        <v>153.50399999999999</v>
      </c>
      <c r="CV90" s="13">
        <f t="shared" si="95"/>
        <v>39.373808884365609</v>
      </c>
      <c r="CW90" s="20">
        <f t="shared" si="67"/>
        <v>335.9288504736034</v>
      </c>
      <c r="CX90" s="59">
        <f t="shared" si="68"/>
        <v>629.26218380693672</v>
      </c>
      <c r="CY90" s="59">
        <f ca="1">AVERAGE(OFFSET($CX$3,0,0,'Données projet'!$E$13+1,1))-AVERAGE(OFFSET($H$3,0,0,'Données projet'!$E$13+1,1))</f>
        <v>269.44168853803717</v>
      </c>
      <c r="CZ90" s="59">
        <f t="shared" si="96"/>
        <v>247.65158389074043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40.304200659341191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40.304200659341191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6">
        <f t="shared" si="56"/>
        <v>256.66666666666669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3.4</v>
      </c>
      <c r="N91" s="13">
        <f>IF('Données projet'!$A$36&gt;35,N90+M91-V90,IF(A91&lt;'Données projet'!$A$36,$K$205^A91,IF(A91='Données projet'!$A$36,'Données projet'!$B$36,N90+M91-V90)))</f>
        <v>261.2</v>
      </c>
      <c r="O91" s="13">
        <f>N91*VLOOKUP('Données projet'!$B$9,Paramètres!$A$1:$I$89,3,0)*VLOOKUP('Données projet'!$B$9,Paramètres!$A$1:$I$89,5,0)</f>
        <v>228.18432000000004</v>
      </c>
      <c r="P91" s="13">
        <f t="shared" si="87"/>
        <v>55.889908157388689</v>
      </c>
      <c r="Q91" s="20">
        <f t="shared" si="54"/>
        <v>494.76261404078542</v>
      </c>
      <c r="R91" s="59">
        <f t="shared" si="55"/>
        <v>788.09594737411874</v>
      </c>
      <c r="S91" s="59">
        <f ca="1">AVERAGE(OFFSET($R$3,0,0,'Données projet'!$E$9+1,1))-AVERAGE(OFFSET($H$3,0,0,'Données projet'!$E$9+1,1))</f>
        <v>381.72225529388083</v>
      </c>
      <c r="T91" s="59">
        <f t="shared" si="88"/>
        <v>360.05900046417361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62.047505662633213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62.047505662633213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304.99999999999994</v>
      </c>
      <c r="AJ91" s="13">
        <f>AI91*VLOOKUP('Données projet'!$B$10,Paramètres!$A$1:$I$89,3,0)*VLOOKUP('Données projet'!$B$10,Paramètres!$A$1:$I$89,5,0)</f>
        <v>275.96399999999994</v>
      </c>
      <c r="AK91" s="13">
        <f t="shared" si="89"/>
        <v>66.113366665488911</v>
      </c>
      <c r="AL91" s="20">
        <f t="shared" si="58"/>
        <v>595.7847469423931</v>
      </c>
      <c r="AM91" s="59">
        <f t="shared" si="59"/>
        <v>889.11808027572647</v>
      </c>
      <c r="AN91" s="59">
        <f ca="1">AVERAGE(OFFSET($AM$3,0,0,'Données projet'!$E$10+1,1))-AVERAGE(OFFSET($H$3,0,0,'Données projet'!$E$10+1,1))</f>
        <v>366.43676005661194</v>
      </c>
      <c r="AO91" s="59">
        <f t="shared" si="90"/>
        <v>513.80016421153414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2.6536185200831111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2.6536185200831111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0.8600000000003547</v>
      </c>
      <c r="BE91" s="13">
        <f>BD91*VLOOKUP('Données projet'!$B$11,Paramètres!$A$1:$I$89,3,0)*VLOOKUP('Données projet'!$B$11,Paramètres!$A$1:$I$89,5,0)</f>
        <v>0.38012000000015683</v>
      </c>
      <c r="BF91" s="13">
        <f t="shared" si="91"/>
        <v>0.19605142963512551</v>
      </c>
      <c r="BG91" s="20">
        <f t="shared" si="61"/>
        <v>1.0034985732814501</v>
      </c>
      <c r="BH91" s="59">
        <f t="shared" si="62"/>
        <v>294.33683190661475</v>
      </c>
      <c r="BI91" s="59">
        <f ca="1">AVERAGE(OFFSET($BH$3,0,0,'Données projet'!$E$11+1,1))-AVERAGE(OFFSET($H$3,0,0,'Données projet'!$E$11+1,1))</f>
        <v>328.58609979635901</v>
      </c>
      <c r="BJ91" s="59">
        <f t="shared" si="92"/>
        <v>432.3494365423407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152.92542325356891</v>
      </c>
      <c r="BQ91" s="21">
        <f>EXP(-LN(2)/25)*BQ90+(1-EXP(-LN(2)/25))/(LN(2)/25)*Calculateur!BL91*Calculateur!BN91*VLOOKUP('Données projet'!$B$11,Paramètres!$A$1:$I$89,3,0)*0.475*44/12</f>
        <v>8.0080125481134932</v>
      </c>
      <c r="BR91" s="21">
        <f>EXP(-LN(2)/2)*BR90+(1-EXP(-LN(2)/2))/(LN(2)/2)*BL91*BO91*VLOOKUP('Données projet'!$B$11,Paramètres!$A$1:$I$89,3,0)*0.475*44/12</f>
        <v>1.0897469550083376E-9</v>
      </c>
      <c r="BS91" s="22">
        <f t="shared" si="63"/>
        <v>160.93343580277215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10.41</v>
      </c>
      <c r="BY91" s="12">
        <f>IF('Données projet'!$A$114&gt;35,BY90+BX91-CG90,IF(A91&lt;'Données projet'!$A$114,$BV$205^A91,IF(A91='Données projet'!$A$114,'Données projet'!$B$114,BY90+BX91-CG90)))</f>
        <v>419.42000000000013</v>
      </c>
      <c r="BZ91" s="13">
        <f>BY91*VLOOKUP('Données projet'!$B$12,Paramètres!$A$1:$I$89,3,0)*VLOOKUP('Données projet'!$B$12,Paramètres!$A$1:$I$89,5,0)</f>
        <v>399.12007200000011</v>
      </c>
      <c r="CA91" s="13">
        <f t="shared" si="93"/>
        <v>91.598250464935191</v>
      </c>
      <c r="CB91" s="20">
        <f t="shared" si="64"/>
        <v>854.66774495976222</v>
      </c>
      <c r="CC91" s="59">
        <f t="shared" si="65"/>
        <v>1148.0010782930956</v>
      </c>
      <c r="CD91" s="59">
        <f ca="1">AVERAGE(OFFSET($CC$3,0,0,'Données projet'!$E$12+1,1))-AVERAGE(OFFSET($H$3,0,0,'Données projet'!$E$12+1,1))</f>
        <v>555.3092253965317</v>
      </c>
      <c r="CE91" s="59">
        <f t="shared" si="94"/>
        <v>292.20785523952651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100.46260618202713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100.46260618202713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3</v>
      </c>
      <c r="CT91" s="12">
        <f>IF('Données projet'!$A$140&gt;35,CT90+CS91-DB90,IF(A91&lt;'Données projet'!$A$140,$CQ$205^A91,IF(A91='Données projet'!$A$140,'Données projet'!$B$140,CT90+CS91-DB90)))</f>
        <v>243</v>
      </c>
      <c r="CU91" s="17">
        <f>CT91*VLOOKUP('Données projet'!$B$13,Paramètres!$A$1:$I$89,3,0)*VLOOKUP('Données projet'!$B$13,Paramètres!$A$1:$I$89,5,0)</f>
        <v>155.4228</v>
      </c>
      <c r="CV91" s="13">
        <f t="shared" si="95"/>
        <v>39.808377687614154</v>
      </c>
      <c r="CW91" s="20">
        <f t="shared" si="67"/>
        <v>340.02763447259463</v>
      </c>
      <c r="CX91" s="59">
        <f t="shared" si="68"/>
        <v>633.36096780592788</v>
      </c>
      <c r="CY91" s="59">
        <f ca="1">AVERAGE(OFFSET($CX$3,0,0,'Données projet'!$E$13+1,1))-AVERAGE(OFFSET($H$3,0,0,'Données projet'!$E$13+1,1))</f>
        <v>269.44168853803717</v>
      </c>
      <c r="CZ91" s="59">
        <f t="shared" si="96"/>
        <v>247.65158389074043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39.513859867546529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39.513859867546529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6">
        <f t="shared" si="56"/>
        <v>256.66666666666669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3.4</v>
      </c>
      <c r="N92" s="13">
        <f>IF('Données projet'!$A$36&gt;35,N91+M92-V91,IF(A92&lt;'Données projet'!$A$36,$K$205^A92,IF(A92='Données projet'!$A$36,'Données projet'!$B$36,N91+M92-V91)))</f>
        <v>264.59999999999997</v>
      </c>
      <c r="O92" s="13">
        <f>N92*VLOOKUP('Données projet'!$B$9,Paramètres!$A$1:$I$89,3,0)*VLOOKUP('Données projet'!$B$9,Paramètres!$A$1:$I$89,5,0)</f>
        <v>231.15455999999998</v>
      </c>
      <c r="P92" s="13">
        <f t="shared" si="87"/>
        <v>56.532251598510484</v>
      </c>
      <c r="Q92" s="20">
        <f t="shared" si="54"/>
        <v>501.05453020073901</v>
      </c>
      <c r="R92" s="59">
        <f t="shared" si="55"/>
        <v>794.38786353407227</v>
      </c>
      <c r="S92" s="59">
        <f ca="1">AVERAGE(OFFSET($R$3,0,0,'Données projet'!$E$9+1,1))-AVERAGE(OFFSET($H$3,0,0,'Données projet'!$E$9+1,1))</f>
        <v>381.72225529388083</v>
      </c>
      <c r="T92" s="59">
        <f t="shared" si="88"/>
        <v>360.05900046417361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60.830791921830524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60.830791921830524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304.99999999999994</v>
      </c>
      <c r="AJ92" s="13">
        <f>AI92*VLOOKUP('Données projet'!$B$10,Paramètres!$A$1:$I$89,3,0)*VLOOKUP('Données projet'!$B$10,Paramètres!$A$1:$I$89,5,0)</f>
        <v>275.96399999999994</v>
      </c>
      <c r="AK92" s="13">
        <f t="shared" si="89"/>
        <v>66.113366665488911</v>
      </c>
      <c r="AL92" s="20">
        <f t="shared" si="58"/>
        <v>595.7847469423931</v>
      </c>
      <c r="AM92" s="59">
        <f t="shared" si="59"/>
        <v>889.11808027572647</v>
      </c>
      <c r="AN92" s="59">
        <f ca="1">AVERAGE(OFFSET($AM$3,0,0,'Données projet'!$E$10+1,1))-AVERAGE(OFFSET($H$3,0,0,'Données projet'!$E$10+1,1))</f>
        <v>366.43676005661194</v>
      </c>
      <c r="AO92" s="59">
        <f t="shared" si="90"/>
        <v>513.80016421153414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2.6015826794517602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2.6015826794517602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0.8600000000003547</v>
      </c>
      <c r="BE92" s="13">
        <f>BD92*VLOOKUP('Données projet'!$B$11,Paramètres!$A$1:$I$89,3,0)*VLOOKUP('Données projet'!$B$11,Paramètres!$A$1:$I$89,5,0)</f>
        <v>0.38012000000015683</v>
      </c>
      <c r="BF92" s="13">
        <f t="shared" si="91"/>
        <v>0.19605142963512551</v>
      </c>
      <c r="BG92" s="20">
        <f t="shared" si="61"/>
        <v>1.0034985732814501</v>
      </c>
      <c r="BH92" s="59">
        <f t="shared" si="62"/>
        <v>294.33683190661475</v>
      </c>
      <c r="BI92" s="59">
        <f ca="1">AVERAGE(OFFSET($BH$3,0,0,'Données projet'!$E$11+1,1))-AVERAGE(OFFSET($H$3,0,0,'Données projet'!$E$11+1,1))</f>
        <v>328.58609979635901</v>
      </c>
      <c r="BJ92" s="59">
        <f t="shared" si="92"/>
        <v>432.3494365423407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149.92664897886445</v>
      </c>
      <c r="BQ92" s="21">
        <f>EXP(-LN(2)/25)*BQ91+(1-EXP(-LN(2)/25))/(LN(2)/25)*Calculateur!BL92*Calculateur!BN92*VLOOKUP('Données projet'!$B$11,Paramètres!$A$1:$I$89,3,0)*0.475*44/12</f>
        <v>7.7890330238622525</v>
      </c>
      <c r="BR92" s="21">
        <f>EXP(-LN(2)/2)*BR91+(1-EXP(-LN(2)/2))/(LN(2)/2)*BL92*BO92*VLOOKUP('Données projet'!$B$11,Paramètres!$A$1:$I$89,3,0)*0.475*44/12</f>
        <v>7.7056746166378707E-10</v>
      </c>
      <c r="BS92" s="22">
        <f t="shared" si="63"/>
        <v>157.71568200349728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>
        <f>VLOOKUP(A92,'Données projet'!$A$113:$I$133,2,0)</f>
        <v>429.83</v>
      </c>
      <c r="BW92" s="12">
        <f>VLOOKUP(A92,'Données projet'!$A$113:$I$133,9,0)</f>
        <v>10.41</v>
      </c>
      <c r="BX92" s="12">
        <f t="array" ref="BX92">INDEX(BW:BW,MIN(IF(ISNUMBER(BW92:BW288),ROW(BW92:BW288),"")))</f>
        <v>10.41</v>
      </c>
      <c r="BY92" s="12">
        <f>IF('Données projet'!$A$114&gt;35,BY91+BX92-CG91,IF(A92&lt;'Données projet'!$A$114,$BV$205^A92,IF(A92='Données projet'!$A$114,'Données projet'!$B$114,BY91+BX92-CG91)))</f>
        <v>429.83000000000015</v>
      </c>
      <c r="BZ92" s="13">
        <f>BY92*VLOOKUP('Données projet'!$B$12,Paramètres!$A$1:$I$89,3,0)*VLOOKUP('Données projet'!$B$12,Paramètres!$A$1:$I$89,5,0)</f>
        <v>409.02622800000012</v>
      </c>
      <c r="CA92" s="13">
        <f t="shared" si="93"/>
        <v>93.604211095030166</v>
      </c>
      <c r="CB92" s="20">
        <f t="shared" si="64"/>
        <v>875.4146814238444</v>
      </c>
      <c r="CC92" s="59">
        <f t="shared" si="65"/>
        <v>1168.7480147571778</v>
      </c>
      <c r="CD92" s="59">
        <f ca="1">AVERAGE(OFFSET($CC$3,0,0,'Données projet'!$E$12+1,1))-AVERAGE(OFFSET($H$3,0,0,'Données projet'!$E$12+1,1))</f>
        <v>555.3092253965317</v>
      </c>
      <c r="CE92" s="59">
        <f t="shared" si="94"/>
        <v>292.20785523952651</v>
      </c>
      <c r="CF92" s="15">
        <f>IF(ISNA(VLOOKUP(A92,'Données projet'!$A$113:$I$133,3,0)),0,VLOOKUP(A92,'Données projet'!$A$113:$I$133,3,0))</f>
        <v>8</v>
      </c>
      <c r="CG92" s="15">
        <f>IF(ISNA(VLOOKUP(A92,'Données projet'!$A$113:$I$133,4,0)),0,VLOOKUP(A92,'Données projet'!$A$113:$I$133,4,0))</f>
        <v>64.5</v>
      </c>
      <c r="CH92" s="16">
        <f>IF(ISNA(VLOOKUP(A92,'Données projet'!$A$113:$I$133,5,0)),0%,VLOOKUP(A92,'Données projet'!$A$113:$I$133,5,0)*VLOOKUP('Données projet'!$B$12,Paramètres!$A$1:$I$89,7,0))</f>
        <v>0.43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127.66886203202803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127.66886203202803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3</v>
      </c>
      <c r="CT92" s="12">
        <f>IF('Données projet'!$A$140&gt;35,CT91+CS92-DB91,IF(A92&lt;'Données projet'!$A$140,$CQ$205^A92,IF(A92='Données projet'!$A$140,'Données projet'!$B$140,CT91+CS92-DB91)))</f>
        <v>246</v>
      </c>
      <c r="CU92" s="17">
        <f>CT92*VLOOKUP('Données projet'!$B$13,Paramètres!$A$1:$I$89,3,0)*VLOOKUP('Données projet'!$B$13,Paramètres!$A$1:$I$89,5,0)</f>
        <v>157.3416</v>
      </c>
      <c r="CV92" s="13">
        <f t="shared" si="95"/>
        <v>40.24232243112715</v>
      </c>
      <c r="CW92" s="20">
        <f t="shared" si="67"/>
        <v>344.12533156754643</v>
      </c>
      <c r="CX92" s="59">
        <f t="shared" si="68"/>
        <v>637.45866490087974</v>
      </c>
      <c r="CY92" s="59">
        <f ca="1">AVERAGE(OFFSET($CX$3,0,0,'Données projet'!$E$13+1,1))-AVERAGE(OFFSET($H$3,0,0,'Données projet'!$E$13+1,1))</f>
        <v>269.44168853803717</v>
      </c>
      <c r="CZ92" s="59">
        <f t="shared" si="96"/>
        <v>247.65158389074043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38.739017176618674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38.739017176618674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6">
        <f t="shared" si="56"/>
        <v>256.66666666666669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268</v>
      </c>
      <c r="L93" s="12">
        <f>VLOOKUP(A93,'Données projet'!$A$35:$I$55,9,0)</f>
        <v>3.4</v>
      </c>
      <c r="M93" s="12">
        <f t="array" ref="M93">INDEX(L:L,MIN(IF(ISNUMBER(L93:L289),ROW(L93:L289),"")))</f>
        <v>3.4</v>
      </c>
      <c r="N93" s="13">
        <f>IF('Données projet'!$A$36&gt;35,N92+M93-V92,IF(A93&lt;'Données projet'!$A$36,$K$205^A93,IF(A93='Données projet'!$A$36,'Données projet'!$B$36,N92+M93-V92)))</f>
        <v>267.99999999999994</v>
      </c>
      <c r="O93" s="13">
        <f>N93*VLOOKUP('Données projet'!$B$9,Paramètres!$A$1:$I$89,3,0)*VLOOKUP('Données projet'!$B$9,Paramètres!$A$1:$I$89,5,0)</f>
        <v>234.12479999999999</v>
      </c>
      <c r="P93" s="13">
        <f t="shared" si="87"/>
        <v>57.173634982132555</v>
      </c>
      <c r="Q93" s="20">
        <f t="shared" si="54"/>
        <v>507.34477426054747</v>
      </c>
      <c r="R93" s="59">
        <f t="shared" si="55"/>
        <v>800.67810759388078</v>
      </c>
      <c r="S93" s="59">
        <f ca="1">AVERAGE(OFFSET($R$3,0,0,'Données projet'!$E$9+1,1))-AVERAGE(OFFSET($H$3,0,0,'Données projet'!$E$9+1,1))</f>
        <v>381.72225529388083</v>
      </c>
      <c r="T93" s="59">
        <f t="shared" si="88"/>
        <v>360.05900046417361</v>
      </c>
      <c r="U93" s="15">
        <f>IF(ISNA(VLOOKUP(A93,'Données projet'!$A$35:$I$55,3,0)),0,VLOOKUP(A93,'Données projet'!$A$35:$I$55,3,0))</f>
        <v>16</v>
      </c>
      <c r="V93" s="15">
        <f>IF(ISNA(VLOOKUP(A93,'Données projet'!$A$35:$I$55,4,0)),0,VLOOKUP(A93,'Données projet'!$A$35:$I$55,4,0))</f>
        <v>14</v>
      </c>
      <c r="W93" s="16">
        <f>IF(ISNA(VLOOKUP(A93,'Données projet'!$A$35:$I$55,5,0)),0%,VLOOKUP(A93,'Données projet'!$A$35:$I$55,5,0)*VLOOKUP('Données projet'!$B$9,Paramètres!$A$1:$I$89,7,0))</f>
        <v>0.43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65.451685515193986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65.451685515193986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304.99999999999994</v>
      </c>
      <c r="AJ93" s="13">
        <f>AI93*VLOOKUP('Données projet'!$B$10,Paramètres!$A$1:$I$89,3,0)*VLOOKUP('Données projet'!$B$10,Paramètres!$A$1:$I$89,5,0)</f>
        <v>275.96399999999994</v>
      </c>
      <c r="AK93" s="13">
        <f t="shared" si="89"/>
        <v>66.113366665488911</v>
      </c>
      <c r="AL93" s="20">
        <f t="shared" si="58"/>
        <v>595.7847469423931</v>
      </c>
      <c r="AM93" s="59">
        <f t="shared" si="59"/>
        <v>889.11808027572647</v>
      </c>
      <c r="AN93" s="59">
        <f ca="1">AVERAGE(OFFSET($AM$3,0,0,'Données projet'!$E$10+1,1))-AVERAGE(OFFSET($H$3,0,0,'Données projet'!$E$10+1,1))</f>
        <v>366.43676005661194</v>
      </c>
      <c r="AO93" s="59">
        <f t="shared" si="90"/>
        <v>513.80016421153414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2.5505672299164615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2.5505672299164615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0.8600000000003547</v>
      </c>
      <c r="BE93" s="13">
        <f>BD93*VLOOKUP('Données projet'!$B$11,Paramètres!$A$1:$I$89,3,0)*VLOOKUP('Données projet'!$B$11,Paramètres!$A$1:$I$89,5,0)</f>
        <v>0.38012000000015683</v>
      </c>
      <c r="BF93" s="13">
        <f t="shared" si="91"/>
        <v>0.19605142963512551</v>
      </c>
      <c r="BG93" s="20">
        <f t="shared" si="61"/>
        <v>1.0034985732814501</v>
      </c>
      <c r="BH93" s="59">
        <f t="shared" si="62"/>
        <v>294.33683190661475</v>
      </c>
      <c r="BI93" s="59">
        <f ca="1">AVERAGE(OFFSET($BH$3,0,0,'Données projet'!$E$11+1,1))-AVERAGE(OFFSET($H$3,0,0,'Données projet'!$E$11+1,1))</f>
        <v>328.58609979635901</v>
      </c>
      <c r="BJ93" s="59">
        <f t="shared" si="92"/>
        <v>432.3494365423407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146.98667883861523</v>
      </c>
      <c r="BQ93" s="21">
        <f>EXP(-LN(2)/25)*BQ92+(1-EXP(-LN(2)/25))/(LN(2)/25)*Calculateur!BL93*Calculateur!BN93*VLOOKUP('Données projet'!$B$11,Paramètres!$A$1:$I$89,3,0)*0.475*44/12</f>
        <v>7.5760415062172948</v>
      </c>
      <c r="BR93" s="21">
        <f>EXP(-LN(2)/2)*BR92+(1-EXP(-LN(2)/2))/(LN(2)/2)*BL93*BO93*VLOOKUP('Données projet'!$B$11,Paramètres!$A$1:$I$89,3,0)*0.475*44/12</f>
        <v>5.4487347750416882E-10</v>
      </c>
      <c r="BS93" s="22">
        <f t="shared" si="63"/>
        <v>154.56272034537741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9.9470000000000027</v>
      </c>
      <c r="BY93" s="12">
        <f>IF('Données projet'!$A$114&gt;35,BY92+BX93-CG92,IF(A93&lt;'Données projet'!$A$114,$BV$205^A93,IF(A93='Données projet'!$A$114,'Données projet'!$B$114,BY92+BX93-CG92)))</f>
        <v>375.27700000000016</v>
      </c>
      <c r="BZ93" s="13">
        <f>BY93*VLOOKUP('Données projet'!$B$12,Paramètres!$A$1:$I$89,3,0)*VLOOKUP('Données projet'!$B$12,Paramètres!$A$1:$I$89,5,0)</f>
        <v>357.11359320000014</v>
      </c>
      <c r="CA93" s="13">
        <f t="shared" si="93"/>
        <v>83.025554270305832</v>
      </c>
      <c r="CB93" s="20">
        <f t="shared" si="64"/>
        <v>766.57568184411605</v>
      </c>
      <c r="CC93" s="59">
        <f t="shared" si="65"/>
        <v>1059.9090151774494</v>
      </c>
      <c r="CD93" s="59">
        <f ca="1">AVERAGE(OFFSET($CC$3,0,0,'Données projet'!$E$12+1,1))-AVERAGE(OFFSET($H$3,0,0,'Données projet'!$E$12+1,1))</f>
        <v>555.3092253965317</v>
      </c>
      <c r="CE93" s="59">
        <f t="shared" si="94"/>
        <v>292.20785523952651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125.16535351789675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125.16535351789675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249</v>
      </c>
      <c r="CR93" s="12">
        <f>VLOOKUP(A93,'Données projet'!$A$139:$I$159,9,0)</f>
        <v>3</v>
      </c>
      <c r="CS93" s="12">
        <f t="array" ref="CS93">INDEX(CR:CR,MIN(IF(ISNUMBER(CR93:CR289),ROW(CR93:CR289),"")))</f>
        <v>3</v>
      </c>
      <c r="CT93" s="12">
        <f>IF('Données projet'!$A$140&gt;35,CT92+CS93-DB92,IF(A93&lt;'Données projet'!$A$140,$CQ$205^A93,IF(A93='Données projet'!$A$140,'Données projet'!$B$140,CT92+CS93-DB92)))</f>
        <v>249</v>
      </c>
      <c r="CU93" s="17">
        <f>CT93*VLOOKUP('Données projet'!$B$13,Paramètres!$A$1:$I$89,3,0)*VLOOKUP('Données projet'!$B$13,Paramètres!$A$1:$I$89,5,0)</f>
        <v>159.26039999999998</v>
      </c>
      <c r="CV93" s="13">
        <f t="shared" si="95"/>
        <v>40.675651605645328</v>
      </c>
      <c r="CW93" s="20">
        <f t="shared" si="67"/>
        <v>348.22195654649892</v>
      </c>
      <c r="CX93" s="59">
        <f t="shared" si="68"/>
        <v>641.55528987983223</v>
      </c>
      <c r="CY93" s="59">
        <f ca="1">AVERAGE(OFFSET($CX$3,0,0,'Données projet'!$E$13+1,1))-AVERAGE(OFFSET($H$3,0,0,'Données projet'!$E$13+1,1))</f>
        <v>269.44168853803717</v>
      </c>
      <c r="CZ93" s="59">
        <f t="shared" si="96"/>
        <v>247.65158389074043</v>
      </c>
      <c r="DA93" s="15">
        <f>IF(ISNA(VLOOKUP(A93,'Données projet'!$A$139:$I$159,3,0)),0,VLOOKUP(A93,'Données projet'!$A$139:$I$159,3,0))</f>
        <v>15</v>
      </c>
      <c r="DB93" s="15">
        <f>IF(ISNA(VLOOKUP(A93,'Données projet'!$A$139:$I$159,4,0)),0,VLOOKUP(A93,'Données projet'!$A$139:$I$159,4,0))</f>
        <v>12</v>
      </c>
      <c r="DC93" s="16">
        <f>IF(ISNA(VLOOKUP(A93,'Données projet'!$A$139:$I$159,5,0)),0%,VLOOKUP(A93,'Données projet'!$A$139:$I$159,5,0)*VLOOKUP('Données projet'!$B$13,Paramètres!$A$1:$I$89,7,0))</f>
        <v>0.43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41.627792368758797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41.627792368758797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6">
        <f t="shared" si="56"/>
        <v>256.66666666666669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3.2</v>
      </c>
      <c r="N94" s="13">
        <f>IF('Données projet'!$A$36&gt;35,N93+M94-V93,IF(A94&lt;'Données projet'!$A$36,$K$205^A94,IF(A94='Données projet'!$A$36,'Données projet'!$B$36,N93+M94-V93)))</f>
        <v>257.19999999999993</v>
      </c>
      <c r="O94" s="13">
        <f>N94*VLOOKUP('Données projet'!$B$9,Paramètres!$A$1:$I$89,3,0)*VLOOKUP('Données projet'!$B$9,Paramètres!$A$1:$I$89,5,0)</f>
        <v>224.68991999999997</v>
      </c>
      <c r="P94" s="13">
        <f t="shared" si="87"/>
        <v>55.132961900876232</v>
      </c>
      <c r="Q94" s="20">
        <f t="shared" si="54"/>
        <v>487.35818597735943</v>
      </c>
      <c r="R94" s="59">
        <f t="shared" si="55"/>
        <v>780.69151931069268</v>
      </c>
      <c r="S94" s="59">
        <f ca="1">AVERAGE(OFFSET($R$3,0,0,'Données projet'!$E$9+1,1))-AVERAGE(OFFSET($H$3,0,0,'Données projet'!$E$9+1,1))</f>
        <v>381.72225529388083</v>
      </c>
      <c r="T94" s="59">
        <f t="shared" si="88"/>
        <v>360.05900046417361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64.168217883827268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64.168217883827268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304.99999999999994</v>
      </c>
      <c r="AJ94" s="13">
        <f>AI94*VLOOKUP('Données projet'!$B$10,Paramètres!$A$1:$I$89,3,0)*VLOOKUP('Données projet'!$B$10,Paramètres!$A$1:$I$89,5,0)</f>
        <v>275.96399999999994</v>
      </c>
      <c r="AK94" s="13">
        <f t="shared" si="89"/>
        <v>66.113366665488911</v>
      </c>
      <c r="AL94" s="20">
        <f t="shared" si="58"/>
        <v>595.7847469423931</v>
      </c>
      <c r="AM94" s="59">
        <f t="shared" si="59"/>
        <v>889.11808027572647</v>
      </c>
      <c r="AN94" s="59">
        <f ca="1">AVERAGE(OFFSET($AM$3,0,0,'Données projet'!$E$10+1,1))-AVERAGE(OFFSET($H$3,0,0,'Données projet'!$E$10+1,1))</f>
        <v>366.43676005661194</v>
      </c>
      <c r="AO94" s="59">
        <f t="shared" si="90"/>
        <v>513.80016421153414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2.500552162230198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2.500552162230198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0.8600000000003547</v>
      </c>
      <c r="BE94" s="13">
        <f>BD94*VLOOKUP('Données projet'!$B$11,Paramètres!$A$1:$I$89,3,0)*VLOOKUP('Données projet'!$B$11,Paramètres!$A$1:$I$89,5,0)</f>
        <v>0.38012000000015683</v>
      </c>
      <c r="BF94" s="13">
        <f t="shared" si="91"/>
        <v>0.19605142963512551</v>
      </c>
      <c r="BG94" s="20">
        <f t="shared" si="61"/>
        <v>1.0034985732814501</v>
      </c>
      <c r="BH94" s="59">
        <f t="shared" si="62"/>
        <v>294.33683190661475</v>
      </c>
      <c r="BI94" s="59">
        <f ca="1">AVERAGE(OFFSET($BH$3,0,0,'Données projet'!$E$11+1,1))-AVERAGE(OFFSET($H$3,0,0,'Données projet'!$E$11+1,1))</f>
        <v>328.58609979635901</v>
      </c>
      <c r="BJ94" s="59">
        <f t="shared" si="92"/>
        <v>432.3494365423407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144.10435971961158</v>
      </c>
      <c r="BQ94" s="21">
        <f>EXP(-LN(2)/25)*BQ93+(1-EXP(-LN(2)/25))/(LN(2)/25)*Calculateur!BL94*Calculateur!BN94*VLOOKUP('Données projet'!$B$11,Paramètres!$A$1:$I$89,3,0)*0.475*44/12</f>
        <v>7.3688742528230753</v>
      </c>
      <c r="BR94" s="21">
        <f>EXP(-LN(2)/2)*BR93+(1-EXP(-LN(2)/2))/(LN(2)/2)*BL94*BO94*VLOOKUP('Données projet'!$B$11,Paramètres!$A$1:$I$89,3,0)*0.475*44/12</f>
        <v>3.8528373083189353E-10</v>
      </c>
      <c r="BS94" s="22">
        <f t="shared" si="63"/>
        <v>151.47323397281994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9.9470000000000027</v>
      </c>
      <c r="BY94" s="12">
        <f>IF('Données projet'!$A$114&gt;35,BY93+BX94-CG93,IF(A94&lt;'Données projet'!$A$114,$BV$205^A94,IF(A94='Données projet'!$A$114,'Données projet'!$B$114,BY93+BX94-CG93)))</f>
        <v>385.22400000000016</v>
      </c>
      <c r="BZ94" s="13">
        <f>BY94*VLOOKUP('Données projet'!$B$12,Paramètres!$A$1:$I$89,3,0)*VLOOKUP('Données projet'!$B$12,Paramètres!$A$1:$I$89,5,0)</f>
        <v>366.57915840000015</v>
      </c>
      <c r="CA94" s="13">
        <f t="shared" si="93"/>
        <v>84.967082513452766</v>
      </c>
      <c r="CB94" s="20">
        <f t="shared" si="64"/>
        <v>786.44303625759721</v>
      </c>
      <c r="CC94" s="59">
        <f t="shared" si="65"/>
        <v>1079.7763695909305</v>
      </c>
      <c r="CD94" s="59">
        <f ca="1">AVERAGE(OFFSET($CC$3,0,0,'Données projet'!$E$12+1,1))-AVERAGE(OFFSET($H$3,0,0,'Données projet'!$E$12+1,1))</f>
        <v>555.3092253965317</v>
      </c>
      <c r="CE94" s="59">
        <f t="shared" si="94"/>
        <v>292.20785523952651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122.71093727873816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122.71093727873816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3</v>
      </c>
      <c r="CT94" s="12">
        <f>IF('Données projet'!$A$140&gt;35,CT93+CS94-DB93,IF(A94&lt;'Données projet'!$A$140,$CQ$205^A94,IF(A94='Données projet'!$A$140,'Données projet'!$B$140,CT93+CS94-DB93)))</f>
        <v>240</v>
      </c>
      <c r="CU94" s="17">
        <f>CT94*VLOOKUP('Données projet'!$B$13,Paramètres!$A$1:$I$89,3,0)*VLOOKUP('Données projet'!$B$13,Paramètres!$A$1:$I$89,5,0)</f>
        <v>153.50399999999999</v>
      </c>
      <c r="CV94" s="13">
        <f t="shared" si="95"/>
        <v>39.373808884365609</v>
      </c>
      <c r="CW94" s="20">
        <f t="shared" si="67"/>
        <v>335.9288504736034</v>
      </c>
      <c r="CX94" s="59">
        <f t="shared" si="68"/>
        <v>629.26218380693672</v>
      </c>
      <c r="CY94" s="59">
        <f ca="1">AVERAGE(OFFSET($CX$3,0,0,'Données projet'!$E$13+1,1))-AVERAGE(OFFSET($H$3,0,0,'Données projet'!$E$13+1,1))</f>
        <v>269.44168853803717</v>
      </c>
      <c r="CZ94" s="59">
        <f t="shared" si="96"/>
        <v>247.65158389074043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40.811496750853685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40.811496750853685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6">
        <f t="shared" si="56"/>
        <v>256.66666666666669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3.2</v>
      </c>
      <c r="N95" s="13">
        <f>IF('Données projet'!$A$36&gt;35,N94+M95-V94,IF(A95&lt;'Données projet'!$A$36,$K$205^A95,IF(A95='Données projet'!$A$36,'Données projet'!$B$36,N94+M95-V94)))</f>
        <v>260.39999999999992</v>
      </c>
      <c r="O95" s="13">
        <f>N95*VLOOKUP('Données projet'!$B$9,Paramètres!$A$1:$I$89,3,0)*VLOOKUP('Données projet'!$B$9,Paramètres!$A$1:$I$89,5,0)</f>
        <v>227.48543999999993</v>
      </c>
      <c r="P95" s="13">
        <f t="shared" si="87"/>
        <v>55.738627496252377</v>
      </c>
      <c r="Q95" s="20">
        <f t="shared" si="54"/>
        <v>493.28191755597277</v>
      </c>
      <c r="R95" s="59">
        <f t="shared" si="55"/>
        <v>786.61525088930603</v>
      </c>
      <c r="S95" s="59">
        <f ca="1">AVERAGE(OFFSET($R$3,0,0,'Données projet'!$E$9+1,1))-AVERAGE(OFFSET($H$3,0,0,'Données projet'!$E$9+1,1))</f>
        <v>381.72225529388083</v>
      </c>
      <c r="T95" s="59">
        <f t="shared" si="88"/>
        <v>360.05900046417361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62.909918269873693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62.909918269873693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304.99999999999994</v>
      </c>
      <c r="AJ95" s="13">
        <f>AI95*VLOOKUP('Données projet'!$B$10,Paramètres!$A$1:$I$89,3,0)*VLOOKUP('Données projet'!$B$10,Paramètres!$A$1:$I$89,5,0)</f>
        <v>275.96399999999994</v>
      </c>
      <c r="AK95" s="13">
        <f t="shared" si="89"/>
        <v>66.113366665488911</v>
      </c>
      <c r="AL95" s="20">
        <f t="shared" si="58"/>
        <v>595.7847469423931</v>
      </c>
      <c r="AM95" s="59">
        <f t="shared" si="59"/>
        <v>889.11808027572647</v>
      </c>
      <c r="AN95" s="59">
        <f ca="1">AVERAGE(OFFSET($AM$3,0,0,'Données projet'!$E$10+1,1))-AVERAGE(OFFSET($H$3,0,0,'Données projet'!$E$10+1,1))</f>
        <v>366.43676005661194</v>
      </c>
      <c r="AO95" s="59">
        <f t="shared" si="90"/>
        <v>513.80016421153414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2.4515178595150831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2.4515178595150831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0.8600000000003547</v>
      </c>
      <c r="BE95" s="13">
        <f>BD95*VLOOKUP('Données projet'!$B$11,Paramètres!$A$1:$I$89,3,0)*VLOOKUP('Données projet'!$B$11,Paramètres!$A$1:$I$89,5,0)</f>
        <v>0.38012000000015683</v>
      </c>
      <c r="BF95" s="13">
        <f t="shared" si="91"/>
        <v>0.19605142963512551</v>
      </c>
      <c r="BG95" s="20">
        <f t="shared" si="61"/>
        <v>1.0034985732814501</v>
      </c>
      <c r="BH95" s="59">
        <f t="shared" si="62"/>
        <v>294.33683190661475</v>
      </c>
      <c r="BI95" s="59">
        <f ca="1">AVERAGE(OFFSET($BH$3,0,0,'Données projet'!$E$11+1,1))-AVERAGE(OFFSET($H$3,0,0,'Données projet'!$E$11+1,1))</f>
        <v>328.58609979635901</v>
      </c>
      <c r="BJ95" s="59">
        <f t="shared" si="92"/>
        <v>432.3494365423407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141.27856112049051</v>
      </c>
      <c r="BQ95" s="21">
        <f>EXP(-LN(2)/25)*BQ94+(1-EXP(-LN(2)/25))/(LN(2)/25)*Calculateur!BL95*Calculateur!BN95*VLOOKUP('Données projet'!$B$11,Paramètres!$A$1:$I$89,3,0)*0.475*44/12</f>
        <v>7.167371998867373</v>
      </c>
      <c r="BR95" s="21">
        <f>EXP(-LN(2)/2)*BR94+(1-EXP(-LN(2)/2))/(LN(2)/2)*BL95*BO95*VLOOKUP('Données projet'!$B$11,Paramètres!$A$1:$I$89,3,0)*0.475*44/12</f>
        <v>2.7243673875208441E-10</v>
      </c>
      <c r="BS95" s="22">
        <f t="shared" si="63"/>
        <v>148.44593311963033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9.9470000000000027</v>
      </c>
      <c r="BY95" s="12">
        <f>IF('Données projet'!$A$114&gt;35,BY94+BX95-CG94,IF(A95&lt;'Données projet'!$A$114,$BV$205^A95,IF(A95='Données projet'!$A$114,'Données projet'!$B$114,BY94+BX95-CG94)))</f>
        <v>395.17100000000016</v>
      </c>
      <c r="BZ95" s="13">
        <f>BY95*VLOOKUP('Données projet'!$B$12,Paramètres!$A$1:$I$89,3,0)*VLOOKUP('Données projet'!$B$12,Paramètres!$A$1:$I$89,5,0)</f>
        <v>376.04472360000017</v>
      </c>
      <c r="CA95" s="13">
        <f t="shared" si="93"/>
        <v>86.90278336796186</v>
      </c>
      <c r="CB95" s="20">
        <f t="shared" si="64"/>
        <v>806.30024130253378</v>
      </c>
      <c r="CC95" s="59">
        <f t="shared" si="65"/>
        <v>1099.633574635867</v>
      </c>
      <c r="CD95" s="59">
        <f ca="1">AVERAGE(OFFSET($CC$3,0,0,'Données projet'!$E$12+1,1))-AVERAGE(OFFSET($H$3,0,0,'Données projet'!$E$12+1,1))</f>
        <v>555.3092253965317</v>
      </c>
      <c r="CE95" s="59">
        <f t="shared" si="94"/>
        <v>292.20785523952651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120.30465064498338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120.30465064498338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3</v>
      </c>
      <c r="CT95" s="12">
        <f>IF('Données projet'!$A$140&gt;35,CT94+CS95-DB94,IF(A95&lt;'Données projet'!$A$140,$CQ$205^A95,IF(A95='Données projet'!$A$140,'Données projet'!$B$140,CT94+CS95-DB94)))</f>
        <v>243</v>
      </c>
      <c r="CU95" s="17">
        <f>CT95*VLOOKUP('Données projet'!$B$13,Paramètres!$A$1:$I$89,3,0)*VLOOKUP('Données projet'!$B$13,Paramètres!$A$1:$I$89,5,0)</f>
        <v>155.4228</v>
      </c>
      <c r="CV95" s="13">
        <f t="shared" si="95"/>
        <v>39.808377687614154</v>
      </c>
      <c r="CW95" s="20">
        <f t="shared" si="67"/>
        <v>340.02763447259463</v>
      </c>
      <c r="CX95" s="59">
        <f t="shared" si="68"/>
        <v>633.36096780592788</v>
      </c>
      <c r="CY95" s="59">
        <f ca="1">AVERAGE(OFFSET($CX$3,0,0,'Données projet'!$E$13+1,1))-AVERAGE(OFFSET($H$3,0,0,'Données projet'!$E$13+1,1))</f>
        <v>269.44168853803717</v>
      </c>
      <c r="CZ95" s="59">
        <f t="shared" si="96"/>
        <v>247.65158389074043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40.011208192124528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40.011208192124528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6">
        <f t="shared" si="56"/>
        <v>256.66666666666669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3.2</v>
      </c>
      <c r="N96" s="13">
        <f>IF('Données projet'!$A$36&gt;35,N95+M96-V95,IF(A96&lt;'Données projet'!$A$36,$K$205^A96,IF(A96='Données projet'!$A$36,'Données projet'!$B$36,N95+M96-V95)))</f>
        <v>263.59999999999991</v>
      </c>
      <c r="O96" s="13">
        <f>N96*VLOOKUP('Données projet'!$B$9,Paramètres!$A$1:$I$89,3,0)*VLOOKUP('Données projet'!$B$9,Paramètres!$A$1:$I$89,5,0)</f>
        <v>230.28095999999994</v>
      </c>
      <c r="P96" s="13">
        <f t="shared" si="87"/>
        <v>56.343427334913351</v>
      </c>
      <c r="Q96" s="20">
        <f t="shared" si="54"/>
        <v>499.20414127497389</v>
      </c>
      <c r="R96" s="59">
        <f t="shared" si="55"/>
        <v>792.53747460830721</v>
      </c>
      <c r="S96" s="59">
        <f ca="1">AVERAGE(OFFSET($R$3,0,0,'Données projet'!$E$9+1,1))-AVERAGE(OFFSET($H$3,0,0,'Données projet'!$E$9+1,1))</f>
        <v>381.72225529388083</v>
      </c>
      <c r="T96" s="59">
        <f t="shared" si="88"/>
        <v>360.05900046417361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61.676293143862765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61.676293143862765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304.99999999999994</v>
      </c>
      <c r="AJ96" s="13">
        <f>AI96*VLOOKUP('Données projet'!$B$10,Paramètres!$A$1:$I$89,3,0)*VLOOKUP('Données projet'!$B$10,Paramètres!$A$1:$I$89,5,0)</f>
        <v>275.96399999999994</v>
      </c>
      <c r="AK96" s="13">
        <f t="shared" si="89"/>
        <v>66.113366665488911</v>
      </c>
      <c r="AL96" s="20">
        <f t="shared" si="58"/>
        <v>595.7847469423931</v>
      </c>
      <c r="AM96" s="59">
        <f t="shared" si="59"/>
        <v>889.11808027572647</v>
      </c>
      <c r="AN96" s="59">
        <f ca="1">AVERAGE(OFFSET($AM$3,0,0,'Données projet'!$E$10+1,1))-AVERAGE(OFFSET($H$3,0,0,'Données projet'!$E$10+1,1))</f>
        <v>366.43676005661194</v>
      </c>
      <c r="AO96" s="59">
        <f t="shared" si="90"/>
        <v>513.80016421153414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2.40344508956824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2.40344508956824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0.8600000000003547</v>
      </c>
      <c r="BE96" s="13">
        <f>BD96*VLOOKUP('Données projet'!$B$11,Paramètres!$A$1:$I$89,3,0)*VLOOKUP('Données projet'!$B$11,Paramètres!$A$1:$I$89,5,0)</f>
        <v>0.38012000000015683</v>
      </c>
      <c r="BF96" s="13">
        <f t="shared" si="91"/>
        <v>0.19605142963512551</v>
      </c>
      <c r="BG96" s="20">
        <f t="shared" si="61"/>
        <v>1.0034985732814501</v>
      </c>
      <c r="BH96" s="59">
        <f t="shared" si="62"/>
        <v>294.33683190661475</v>
      </c>
      <c r="BI96" s="59">
        <f ca="1">AVERAGE(OFFSET($BH$3,0,0,'Données projet'!$E$11+1,1))-AVERAGE(OFFSET($H$3,0,0,'Données projet'!$E$11+1,1))</f>
        <v>328.58609979635901</v>
      </c>
      <c r="BJ96" s="59">
        <f t="shared" si="92"/>
        <v>432.3494365423407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138.50817470833124</v>
      </c>
      <c r="BQ96" s="21">
        <f>EXP(-LN(2)/25)*BQ95+(1-EXP(-LN(2)/25))/(LN(2)/25)*Calculateur!BL96*Calculateur!BN96*VLOOKUP('Données projet'!$B$11,Paramètres!$A$1:$I$89,3,0)*0.475*44/12</f>
        <v>6.9713798346426321</v>
      </c>
      <c r="BR96" s="21">
        <f>EXP(-LN(2)/2)*BR95+(1-EXP(-LN(2)/2))/(LN(2)/2)*BL96*BO96*VLOOKUP('Données projet'!$B$11,Paramètres!$A$1:$I$89,3,0)*0.475*44/12</f>
        <v>1.9264186541594677E-10</v>
      </c>
      <c r="BS96" s="22">
        <f t="shared" si="63"/>
        <v>145.4795545431665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9.9470000000000027</v>
      </c>
      <c r="BY96" s="12">
        <f>IF('Données projet'!$A$114&gt;35,BY95+BX96-CG95,IF(A96&lt;'Données projet'!$A$114,$BV$205^A96,IF(A96='Données projet'!$A$114,'Données projet'!$B$114,BY95+BX96-CG95)))</f>
        <v>405.11800000000017</v>
      </c>
      <c r="BZ96" s="13">
        <f>BY96*VLOOKUP('Données projet'!$B$12,Paramètres!$A$1:$I$89,3,0)*VLOOKUP('Données projet'!$B$12,Paramètres!$A$1:$I$89,5,0)</f>
        <v>385.51028880000018</v>
      </c>
      <c r="CA96" s="13">
        <f t="shared" si="93"/>
        <v>88.832820386482439</v>
      </c>
      <c r="CB96" s="20">
        <f t="shared" si="64"/>
        <v>826.14758183312381</v>
      </c>
      <c r="CC96" s="59">
        <f t="shared" si="65"/>
        <v>1119.4809151664572</v>
      </c>
      <c r="CD96" s="59">
        <f ca="1">AVERAGE(OFFSET($CC$3,0,0,'Données projet'!$E$12+1,1))-AVERAGE(OFFSET($H$3,0,0,'Données projet'!$E$12+1,1))</f>
        <v>555.3092253965317</v>
      </c>
      <c r="CE96" s="59">
        <f t="shared" si="94"/>
        <v>292.20785523952651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117.94554982442662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117.94554982442662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3</v>
      </c>
      <c r="CT96" s="12">
        <f>IF('Données projet'!$A$140&gt;35,CT95+CS96-DB95,IF(A96&lt;'Données projet'!$A$140,$CQ$205^A96,IF(A96='Données projet'!$A$140,'Données projet'!$B$140,CT95+CS96-DB95)))</f>
        <v>246</v>
      </c>
      <c r="CU96" s="17">
        <f>CT96*VLOOKUP('Données projet'!$B$13,Paramètres!$A$1:$I$89,3,0)*VLOOKUP('Données projet'!$B$13,Paramètres!$A$1:$I$89,5,0)</f>
        <v>157.3416</v>
      </c>
      <c r="CV96" s="13">
        <f t="shared" si="95"/>
        <v>40.24232243112715</v>
      </c>
      <c r="CW96" s="20">
        <f t="shared" si="67"/>
        <v>344.12533156754643</v>
      </c>
      <c r="CX96" s="59">
        <f t="shared" si="68"/>
        <v>637.45866490087974</v>
      </c>
      <c r="CY96" s="59">
        <f ca="1">AVERAGE(OFFSET($CX$3,0,0,'Données projet'!$E$13+1,1))-AVERAGE(OFFSET($H$3,0,0,'Données projet'!$E$13+1,1))</f>
        <v>269.44168853803717</v>
      </c>
      <c r="CZ96" s="59">
        <f t="shared" si="96"/>
        <v>247.65158389074043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39.226612803904224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39.226612803904224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6">
        <f t="shared" si="56"/>
        <v>256.66666666666669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3.2</v>
      </c>
      <c r="N97" s="13">
        <f>IF('Données projet'!$A$36&gt;35,N96+M97-V96,IF(A97&lt;'Données projet'!$A$36,$K$205^A97,IF(A97='Données projet'!$A$36,'Données projet'!$B$36,N96+M97-V96)))</f>
        <v>266.7999999999999</v>
      </c>
      <c r="O97" s="13">
        <f>N97*VLOOKUP('Données projet'!$B$9,Paramètres!$A$1:$I$89,3,0)*VLOOKUP('Données projet'!$B$9,Paramètres!$A$1:$I$89,5,0)</f>
        <v>233.07647999999995</v>
      </c>
      <c r="P97" s="13">
        <f t="shared" si="87"/>
        <v>56.947373142454879</v>
      </c>
      <c r="Q97" s="20">
        <f t="shared" si="54"/>
        <v>505.12487755644207</v>
      </c>
      <c r="R97" s="59">
        <f t="shared" si="55"/>
        <v>798.45821088977539</v>
      </c>
      <c r="S97" s="59">
        <f ca="1">AVERAGE(OFFSET($R$3,0,0,'Données projet'!$E$9+1,1))-AVERAGE(OFFSET($H$3,0,0,'Données projet'!$E$9+1,1))</f>
        <v>381.72225529388083</v>
      </c>
      <c r="T97" s="59">
        <f t="shared" si="88"/>
        <v>360.05900046417361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60.466858654135883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60.466858654135883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304.99999999999994</v>
      </c>
      <c r="AJ97" s="13">
        <f>AI97*VLOOKUP('Données projet'!$B$10,Paramètres!$A$1:$I$89,3,0)*VLOOKUP('Données projet'!$B$10,Paramètres!$A$1:$I$89,5,0)</f>
        <v>275.96399999999994</v>
      </c>
      <c r="AK97" s="13">
        <f t="shared" si="89"/>
        <v>66.113366665488911</v>
      </c>
      <c r="AL97" s="20">
        <f t="shared" si="58"/>
        <v>595.7847469423931</v>
      </c>
      <c r="AM97" s="59">
        <f t="shared" si="59"/>
        <v>889.11808027572647</v>
      </c>
      <c r="AN97" s="59">
        <f ca="1">AVERAGE(OFFSET($AM$3,0,0,'Données projet'!$E$10+1,1))-AVERAGE(OFFSET($H$3,0,0,'Données projet'!$E$10+1,1))</f>
        <v>366.43676005661194</v>
      </c>
      <c r="AO97" s="59">
        <f t="shared" si="90"/>
        <v>513.80016421153414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2.3563149973185604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2.3563149973185604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0.8600000000003547</v>
      </c>
      <c r="BE97" s="13">
        <f>BD97*VLOOKUP('Données projet'!$B$11,Paramètres!$A$1:$I$89,3,0)*VLOOKUP('Données projet'!$B$11,Paramètres!$A$1:$I$89,5,0)</f>
        <v>0.38012000000015683</v>
      </c>
      <c r="BF97" s="13">
        <f t="shared" si="91"/>
        <v>0.19605142963512551</v>
      </c>
      <c r="BG97" s="20">
        <f t="shared" si="61"/>
        <v>1.0034985732814501</v>
      </c>
      <c r="BH97" s="59">
        <f t="shared" si="62"/>
        <v>294.33683190661475</v>
      </c>
      <c r="BI97" s="59">
        <f ca="1">AVERAGE(OFFSET($BH$3,0,0,'Données projet'!$E$11+1,1))-AVERAGE(OFFSET($H$3,0,0,'Données projet'!$E$11+1,1))</f>
        <v>328.58609979635901</v>
      </c>
      <c r="BJ97" s="59">
        <f t="shared" si="92"/>
        <v>432.3494365423407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135.79211388394558</v>
      </c>
      <c r="BQ97" s="21">
        <f>EXP(-LN(2)/25)*BQ96+(1-EXP(-LN(2)/25))/(LN(2)/25)*Calculateur!BL97*Calculateur!BN97*VLOOKUP('Données projet'!$B$11,Paramètres!$A$1:$I$89,3,0)*0.475*44/12</f>
        <v>6.7807470864553974</v>
      </c>
      <c r="BR97" s="21">
        <f>EXP(-LN(2)/2)*BR96+(1-EXP(-LN(2)/2))/(LN(2)/2)*BL97*BO97*VLOOKUP('Données projet'!$B$11,Paramètres!$A$1:$I$89,3,0)*0.475*44/12</f>
        <v>1.362183693760422E-10</v>
      </c>
      <c r="BS97" s="22">
        <f t="shared" si="63"/>
        <v>142.57286097053719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9.9470000000000027</v>
      </c>
      <c r="BY97" s="12">
        <f>IF('Données projet'!$A$114&gt;35,BY96+BX97-CG96,IF(A97&lt;'Données projet'!$A$114,$BV$205^A97,IF(A97='Données projet'!$A$114,'Données projet'!$B$114,BY96+BX97-CG96)))</f>
        <v>415.06500000000017</v>
      </c>
      <c r="BZ97" s="13">
        <f>BY97*VLOOKUP('Données projet'!$B$12,Paramètres!$A$1:$I$89,3,0)*VLOOKUP('Données projet'!$B$12,Paramètres!$A$1:$I$89,5,0)</f>
        <v>394.97585400000014</v>
      </c>
      <c r="CA97" s="13">
        <f t="shared" si="93"/>
        <v>90.757348632264282</v>
      </c>
      <c r="CB97" s="20">
        <f t="shared" si="64"/>
        <v>845.98532791786045</v>
      </c>
      <c r="CC97" s="59">
        <f t="shared" si="65"/>
        <v>1139.3186612511938</v>
      </c>
      <c r="CD97" s="59">
        <f ca="1">AVERAGE(OFFSET($CC$3,0,0,'Données projet'!$E$12+1,1))-AVERAGE(OFFSET($H$3,0,0,'Données projet'!$E$12+1,1))</f>
        <v>555.3092253965317</v>
      </c>
      <c r="CE97" s="59">
        <f t="shared" si="94"/>
        <v>292.20785523952651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115.63270953205155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115.63270953205155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3</v>
      </c>
      <c r="CT97" s="12">
        <f>IF('Données projet'!$A$140&gt;35,CT96+CS97-DB96,IF(A97&lt;'Données projet'!$A$140,$CQ$205^A97,IF(A97='Données projet'!$A$140,'Données projet'!$B$140,CT96+CS97-DB96)))</f>
        <v>249</v>
      </c>
      <c r="CU97" s="17">
        <f>CT97*VLOOKUP('Données projet'!$B$13,Paramètres!$A$1:$I$89,3,0)*VLOOKUP('Données projet'!$B$13,Paramètres!$A$1:$I$89,5,0)</f>
        <v>159.26039999999998</v>
      </c>
      <c r="CV97" s="13">
        <f t="shared" si="95"/>
        <v>40.675651605645328</v>
      </c>
      <c r="CW97" s="20">
        <f t="shared" si="67"/>
        <v>348.22195654649892</v>
      </c>
      <c r="CX97" s="59">
        <f t="shared" si="68"/>
        <v>641.55528987983223</v>
      </c>
      <c r="CY97" s="59">
        <f ca="1">AVERAGE(OFFSET($CX$3,0,0,'Données projet'!$E$13+1,1))-AVERAGE(OFFSET($H$3,0,0,'Données projet'!$E$13+1,1))</f>
        <v>269.44168853803717</v>
      </c>
      <c r="CZ97" s="59">
        <f t="shared" si="96"/>
        <v>247.65158389074043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38.45740285269099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38.45740285269099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6">
        <f t="shared" si="56"/>
        <v>256.66666666666669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270</v>
      </c>
      <c r="L98" s="12">
        <f>VLOOKUP(A98,'Données projet'!$A$35:$I$55,9,0)</f>
        <v>3.2</v>
      </c>
      <c r="M98" s="12">
        <f t="array" ref="M98">INDEX(L:L,MIN(IF(ISNUMBER(L98:L294),ROW(L98:L294),"")))</f>
        <v>3.2</v>
      </c>
      <c r="N98" s="13">
        <f>IF('Données projet'!$A$36&gt;35,N97+M98-V97,IF(A98&lt;'Données projet'!$A$36,$K$205^A98,IF(A98='Données projet'!$A$36,'Données projet'!$B$36,N97+M98-V97)))</f>
        <v>269.99999999999989</v>
      </c>
      <c r="O98" s="13">
        <f>N98*VLOOKUP('Données projet'!$B$9,Paramètres!$A$1:$I$89,3,0)*VLOOKUP('Données projet'!$B$9,Paramètres!$A$1:$I$89,5,0)</f>
        <v>235.87199999999996</v>
      </c>
      <c r="P98" s="13">
        <f t="shared" si="87"/>
        <v>57.550476347015277</v>
      </c>
      <c r="Q98" s="20">
        <f t="shared" si="54"/>
        <v>511.04414630438487</v>
      </c>
      <c r="R98" s="59">
        <f t="shared" si="55"/>
        <v>804.37747963771812</v>
      </c>
      <c r="S98" s="59">
        <f ca="1">AVERAGE(OFFSET($R$3,0,0,'Données projet'!$E$9+1,1))-AVERAGE(OFFSET($H$3,0,0,'Données projet'!$E$9+1,1))</f>
        <v>381.72225529388083</v>
      </c>
      <c r="T98" s="59">
        <f t="shared" si="88"/>
        <v>360.05900046417361</v>
      </c>
      <c r="U98" s="15">
        <f>IF(ISNA(VLOOKUP(A98,'Données projet'!$A$35:$I$55,3,0)),0,VLOOKUP(A98,'Données projet'!$A$35:$I$55,3,0))</f>
        <v>17</v>
      </c>
      <c r="V98" s="15">
        <f>IF(ISNA(VLOOKUP(A98,'Données projet'!$A$35:$I$55,4,0)),0,VLOOKUP(A98,'Données projet'!$A$35:$I$55,4,0))</f>
        <v>13</v>
      </c>
      <c r="W98" s="16">
        <f>IF(ISNA(VLOOKUP(A98,'Données projet'!$A$35:$I$55,5,0)),0%,VLOOKUP(A98,'Données projet'!$A$35:$I$55,5,0)*VLOOKUP('Données projet'!$B$9,Paramètres!$A$1:$I$89,7,0))</f>
        <v>0.43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64.679621019770664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64.679621019770664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304.99999999999994</v>
      </c>
      <c r="AJ98" s="13">
        <f>AI98*VLOOKUP('Données projet'!$B$10,Paramètres!$A$1:$I$89,3,0)*VLOOKUP('Données projet'!$B$10,Paramètres!$A$1:$I$89,5,0)</f>
        <v>275.96399999999994</v>
      </c>
      <c r="AK98" s="13">
        <f t="shared" si="89"/>
        <v>66.113366665488911</v>
      </c>
      <c r="AL98" s="20">
        <f t="shared" si="58"/>
        <v>595.7847469423931</v>
      </c>
      <c r="AM98" s="59">
        <f t="shared" si="59"/>
        <v>889.11808027572647</v>
      </c>
      <c r="AN98" s="59">
        <f ca="1">AVERAGE(OFFSET($AM$3,0,0,'Données projet'!$E$10+1,1))-AVERAGE(OFFSET($H$3,0,0,'Données projet'!$E$10+1,1))</f>
        <v>366.43676005661194</v>
      </c>
      <c r="AO98" s="59">
        <f t="shared" si="90"/>
        <v>513.80016421153414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2.3101090974313792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2.3101090974313792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0.8600000000003547</v>
      </c>
      <c r="BE98" s="13">
        <f>BD98*VLOOKUP('Données projet'!$B$11,Paramètres!$A$1:$I$89,3,0)*VLOOKUP('Données projet'!$B$11,Paramètres!$A$1:$I$89,5,0)</f>
        <v>0.38012000000015683</v>
      </c>
      <c r="BF98" s="13">
        <f t="shared" si="91"/>
        <v>0.19605142963512551</v>
      </c>
      <c r="BG98" s="20">
        <f t="shared" si="61"/>
        <v>1.0034985732814501</v>
      </c>
      <c r="BH98" s="59">
        <f t="shared" si="62"/>
        <v>294.33683190661475</v>
      </c>
      <c r="BI98" s="59">
        <f ca="1">AVERAGE(OFFSET($BH$3,0,0,'Données projet'!$E$11+1,1))-AVERAGE(OFFSET($H$3,0,0,'Données projet'!$E$11+1,1))</f>
        <v>328.58609979635901</v>
      </c>
      <c r="BJ98" s="59">
        <f t="shared" si="92"/>
        <v>432.3494365423407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133.12931335569257</v>
      </c>
      <c r="BQ98" s="21">
        <f>EXP(-LN(2)/25)*BQ97+(1-EXP(-LN(2)/25))/(LN(2)/25)*Calculateur!BL98*Calculateur!BN98*VLOOKUP('Données projet'!$B$11,Paramètres!$A$1:$I$89,3,0)*0.475*44/12</f>
        <v>6.5953272007922825</v>
      </c>
      <c r="BR98" s="21">
        <f>EXP(-LN(2)/2)*BR97+(1-EXP(-LN(2)/2))/(LN(2)/2)*BL98*BO98*VLOOKUP('Données projet'!$B$11,Paramètres!$A$1:$I$89,3,0)*0.475*44/12</f>
        <v>9.6320932707973383E-11</v>
      </c>
      <c r="BS98" s="22">
        <f t="shared" si="63"/>
        <v>139.72464055658116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9.9470000000000027</v>
      </c>
      <c r="BY98" s="12">
        <f>IF('Données projet'!$A$114&gt;35,BY97+BX98-CG97,IF(A98&lt;'Données projet'!$A$114,$BV$205^A98,IF(A98='Données projet'!$A$114,'Données projet'!$B$114,BY97+BX98-CG97)))</f>
        <v>425.01200000000017</v>
      </c>
      <c r="BZ98" s="13">
        <f>BY98*VLOOKUP('Données projet'!$B$12,Paramètres!$A$1:$I$89,3,0)*VLOOKUP('Données projet'!$B$12,Paramètres!$A$1:$I$89,5,0)</f>
        <v>404.44141920000015</v>
      </c>
      <c r="CA98" s="13">
        <f t="shared" si="93"/>
        <v>92.676515312543557</v>
      </c>
      <c r="CB98" s="20">
        <f t="shared" si="64"/>
        <v>865.81373594268018</v>
      </c>
      <c r="CC98" s="59">
        <f t="shared" si="65"/>
        <v>1159.1470692760136</v>
      </c>
      <c r="CD98" s="59">
        <f ca="1">AVERAGE(OFFSET($CC$3,0,0,'Données projet'!$E$12+1,1))-AVERAGE(OFFSET($H$3,0,0,'Données projet'!$E$12+1,1))</f>
        <v>555.3092253965317</v>
      </c>
      <c r="CE98" s="59">
        <f t="shared" si="94"/>
        <v>292.20785523952651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113.36522262711668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113.36522262711668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>
        <f>VLOOKUP(A98,'Données projet'!$A$139:$I$159,2,0)</f>
        <v>252</v>
      </c>
      <c r="CR98" s="12">
        <f>VLOOKUP(A98,'Données projet'!$A$139:$I$159,9,0)</f>
        <v>3</v>
      </c>
      <c r="CS98" s="12">
        <f t="array" ref="CS98">INDEX(CR:CR,MIN(IF(ISNUMBER(CR98:CR294),ROW(CR98:CR294),"")))</f>
        <v>3</v>
      </c>
      <c r="CT98" s="12">
        <f>IF('Données projet'!$A$140&gt;35,CT97+CS98-DB97,IF(A98&lt;'Données projet'!$A$140,$CQ$205^A98,IF(A98='Données projet'!$A$140,'Données projet'!$B$140,CT97+CS98-DB97)))</f>
        <v>252</v>
      </c>
      <c r="CU98" s="17">
        <f>CT98*VLOOKUP('Données projet'!$B$13,Paramètres!$A$1:$I$89,3,0)*VLOOKUP('Données projet'!$B$13,Paramètres!$A$1:$I$89,5,0)</f>
        <v>161.17920000000001</v>
      </c>
      <c r="CV98" s="13">
        <f t="shared" si="95"/>
        <v>41.108373485541968</v>
      </c>
      <c r="CW98" s="20">
        <f t="shared" si="67"/>
        <v>352.31752382065224</v>
      </c>
      <c r="CX98" s="59">
        <f t="shared" si="68"/>
        <v>645.6508571539855</v>
      </c>
      <c r="CY98" s="59">
        <f ca="1">AVERAGE(OFFSET($CX$3,0,0,'Données projet'!$E$13+1,1))-AVERAGE(OFFSET($H$3,0,0,'Données projet'!$E$13+1,1))</f>
        <v>269.44168853803717</v>
      </c>
      <c r="CZ98" s="59">
        <f t="shared" si="96"/>
        <v>247.65158389074043</v>
      </c>
      <c r="DA98" s="15">
        <f>IF(ISNA(VLOOKUP(A98,'Données projet'!$A$139:$I$159,3,0)),0,VLOOKUP(A98,'Données projet'!$A$139:$I$159,3,0))</f>
        <v>16</v>
      </c>
      <c r="DB98" s="15">
        <f>IF(ISNA(VLOOKUP(A98,'Données projet'!$A$139:$I$159,4,0)),0,VLOOKUP(A98,'Données projet'!$A$139:$I$159,4,0))</f>
        <v>12</v>
      </c>
      <c r="DC98" s="16">
        <f>IF(ISNA(VLOOKUP(A98,'Données projet'!$A$139:$I$159,5,0)),0%,VLOOKUP(A98,'Données projet'!$A$139:$I$159,5,0)*VLOOKUP('Données projet'!$B$13,Paramètres!$A$1:$I$89,7,0))</f>
        <v>0.43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41.351700329955555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41.351700329955555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6">
        <f t="shared" si="56"/>
        <v>256.66666666666669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3.2</v>
      </c>
      <c r="N99" s="13">
        <f>IF('Données projet'!$A$36&gt;35,N98+M99-V98,IF(A99&lt;'Données projet'!$A$36,$K$205^A99,IF(A99='Données projet'!$A$36,'Données projet'!$B$36,N98+M99-V98)))</f>
        <v>260.19999999999987</v>
      </c>
      <c r="O99" s="13">
        <f>N99*VLOOKUP('Données projet'!$B$9,Paramètres!$A$1:$I$89,3,0)*VLOOKUP('Données projet'!$B$9,Paramètres!$A$1:$I$89,5,0)</f>
        <v>227.31071999999989</v>
      </c>
      <c r="P99" s="13">
        <f t="shared" si="87"/>
        <v>55.700798883800765</v>
      </c>
      <c r="Q99" s="20">
        <f t="shared" ref="Q99:Q130" si="107">(O99+P99)*0.475*44/12</f>
        <v>492.91172872261944</v>
      </c>
      <c r="R99" s="59">
        <f t="shared" si="55"/>
        <v>786.24506205595276</v>
      </c>
      <c r="S99" s="59">
        <f ca="1">AVERAGE(OFFSET($R$3,0,0,'Données projet'!$E$9+1,1))-AVERAGE(OFFSET($H$3,0,0,'Données projet'!$E$9+1,1))</f>
        <v>381.72225529388083</v>
      </c>
      <c r="T99" s="59">
        <f t="shared" si="88"/>
        <v>360.05900046417361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63.411293102246354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63.411293102246354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304.99999999999994</v>
      </c>
      <c r="AJ99" s="13">
        <f>AI99*VLOOKUP('Données projet'!$B$10,Paramètres!$A$1:$I$89,3,0)*VLOOKUP('Données projet'!$B$10,Paramètres!$A$1:$I$89,5,0)</f>
        <v>275.96399999999994</v>
      </c>
      <c r="AK99" s="13">
        <f t="shared" si="89"/>
        <v>66.113366665488911</v>
      </c>
      <c r="AL99" s="20">
        <f t="shared" si="58"/>
        <v>595.7847469423931</v>
      </c>
      <c r="AM99" s="59">
        <f t="shared" si="59"/>
        <v>889.11808027572647</v>
      </c>
      <c r="AN99" s="59">
        <f ca="1">AVERAGE(OFFSET($AM$3,0,0,'Données projet'!$E$10+1,1))-AVERAGE(OFFSET($H$3,0,0,'Données projet'!$E$10+1,1))</f>
        <v>366.43676005661194</v>
      </c>
      <c r="AO99" s="59">
        <f t="shared" si="90"/>
        <v>513.80016421153414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2.2648092670581694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2.2648092670581694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0.8600000000003547</v>
      </c>
      <c r="BE99" s="13">
        <f>BD99*VLOOKUP('Données projet'!$B$11,Paramètres!$A$1:$I$89,3,0)*VLOOKUP('Données projet'!$B$11,Paramètres!$A$1:$I$89,5,0)</f>
        <v>0.38012000000015683</v>
      </c>
      <c r="BF99" s="13">
        <f t="shared" si="91"/>
        <v>0.19605142963512551</v>
      </c>
      <c r="BG99" s="20">
        <f t="shared" si="61"/>
        <v>1.0034985732814501</v>
      </c>
      <c r="BH99" s="59">
        <f t="shared" si="62"/>
        <v>294.33683190661475</v>
      </c>
      <c r="BI99" s="59">
        <f ca="1">AVERAGE(OFFSET($BH$3,0,0,'Données projet'!$E$11+1,1))-AVERAGE(OFFSET($H$3,0,0,'Données projet'!$E$11+1,1))</f>
        <v>328.58609979635901</v>
      </c>
      <c r="BJ99" s="59">
        <f t="shared" si="92"/>
        <v>432.3494365423407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130.51872872165066</v>
      </c>
      <c r="BQ99" s="21">
        <f>EXP(-LN(2)/25)*BQ98+(1-EXP(-LN(2)/25))/(LN(2)/25)*Calculateur!BL99*Calculateur!BN99*VLOOKUP('Données projet'!$B$11,Paramètres!$A$1:$I$89,3,0)*0.475*44/12</f>
        <v>6.4149776316534339</v>
      </c>
      <c r="BR99" s="21">
        <f>EXP(-LN(2)/2)*BR98+(1-EXP(-LN(2)/2))/(LN(2)/2)*BL99*BO99*VLOOKUP('Données projet'!$B$11,Paramètres!$A$1:$I$89,3,0)*0.475*44/12</f>
        <v>6.8109184688021102E-11</v>
      </c>
      <c r="BS99" s="22">
        <f t="shared" si="63"/>
        <v>136.9337063533722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9.9470000000000027</v>
      </c>
      <c r="BY99" s="12">
        <f>IF('Données projet'!$A$114&gt;35,BY98+BX99-CG98,IF(A99&lt;'Données projet'!$A$114,$BV$205^A99,IF(A99='Données projet'!$A$114,'Données projet'!$B$114,BY98+BX99-CG98)))</f>
        <v>434.95900000000017</v>
      </c>
      <c r="BZ99" s="13">
        <f>BY99*VLOOKUP('Données projet'!$B$12,Paramètres!$A$1:$I$89,3,0)*VLOOKUP('Données projet'!$B$12,Paramètres!$A$1:$I$89,5,0)</f>
        <v>413.90698440000023</v>
      </c>
      <c r="CA99" s="13">
        <f t="shared" si="93"/>
        <v>94.590460350961564</v>
      </c>
      <c r="CB99" s="20">
        <f t="shared" si="64"/>
        <v>885.63304960792505</v>
      </c>
      <c r="CC99" s="59">
        <f t="shared" si="65"/>
        <v>1178.9663829412584</v>
      </c>
      <c r="CD99" s="59">
        <f ca="1">AVERAGE(OFFSET($CC$3,0,0,'Données projet'!$E$12+1,1))-AVERAGE(OFFSET($H$3,0,0,'Données projet'!$E$12+1,1))</f>
        <v>555.3092253965317</v>
      </c>
      <c r="CE99" s="59">
        <f t="shared" si="94"/>
        <v>292.20785523952651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111.14219975735713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111.14219975735713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3</v>
      </c>
      <c r="CT99" s="12">
        <f>IF('Données projet'!$A$140&gt;35,CT98+CS99-DB98,IF(A99&lt;'Données projet'!$A$140,$CQ$205^A99,IF(A99='Données projet'!$A$140,'Données projet'!$B$140,CT98+CS99-DB98)))</f>
        <v>243</v>
      </c>
      <c r="CU99" s="17">
        <f>CT99*VLOOKUP('Données projet'!$B$13,Paramètres!$A$1:$I$89,3,0)*VLOOKUP('Données projet'!$B$13,Paramètres!$A$1:$I$89,5,0)</f>
        <v>155.4228</v>
      </c>
      <c r="CV99" s="13">
        <f t="shared" si="95"/>
        <v>39.808377687614154</v>
      </c>
      <c r="CW99" s="20">
        <f t="shared" si="67"/>
        <v>340.02763447259463</v>
      </c>
      <c r="CX99" s="59">
        <f t="shared" si="68"/>
        <v>633.36096780592788</v>
      </c>
      <c r="CY99" s="59">
        <f ca="1">AVERAGE(OFFSET($CX$3,0,0,'Données projet'!$E$13+1,1))-AVERAGE(OFFSET($H$3,0,0,'Données projet'!$E$13+1,1))</f>
        <v>269.44168853803717</v>
      </c>
      <c r="CZ99" s="59">
        <f t="shared" si="96"/>
        <v>247.65158389074043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40.540818708531859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40.540818708531859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6">
        <f t="shared" si="56"/>
        <v>256.66666666666669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3.2</v>
      </c>
      <c r="N100" s="13">
        <f>IF('Données projet'!$A$36&gt;35,N99+M100-V99,IF(A100&lt;'Données projet'!$A$36,$K$205^A100,IF(A100='Données projet'!$A$36,'Données projet'!$B$36,N99+M100-V99)))</f>
        <v>263.39999999999986</v>
      </c>
      <c r="O100" s="13">
        <f>N100*VLOOKUP('Données projet'!$B$9,Paramètres!$A$1:$I$89,3,0)*VLOOKUP('Données projet'!$B$9,Paramètres!$A$1:$I$89,5,0)</f>
        <v>230.1062399999999</v>
      </c>
      <c r="P100" s="13">
        <f t="shared" si="87"/>
        <v>56.30565248558618</v>
      </c>
      <c r="Q100" s="20">
        <f t="shared" si="107"/>
        <v>498.83404607906238</v>
      </c>
      <c r="R100" s="59">
        <f t="shared" si="55"/>
        <v>792.16737941239569</v>
      </c>
      <c r="S100" s="59">
        <f ca="1">AVERAGE(OFFSET($R$3,0,0,'Données projet'!$E$9+1,1))-AVERAGE(OFFSET($H$3,0,0,'Données projet'!$E$9+1,1))</f>
        <v>381.72225529388083</v>
      </c>
      <c r="T100" s="59">
        <f t="shared" si="88"/>
        <v>360.05900046417361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62.167836321581049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62.167836321581049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304.99999999999994</v>
      </c>
      <c r="AJ100" s="13">
        <f>AI100*VLOOKUP('Données projet'!$B$10,Paramètres!$A$1:$I$89,3,0)*VLOOKUP('Données projet'!$B$10,Paramètres!$A$1:$I$89,5,0)</f>
        <v>275.96399999999994</v>
      </c>
      <c r="AK100" s="13">
        <f t="shared" si="89"/>
        <v>66.113366665488911</v>
      </c>
      <c r="AL100" s="20">
        <f t="shared" si="58"/>
        <v>595.7847469423931</v>
      </c>
      <c r="AM100" s="59">
        <f t="shared" si="59"/>
        <v>889.11808027572647</v>
      </c>
      <c r="AN100" s="59">
        <f ca="1">AVERAGE(OFFSET($AM$3,0,0,'Données projet'!$E$10+1,1))-AVERAGE(OFFSET($H$3,0,0,'Données projet'!$E$10+1,1))</f>
        <v>366.43676005661194</v>
      </c>
      <c r="AO100" s="59">
        <f t="shared" si="90"/>
        <v>513.80016421153414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2.2203977387284102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2.2203977387284102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0.8600000000003547</v>
      </c>
      <c r="BE100" s="13">
        <f>BD100*VLOOKUP('Données projet'!$B$11,Paramètres!$A$1:$I$89,3,0)*VLOOKUP('Données projet'!$B$11,Paramètres!$A$1:$I$89,5,0)</f>
        <v>0.38012000000015683</v>
      </c>
      <c r="BF100" s="13">
        <f t="shared" si="91"/>
        <v>0.19605142963512551</v>
      </c>
      <c r="BG100" s="20">
        <f t="shared" si="61"/>
        <v>1.0034985732814501</v>
      </c>
      <c r="BH100" s="59">
        <f t="shared" si="62"/>
        <v>294.33683190661475</v>
      </c>
      <c r="BI100" s="59">
        <f ca="1">AVERAGE(OFFSET($BH$3,0,0,'Données projet'!$E$11+1,1))-AVERAGE(OFFSET($H$3,0,0,'Données projet'!$E$11+1,1))</f>
        <v>328.58609979635901</v>
      </c>
      <c r="BJ100" s="59">
        <f t="shared" si="92"/>
        <v>432.3494365423407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127.95933605998292</v>
      </c>
      <c r="BQ100" s="21">
        <f>EXP(-LN(2)/25)*BQ99+(1-EXP(-LN(2)/25))/(LN(2)/25)*Calculateur!BL100*Calculateur!BN100*VLOOKUP('Données projet'!$B$11,Paramètres!$A$1:$I$89,3,0)*0.475*44/12</f>
        <v>6.2395597309668585</v>
      </c>
      <c r="BR100" s="21">
        <f>EXP(-LN(2)/2)*BR99+(1-EXP(-LN(2)/2))/(LN(2)/2)*BL100*BO100*VLOOKUP('Données projet'!$B$11,Paramètres!$A$1:$I$89,3,0)*0.475*44/12</f>
        <v>4.8160466353986692E-11</v>
      </c>
      <c r="BS100" s="22">
        <f t="shared" si="63"/>
        <v>134.19889579099791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9.9470000000000027</v>
      </c>
      <c r="BY100" s="12">
        <f>IF('Données projet'!$A$114&gt;35,BY99+BX100-CG99,IF(A100&lt;'Données projet'!$A$114,$BV$205^A100,IF(A100='Données projet'!$A$114,'Données projet'!$B$114,BY99+BX100-CG99)))</f>
        <v>444.90600000000018</v>
      </c>
      <c r="BZ100" s="13">
        <f>BY100*VLOOKUP('Données projet'!$B$12,Paramètres!$A$1:$I$89,3,0)*VLOOKUP('Données projet'!$B$12,Paramètres!$A$1:$I$89,5,0)</f>
        <v>423.37254960000018</v>
      </c>
      <c r="CA100" s="13">
        <f t="shared" si="93"/>
        <v>96.499316906146717</v>
      </c>
      <c r="CB100" s="20">
        <f t="shared" si="64"/>
        <v>905.44350083153915</v>
      </c>
      <c r="CC100" s="59">
        <f t="shared" si="65"/>
        <v>1198.7768341648725</v>
      </c>
      <c r="CD100" s="59">
        <f ca="1">AVERAGE(OFFSET($CC$3,0,0,'Données projet'!$E$12+1,1))-AVERAGE(OFFSET($H$3,0,0,'Données projet'!$E$12+1,1))</f>
        <v>555.3092253965317</v>
      </c>
      <c r="CE100" s="59">
        <f t="shared" si="94"/>
        <v>292.20785523952651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108.9627690101635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108.9627690101635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3</v>
      </c>
      <c r="CT100" s="12">
        <f>IF('Données projet'!$A$140&gt;35,CT99+CS100-DB99,IF(A100&lt;'Données projet'!$A$140,$CQ$205^A100,IF(A100='Données projet'!$A$140,'Données projet'!$B$140,CT99+CS100-DB99)))</f>
        <v>246</v>
      </c>
      <c r="CU100" s="17">
        <f>CT100*VLOOKUP('Données projet'!$B$13,Paramètres!$A$1:$I$89,3,0)*VLOOKUP('Données projet'!$B$13,Paramètres!$A$1:$I$89,5,0)</f>
        <v>157.3416</v>
      </c>
      <c r="CV100" s="13">
        <f t="shared" si="95"/>
        <v>40.24232243112715</v>
      </c>
      <c r="CW100" s="20">
        <f t="shared" si="67"/>
        <v>344.12533156754643</v>
      </c>
      <c r="CX100" s="59">
        <f t="shared" si="68"/>
        <v>637.45866490087974</v>
      </c>
      <c r="CY100" s="59">
        <f ca="1">AVERAGE(OFFSET($CX$3,0,0,'Données projet'!$E$13+1,1))-AVERAGE(OFFSET($H$3,0,0,'Données projet'!$E$13+1,1))</f>
        <v>269.44168853803717</v>
      </c>
      <c r="CZ100" s="59">
        <f t="shared" si="96"/>
        <v>247.65158389074043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39.745837981115329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39.745837981115329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6">
        <f t="shared" si="56"/>
        <v>256.66666666666669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3.2</v>
      </c>
      <c r="N101" s="13">
        <f>IF('Données projet'!$A$36&gt;35,N100+M101-V100,IF(A101&lt;'Données projet'!$A$36,$K$205^A101,IF(A101='Données projet'!$A$36,'Données projet'!$B$36,N100+M101-V100)))</f>
        <v>266.59999999999985</v>
      </c>
      <c r="O101" s="13">
        <f>N101*VLOOKUP('Données projet'!$B$9,Paramètres!$A$1:$I$89,3,0)*VLOOKUP('Données projet'!$B$9,Paramètres!$A$1:$I$89,5,0)</f>
        <v>232.90175999999991</v>
      </c>
      <c r="P101" s="13">
        <f t="shared" si="87"/>
        <v>56.909651332233828</v>
      </c>
      <c r="Q101" s="20">
        <f t="shared" si="107"/>
        <v>504.7548747369737</v>
      </c>
      <c r="R101" s="59">
        <f t="shared" si="55"/>
        <v>798.08820807030702</v>
      </c>
      <c r="S101" s="59">
        <f ca="1">AVERAGE(OFFSET($R$3,0,0,'Données projet'!$E$9+1,1))-AVERAGE(OFFSET($H$3,0,0,'Données projet'!$E$9+1,1))</f>
        <v>381.72225529388083</v>
      </c>
      <c r="T101" s="59">
        <f t="shared" si="88"/>
        <v>360.05900046417361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60.948762969950849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60.948762969950849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304.99999999999994</v>
      </c>
      <c r="AJ101" s="13">
        <f>AI101*VLOOKUP('Données projet'!$B$10,Paramètres!$A$1:$I$89,3,0)*VLOOKUP('Données projet'!$B$10,Paramètres!$A$1:$I$89,5,0)</f>
        <v>275.96399999999994</v>
      </c>
      <c r="AK101" s="13">
        <f t="shared" si="89"/>
        <v>66.113366665488911</v>
      </c>
      <c r="AL101" s="20">
        <f t="shared" si="58"/>
        <v>595.7847469423931</v>
      </c>
      <c r="AM101" s="59">
        <f t="shared" si="59"/>
        <v>889.11808027572647</v>
      </c>
      <c r="AN101" s="59">
        <f ca="1">AVERAGE(OFFSET($AM$3,0,0,'Données projet'!$E$10+1,1))-AVERAGE(OFFSET($H$3,0,0,'Données projet'!$E$10+1,1))</f>
        <v>366.43676005661194</v>
      </c>
      <c r="AO101" s="59">
        <f t="shared" si="90"/>
        <v>513.80016421153414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2.17685709338084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2.17685709338084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0.8600000000003547</v>
      </c>
      <c r="BE101" s="13">
        <f>BD101*VLOOKUP('Données projet'!$B$11,Paramètres!$A$1:$I$89,3,0)*VLOOKUP('Données projet'!$B$11,Paramètres!$A$1:$I$89,5,0)</f>
        <v>0.38012000000015683</v>
      </c>
      <c r="BF101" s="13">
        <f t="shared" si="91"/>
        <v>0.19605142963512551</v>
      </c>
      <c r="BG101" s="20">
        <f t="shared" si="61"/>
        <v>1.0034985732814501</v>
      </c>
      <c r="BH101" s="59">
        <f t="shared" si="62"/>
        <v>294.33683190661475</v>
      </c>
      <c r="BI101" s="59">
        <f ca="1">AVERAGE(OFFSET($BH$3,0,0,'Données projet'!$E$11+1,1))-AVERAGE(OFFSET($H$3,0,0,'Données projet'!$E$11+1,1))</f>
        <v>328.58609979635901</v>
      </c>
      <c r="BJ101" s="59">
        <f t="shared" si="92"/>
        <v>432.3494365423407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125.4501315273351</v>
      </c>
      <c r="BQ101" s="21">
        <f>EXP(-LN(2)/25)*BQ100+(1-EXP(-LN(2)/25))/(LN(2)/25)*Calculateur!BL101*Calculateur!BN101*VLOOKUP('Données projet'!$B$11,Paramètres!$A$1:$I$89,3,0)*0.475*44/12</f>
        <v>6.0689386419993845</v>
      </c>
      <c r="BR101" s="21">
        <f>EXP(-LN(2)/2)*BR100+(1-EXP(-LN(2)/2))/(LN(2)/2)*BL101*BO101*VLOOKUP('Données projet'!$B$11,Paramètres!$A$1:$I$89,3,0)*0.475*44/12</f>
        <v>3.4054592344010551E-11</v>
      </c>
      <c r="BS101" s="22">
        <f t="shared" si="63"/>
        <v>131.51907016936855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9.9470000000000027</v>
      </c>
      <c r="BY101" s="12">
        <f>IF('Données projet'!$A$114&gt;35,BY100+BX101-CG100,IF(A101&lt;'Données projet'!$A$114,$BV$205^A101,IF(A101='Données projet'!$A$114,'Données projet'!$B$114,BY100+BX101-CG100)))</f>
        <v>454.85300000000018</v>
      </c>
      <c r="BZ101" s="13">
        <f>BY101*VLOOKUP('Données projet'!$B$12,Paramètres!$A$1:$I$89,3,0)*VLOOKUP('Données projet'!$B$12,Paramètres!$A$1:$I$89,5,0)</f>
        <v>432.8381148000002</v>
      </c>
      <c r="CA101" s="13">
        <f t="shared" si="93"/>
        <v>98.403211842611611</v>
      </c>
      <c r="CB101" s="20">
        <f t="shared" si="64"/>
        <v>925.24531056921569</v>
      </c>
      <c r="CC101" s="59">
        <f t="shared" si="65"/>
        <v>1218.5786439025489</v>
      </c>
      <c r="CD101" s="59">
        <f ca="1">AVERAGE(OFFSET($CC$3,0,0,'Données projet'!$E$12+1,1))-AVERAGE(OFFSET($H$3,0,0,'Données projet'!$E$12+1,1))</f>
        <v>555.3092253965317</v>
      </c>
      <c r="CE101" s="59">
        <f t="shared" si="94"/>
        <v>292.20785523952651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106.82607557060084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106.82607557060084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3</v>
      </c>
      <c r="CT101" s="12">
        <f>IF('Données projet'!$A$140&gt;35,CT100+CS101-DB100,IF(A101&lt;'Données projet'!$A$140,$CQ$205^A101,IF(A101='Données projet'!$A$140,'Données projet'!$B$140,CT100+CS101-DB100)))</f>
        <v>249</v>
      </c>
      <c r="CU101" s="17">
        <f>CT101*VLOOKUP('Données projet'!$B$13,Paramètres!$A$1:$I$89,3,0)*VLOOKUP('Données projet'!$B$13,Paramètres!$A$1:$I$89,5,0)</f>
        <v>159.26039999999998</v>
      </c>
      <c r="CV101" s="13">
        <f t="shared" si="95"/>
        <v>40.675651605645328</v>
      </c>
      <c r="CW101" s="20">
        <f t="shared" si="67"/>
        <v>348.22195654649892</v>
      </c>
      <c r="CX101" s="59">
        <f t="shared" si="68"/>
        <v>641.55528987983223</v>
      </c>
      <c r="CY101" s="59">
        <f ca="1">AVERAGE(OFFSET($CX$3,0,0,'Données projet'!$E$13+1,1))-AVERAGE(OFFSET($H$3,0,0,'Données projet'!$E$13+1,1))</f>
        <v>269.44168853803717</v>
      </c>
      <c r="CZ101" s="59">
        <f t="shared" si="96"/>
        <v>247.65158389074043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38.96644634087307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38.96644634087307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6">
        <f t="shared" si="56"/>
        <v>256.66666666666669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3.2</v>
      </c>
      <c r="N102" s="13">
        <f>IF('Données projet'!$A$36&gt;35,N101+M102-V101,IF(A102&lt;'Données projet'!$A$36,$K$205^A102,IF(A102='Données projet'!$A$36,'Données projet'!$B$36,N101+M102-V101)))</f>
        <v>269.79999999999984</v>
      </c>
      <c r="O102" s="13">
        <f>N102*VLOOKUP('Données projet'!$B$9,Paramètres!$A$1:$I$89,3,0)*VLOOKUP('Données projet'!$B$9,Paramètres!$A$1:$I$89,5,0)</f>
        <v>235.69727999999992</v>
      </c>
      <c r="P102" s="13">
        <f t="shared" si="87"/>
        <v>57.512806870145788</v>
      </c>
      <c r="Q102" s="20">
        <f t="shared" si="107"/>
        <v>510.67423463217045</v>
      </c>
      <c r="R102" s="59">
        <f t="shared" si="55"/>
        <v>804.00756796550377</v>
      </c>
      <c r="S102" s="59">
        <f ca="1">AVERAGE(OFFSET($R$3,0,0,'Données projet'!$E$9+1,1))-AVERAGE(OFFSET($H$3,0,0,'Données projet'!$E$9+1,1))</f>
        <v>381.72225529388083</v>
      </c>
      <c r="T102" s="59">
        <f t="shared" si="88"/>
        <v>360.05900046417361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59.753594903184791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59.753594903184791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304.99999999999994</v>
      </c>
      <c r="AJ102" s="13">
        <f>AI102*VLOOKUP('Données projet'!$B$10,Paramètres!$A$1:$I$89,3,0)*VLOOKUP('Données projet'!$B$10,Paramètres!$A$1:$I$89,5,0)</f>
        <v>275.96399999999994</v>
      </c>
      <c r="AK102" s="13">
        <f t="shared" si="89"/>
        <v>66.113366665488911</v>
      </c>
      <c r="AL102" s="20">
        <f t="shared" si="58"/>
        <v>595.7847469423931</v>
      </c>
      <c r="AM102" s="59">
        <f t="shared" si="59"/>
        <v>889.11808027572647</v>
      </c>
      <c r="AN102" s="59">
        <f ca="1">AVERAGE(OFFSET($AM$3,0,0,'Données projet'!$E$10+1,1))-AVERAGE(OFFSET($H$3,0,0,'Données projet'!$E$10+1,1))</f>
        <v>366.43676005661194</v>
      </c>
      <c r="AO102" s="59">
        <f t="shared" si="90"/>
        <v>513.80016421153414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2.134170253531364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2.134170253531364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0.8600000000003547</v>
      </c>
      <c r="BE102" s="13">
        <f>BD102*VLOOKUP('Données projet'!$B$11,Paramètres!$A$1:$I$89,3,0)*VLOOKUP('Données projet'!$B$11,Paramètres!$A$1:$I$89,5,0)</f>
        <v>0.38012000000015683</v>
      </c>
      <c r="BF102" s="13">
        <f t="shared" si="91"/>
        <v>0.19605142963512551</v>
      </c>
      <c r="BG102" s="20">
        <f t="shared" si="61"/>
        <v>1.0034985732814501</v>
      </c>
      <c r="BH102" s="59">
        <f t="shared" si="62"/>
        <v>294.33683190661475</v>
      </c>
      <c r="BI102" s="59">
        <f ca="1">AVERAGE(OFFSET($BH$3,0,0,'Données projet'!$E$11+1,1))-AVERAGE(OFFSET($H$3,0,0,'Données projet'!$E$11+1,1))</f>
        <v>328.58609979635901</v>
      </c>
      <c r="BJ102" s="59">
        <f t="shared" si="92"/>
        <v>432.3494365423407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122.99013096510886</v>
      </c>
      <c r="BQ102" s="21">
        <f>EXP(-LN(2)/25)*BQ101+(1-EXP(-LN(2)/25))/(LN(2)/25)*Calculateur!BL102*Calculateur!BN102*VLOOKUP('Données projet'!$B$11,Paramètres!$A$1:$I$89,3,0)*0.475*44/12</f>
        <v>5.9029831956822987</v>
      </c>
      <c r="BR102" s="21">
        <f>EXP(-LN(2)/2)*BR101+(1-EXP(-LN(2)/2))/(LN(2)/2)*BL102*BO102*VLOOKUP('Données projet'!$B$11,Paramètres!$A$1:$I$89,3,0)*0.475*44/12</f>
        <v>2.4080233176993346E-11</v>
      </c>
      <c r="BS102" s="22">
        <f t="shared" si="63"/>
        <v>128.89311416081523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>
        <f>VLOOKUP(A102,'Données projet'!$A$113:$I$133,2,0)</f>
        <v>464.8</v>
      </c>
      <c r="BW102" s="12">
        <f>VLOOKUP(A102,'Données projet'!$A$113:$I$133,9,0)</f>
        <v>9.9470000000000027</v>
      </c>
      <c r="BX102" s="12">
        <f t="array" ref="BX102">INDEX(BW:BW,MIN(IF(ISNUMBER(BW102:BW298),ROW(BW102:BW298),"")))</f>
        <v>9.9470000000000027</v>
      </c>
      <c r="BY102" s="12">
        <f>IF('Données projet'!$A$114&gt;35,BY101+BX102-CG101,IF(A102&lt;'Données projet'!$A$114,$BV$205^A102,IF(A102='Données projet'!$A$114,'Données projet'!$B$114,BY101+BX102-CG101)))</f>
        <v>464.80000000000018</v>
      </c>
      <c r="BZ102" s="13">
        <f>BY102*VLOOKUP('Données projet'!$B$12,Paramètres!$A$1:$I$89,3,0)*VLOOKUP('Données projet'!$B$12,Paramètres!$A$1:$I$89,5,0)</f>
        <v>442.30368000000016</v>
      </c>
      <c r="CA102" s="13">
        <f t="shared" si="93"/>
        <v>100.30226615929689</v>
      </c>
      <c r="CB102" s="20">
        <f t="shared" si="64"/>
        <v>945.03868956077565</v>
      </c>
      <c r="CC102" s="59">
        <f t="shared" si="65"/>
        <v>1238.372022894109</v>
      </c>
      <c r="CD102" s="59">
        <f ca="1">AVERAGE(OFFSET($CC$3,0,0,'Données projet'!$E$12+1,1))-AVERAGE(OFFSET($H$3,0,0,'Données projet'!$E$12+1,1))</f>
        <v>555.3092253965317</v>
      </c>
      <c r="CE102" s="59">
        <f t="shared" si="94"/>
        <v>292.20785523952651</v>
      </c>
      <c r="CF102" s="15">
        <f>IF(ISNA(VLOOKUP(A102,'Données projet'!$A$113:$I$133,3,0)),0,VLOOKUP(A102,'Données projet'!$A$113:$I$133,3,0))</f>
        <v>9</v>
      </c>
      <c r="CG102" s="15">
        <f>IF(ISNA(VLOOKUP(A102,'Données projet'!$A$113:$I$133,4,0)),0,VLOOKUP(A102,'Données projet'!$A$113:$I$133,4,0))</f>
        <v>62.94</v>
      </c>
      <c r="CH102" s="16">
        <f>IF(ISNA(VLOOKUP(A102,'Données projet'!$A$113:$I$133,5,0)),0%,VLOOKUP(A102,'Données projet'!$A$113:$I$133,5,0)*VLOOKUP('Données projet'!$B$12,Paramètres!$A$1:$I$89,7,0))</f>
        <v>0.43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133.20188913391479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133.20188913391479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3</v>
      </c>
      <c r="CT102" s="12">
        <f>IF('Données projet'!$A$140&gt;35,CT101+CS102-DB101,IF(A102&lt;'Données projet'!$A$140,$CQ$205^A102,IF(A102='Données projet'!$A$140,'Données projet'!$B$140,CT101+CS102-DB101)))</f>
        <v>252</v>
      </c>
      <c r="CU102" s="17">
        <f>CT102*VLOOKUP('Données projet'!$B$13,Paramètres!$A$1:$I$89,3,0)*VLOOKUP('Données projet'!$B$13,Paramètres!$A$1:$I$89,5,0)</f>
        <v>161.17920000000001</v>
      </c>
      <c r="CV102" s="13">
        <f t="shared" si="95"/>
        <v>41.108373485541968</v>
      </c>
      <c r="CW102" s="20">
        <f t="shared" si="67"/>
        <v>352.31752382065224</v>
      </c>
      <c r="CX102" s="59">
        <f t="shared" si="68"/>
        <v>645.6508571539855</v>
      </c>
      <c r="CY102" s="59">
        <f ca="1">AVERAGE(OFFSET($CX$3,0,0,'Données projet'!$E$13+1,1))-AVERAGE(OFFSET($H$3,0,0,'Données projet'!$E$13+1,1))</f>
        <v>269.44168853803717</v>
      </c>
      <c r="CZ102" s="59">
        <f t="shared" si="96"/>
        <v>247.65158389074043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38.202338095314005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38.202338095314005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6">
        <f t="shared" si="56"/>
        <v>256.66666666666669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273</v>
      </c>
      <c r="L103" s="12">
        <f>VLOOKUP(A103,'Données projet'!$A$35:$I$55,9,0)</f>
        <v>3.2</v>
      </c>
      <c r="M103" s="12">
        <f t="array" ref="M103">INDEX(L:L,MIN(IF(ISNUMBER(L103:L299),ROW(L103:L299),"")))</f>
        <v>3.2</v>
      </c>
      <c r="N103" s="13">
        <f>IF('Données projet'!$A$36&gt;35,N102+M103-V102,IF(A103&lt;'Données projet'!$A$36,$K$205^A103,IF(A103='Données projet'!$A$36,'Données projet'!$B$36,N102+M103-V102)))</f>
        <v>272.99999999999983</v>
      </c>
      <c r="O103" s="13">
        <f>N103*VLOOKUP('Données projet'!$B$9,Paramètres!$A$1:$I$89,3,0)*VLOOKUP('Données projet'!$B$9,Paramètres!$A$1:$I$89,5,0)</f>
        <v>238.49279999999987</v>
      </c>
      <c r="P103" s="13">
        <f t="shared" si="87"/>
        <v>58.115130258576542</v>
      </c>
      <c r="Q103" s="20">
        <f t="shared" si="107"/>
        <v>516.59214520035391</v>
      </c>
      <c r="R103" s="59">
        <f t="shared" si="55"/>
        <v>809.92547853368728</v>
      </c>
      <c r="S103" s="59">
        <f ca="1">AVERAGE(OFFSET($R$3,0,0,'Données projet'!$E$9+1,1))-AVERAGE(OFFSET($H$3,0,0,'Données projet'!$E$9+1,1))</f>
        <v>381.72225529388083</v>
      </c>
      <c r="T103" s="59">
        <f t="shared" si="88"/>
        <v>360.05900046417361</v>
      </c>
      <c r="U103" s="15">
        <f>IF(ISNA(VLOOKUP(A103,'Données projet'!$A$35:$I$55,3,0)),0,VLOOKUP(A103,'Données projet'!$A$35:$I$55,3,0))</f>
        <v>18</v>
      </c>
      <c r="V103" s="15">
        <f>IF(ISNA(VLOOKUP(A103,'Données projet'!$A$35:$I$55,4,0)),0,VLOOKUP(A103,'Données projet'!$A$35:$I$55,4,0))</f>
        <v>13</v>
      </c>
      <c r="W103" s="16">
        <f>IF(ISNA(VLOOKUP(A103,'Données projet'!$A$35:$I$55,5,0)),0%,VLOOKUP(A103,'Données projet'!$A$35:$I$55,5,0)*VLOOKUP('Données projet'!$B$9,Paramètres!$A$1:$I$89,7,0))</f>
        <v>0.43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63.980343935927792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63.980343935927792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304.99999999999994</v>
      </c>
      <c r="AJ103" s="13">
        <f>AI103*VLOOKUP('Données projet'!$B$10,Paramètres!$A$1:$I$89,3,0)*VLOOKUP('Données projet'!$B$10,Paramètres!$A$1:$I$89,5,0)</f>
        <v>275.96399999999994</v>
      </c>
      <c r="AK103" s="13">
        <f t="shared" si="89"/>
        <v>66.113366665488911</v>
      </c>
      <c r="AL103" s="20">
        <f t="shared" si="58"/>
        <v>595.7847469423931</v>
      </c>
      <c r="AM103" s="59">
        <f t="shared" si="59"/>
        <v>889.11808027572647</v>
      </c>
      <c r="AN103" s="59">
        <f ca="1">AVERAGE(OFFSET($AM$3,0,0,'Données projet'!$E$10+1,1))-AVERAGE(OFFSET($H$3,0,0,'Données projet'!$E$10+1,1))</f>
        <v>366.43676005661194</v>
      </c>
      <c r="AO103" s="59">
        <f t="shared" si="90"/>
        <v>513.80016421153414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2.092320476574935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2.092320476574935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0.8600000000003547</v>
      </c>
      <c r="BE103" s="13">
        <f>BD103*VLOOKUP('Données projet'!$B$11,Paramètres!$A$1:$I$89,3,0)*VLOOKUP('Données projet'!$B$11,Paramètres!$A$1:$I$89,5,0)</f>
        <v>0.38012000000015683</v>
      </c>
      <c r="BF103" s="13">
        <f t="shared" si="91"/>
        <v>0.19605142963512551</v>
      </c>
      <c r="BG103" s="20">
        <f t="shared" si="61"/>
        <v>1.0034985732814501</v>
      </c>
      <c r="BH103" s="59">
        <f t="shared" si="62"/>
        <v>294.33683190661475</v>
      </c>
      <c r="BI103" s="59">
        <f ca="1">AVERAGE(OFFSET($BH$3,0,0,'Données projet'!$E$11+1,1))-AVERAGE(OFFSET($H$3,0,0,'Données projet'!$E$11+1,1))</f>
        <v>328.58609979635901</v>
      </c>
      <c r="BJ103" s="59">
        <f t="shared" si="92"/>
        <v>432.3494365423407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120.5783695134557</v>
      </c>
      <c r="BQ103" s="21">
        <f>EXP(-LN(2)/25)*BQ102+(1-EXP(-LN(2)/25))/(LN(2)/25)*Calculateur!BL103*Calculateur!BN103*VLOOKUP('Données projet'!$B$11,Paramètres!$A$1:$I$89,3,0)*0.475*44/12</f>
        <v>5.7415658097719717</v>
      </c>
      <c r="BR103" s="21">
        <f>EXP(-LN(2)/2)*BR102+(1-EXP(-LN(2)/2))/(LN(2)/2)*BL103*BO103*VLOOKUP('Données projet'!$B$11,Paramètres!$A$1:$I$89,3,0)*0.475*44/12</f>
        <v>1.7027296172005276E-11</v>
      </c>
      <c r="BS103" s="22">
        <f t="shared" si="63"/>
        <v>126.31993532324469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9.7110000000000021</v>
      </c>
      <c r="BY103" s="12">
        <f>IF('Données projet'!$A$114&gt;35,BY102+BX103-CG102,IF(A103&lt;'Données projet'!$A$114,$BV$205^A103,IF(A103='Données projet'!$A$114,'Données projet'!$B$114,BY102+BX103-CG102)))</f>
        <v>411.5710000000002</v>
      </c>
      <c r="BZ103" s="13">
        <f>BY103*VLOOKUP('Données projet'!$B$12,Paramètres!$A$1:$I$89,3,0)*VLOOKUP('Données projet'!$B$12,Paramètres!$A$1:$I$89,5,0)</f>
        <v>391.65096360000018</v>
      </c>
      <c r="CA103" s="13">
        <f t="shared" si="93"/>
        <v>90.081953877778645</v>
      </c>
      <c r="CB103" s="20">
        <f t="shared" si="64"/>
        <v>839.01816460713133</v>
      </c>
      <c r="CC103" s="59">
        <f t="shared" si="65"/>
        <v>1132.3514979404647</v>
      </c>
      <c r="CD103" s="59">
        <f ca="1">AVERAGE(OFFSET($CC$3,0,0,'Données projet'!$E$12+1,1))-AVERAGE(OFFSET($H$3,0,0,'Données projet'!$E$12+1,1))</f>
        <v>555.3092253965317</v>
      </c>
      <c r="CE103" s="59">
        <f t="shared" si="94"/>
        <v>292.20785523952651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130.5898813331288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130.5898813331288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>
        <f>VLOOKUP(A103,'Données projet'!$A$139:$I$159,2,0)</f>
        <v>255</v>
      </c>
      <c r="CR103" s="12">
        <f>VLOOKUP(A103,'Données projet'!$A$139:$I$159,9,0)</f>
        <v>3</v>
      </c>
      <c r="CS103" s="12">
        <f t="array" ref="CS103">INDEX(CR:CR,MIN(IF(ISNUMBER(CR103:CR299),ROW(CR103:CR299),"")))</f>
        <v>3</v>
      </c>
      <c r="CT103" s="12">
        <f>IF('Données projet'!$A$140&gt;35,CT102+CS103-DB102,IF(A103&lt;'Données projet'!$A$140,$CQ$205^A103,IF(A103='Données projet'!$A$140,'Données projet'!$B$140,CT102+CS103-DB102)))</f>
        <v>255</v>
      </c>
      <c r="CU103" s="17">
        <f>CT103*VLOOKUP('Données projet'!$B$13,Paramètres!$A$1:$I$89,3,0)*VLOOKUP('Données projet'!$B$13,Paramètres!$A$1:$I$89,5,0)</f>
        <v>163.09800000000001</v>
      </c>
      <c r="CV103" s="13">
        <f t="shared" si="95"/>
        <v>41.540496136845142</v>
      </c>
      <c r="CW103" s="20">
        <f t="shared" si="67"/>
        <v>356.41204743833867</v>
      </c>
      <c r="CX103" s="59">
        <f t="shared" si="68"/>
        <v>649.74538077167199</v>
      </c>
      <c r="CY103" s="59">
        <f ca="1">AVERAGE(OFFSET($CX$3,0,0,'Données projet'!$E$13+1,1))-AVERAGE(OFFSET($H$3,0,0,'Données projet'!$E$13+1,1))</f>
        <v>269.44168853803717</v>
      </c>
      <c r="CZ103" s="59">
        <f t="shared" si="96"/>
        <v>247.65158389074043</v>
      </c>
      <c r="DA103" s="15">
        <f>IF(ISNA(VLOOKUP(A103,'Données projet'!$A$139:$I$159,3,0)),0,VLOOKUP(A103,'Données projet'!$A$139:$I$159,3,0))</f>
        <v>17</v>
      </c>
      <c r="DB103" s="15">
        <f>IF(ISNA(VLOOKUP(A103,'Données projet'!$A$139:$I$159,4,0)),0,VLOOKUP(A103,'Données projet'!$A$139:$I$159,4,0))</f>
        <v>12</v>
      </c>
      <c r="DC103" s="16">
        <f>IF(ISNA(VLOOKUP(A103,'Données projet'!$A$139:$I$159,5,0)),0%,VLOOKUP(A103,'Données projet'!$A$139:$I$159,5,0)*VLOOKUP('Données projet'!$B$13,Paramètres!$A$1:$I$89,7,0))</f>
        <v>0.43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41.101637236896593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41.101637236896593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6">
        <f t="shared" si="56"/>
        <v>256.66666666666669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259.99999999999983</v>
      </c>
      <c r="O104" s="13">
        <f>N104*VLOOKUP('Données projet'!$B$9,Paramètres!$A$1:$I$89,3,0)*VLOOKUP('Données projet'!$B$9,Paramètres!$A$1:$I$89,5,0)</f>
        <v>227.13599999999985</v>
      </c>
      <c r="P104" s="13">
        <f t="shared" si="87"/>
        <v>55.662966886685133</v>
      </c>
      <c r="Q104" s="20">
        <f t="shared" si="107"/>
        <v>492.5415339943097</v>
      </c>
      <c r="R104" s="59">
        <f t="shared" si="55"/>
        <v>785.87486732764296</v>
      </c>
      <c r="S104" s="59">
        <f ca="1">AVERAGE(OFFSET($R$3,0,0,'Données projet'!$E$9+1,1))-AVERAGE(OFFSET($H$3,0,0,'Données projet'!$E$9+1,1))</f>
        <v>381.72225529388083</v>
      </c>
      <c r="T104" s="59">
        <f t="shared" si="88"/>
        <v>360.05900046417361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62.725728415500733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62.725728415500733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304.99999999999994</v>
      </c>
      <c r="AJ104" s="13">
        <f>AI104*VLOOKUP('Données projet'!$B$10,Paramètres!$A$1:$I$89,3,0)*VLOOKUP('Données projet'!$B$10,Paramètres!$A$1:$I$89,5,0)</f>
        <v>275.96399999999994</v>
      </c>
      <c r="AK104" s="13">
        <f t="shared" si="89"/>
        <v>66.113366665488911</v>
      </c>
      <c r="AL104" s="20">
        <f t="shared" si="58"/>
        <v>595.7847469423931</v>
      </c>
      <c r="AM104" s="59">
        <f t="shared" si="59"/>
        <v>889.11808027572647</v>
      </c>
      <c r="AN104" s="59">
        <f ca="1">AVERAGE(OFFSET($AM$3,0,0,'Données projet'!$E$10+1,1))-AVERAGE(OFFSET($H$3,0,0,'Données projet'!$E$10+1,1))</f>
        <v>366.43676005661194</v>
      </c>
      <c r="AO104" s="59">
        <f t="shared" si="90"/>
        <v>513.80016421153414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2.0512913482187782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2.0512913482187782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0.8600000000003547</v>
      </c>
      <c r="BE104" s="13">
        <f>BD104*VLOOKUP('Données projet'!$B$11,Paramètres!$A$1:$I$89,3,0)*VLOOKUP('Données projet'!$B$11,Paramètres!$A$1:$I$89,5,0)</f>
        <v>0.38012000000015683</v>
      </c>
      <c r="BF104" s="13">
        <f t="shared" si="91"/>
        <v>0.19605142963512551</v>
      </c>
      <c r="BG104" s="20">
        <f t="shared" si="61"/>
        <v>1.0034985732814501</v>
      </c>
      <c r="BH104" s="59">
        <f t="shared" si="62"/>
        <v>294.33683190661475</v>
      </c>
      <c r="BI104" s="59">
        <f ca="1">AVERAGE(OFFSET($BH$3,0,0,'Données projet'!$E$11+1,1))-AVERAGE(OFFSET($H$3,0,0,'Données projet'!$E$11+1,1))</f>
        <v>328.58609979635901</v>
      </c>
      <c r="BJ104" s="59">
        <f t="shared" si="92"/>
        <v>432.3494365423407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118.21390123284021</v>
      </c>
      <c r="BQ104" s="21">
        <f>EXP(-LN(2)/25)*BQ103+(1-EXP(-LN(2)/25))/(LN(2)/25)*Calculateur!BL104*Calculateur!BN104*VLOOKUP('Données projet'!$B$11,Paramètres!$A$1:$I$89,3,0)*0.475*44/12</f>
        <v>5.5845623907679336</v>
      </c>
      <c r="BR104" s="21">
        <f>EXP(-LN(2)/2)*BR103+(1-EXP(-LN(2)/2))/(LN(2)/2)*BL104*BO104*VLOOKUP('Données projet'!$B$11,Paramètres!$A$1:$I$89,3,0)*0.475*44/12</f>
        <v>1.2040116588496673E-11</v>
      </c>
      <c r="BS104" s="22">
        <f t="shared" si="63"/>
        <v>123.79846362362018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9.7110000000000021</v>
      </c>
      <c r="BY104" s="12">
        <f>IF('Données projet'!$A$114&gt;35,BY103+BX104-CG103,IF(A104&lt;'Données projet'!$A$114,$BV$205^A104,IF(A104='Données projet'!$A$114,'Données projet'!$B$114,BY103+BX104-CG103)))</f>
        <v>421.28200000000021</v>
      </c>
      <c r="BZ104" s="13">
        <f>BY104*VLOOKUP('Données projet'!$B$12,Paramètres!$A$1:$I$89,3,0)*VLOOKUP('Données projet'!$B$12,Paramètres!$A$1:$I$89,5,0)</f>
        <v>400.89195120000022</v>
      </c>
      <c r="CA104" s="13">
        <f t="shared" si="93"/>
        <v>91.957471190301248</v>
      </c>
      <c r="CB104" s="20">
        <f t="shared" si="64"/>
        <v>858.37941066310839</v>
      </c>
      <c r="CC104" s="59">
        <f t="shared" si="65"/>
        <v>1151.7127439964418</v>
      </c>
      <c r="CD104" s="59">
        <f ca="1">AVERAGE(OFFSET($CC$3,0,0,'Données projet'!$E$12+1,1))-AVERAGE(OFFSET($H$3,0,0,'Données projet'!$E$12+1,1))</f>
        <v>555.3092253965317</v>
      </c>
      <c r="CE104" s="59">
        <f t="shared" si="94"/>
        <v>292.20785523952651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128.02909341214877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128.02909341214877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243</v>
      </c>
      <c r="CU104" s="17">
        <f>CT104*VLOOKUP('Données projet'!$B$13,Paramètres!$A$1:$I$89,3,0)*VLOOKUP('Données projet'!$B$13,Paramètres!$A$1:$I$89,5,0)</f>
        <v>155.4228</v>
      </c>
      <c r="CV104" s="13">
        <f t="shared" si="95"/>
        <v>39.808377687614154</v>
      </c>
      <c r="CW104" s="20">
        <f t="shared" si="67"/>
        <v>340.02763447259463</v>
      </c>
      <c r="CX104" s="59">
        <f t="shared" si="68"/>
        <v>633.36096780592788</v>
      </c>
      <c r="CY104" s="59">
        <f ca="1">AVERAGE(OFFSET($CX$3,0,0,'Données projet'!$E$13+1,1))-AVERAGE(OFFSET($H$3,0,0,'Données projet'!$E$13+1,1))</f>
        <v>269.44168853803717</v>
      </c>
      <c r="CZ104" s="59">
        <f t="shared" si="96"/>
        <v>247.65158389074043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40.295659200204355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40.295659200204355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6">
        <f t="shared" si="56"/>
        <v>256.66666666666669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259.99999999999983</v>
      </c>
      <c r="O105" s="13">
        <f>N105*VLOOKUP('Données projet'!$B$9,Paramètres!$A$1:$I$89,3,0)*VLOOKUP('Données projet'!$B$9,Paramètres!$A$1:$I$89,5,0)</f>
        <v>227.13599999999985</v>
      </c>
      <c r="P105" s="13">
        <f t="shared" si="87"/>
        <v>55.662966886685133</v>
      </c>
      <c r="Q105" s="20">
        <f t="shared" si="107"/>
        <v>492.5415339943097</v>
      </c>
      <c r="R105" s="59">
        <f t="shared" si="55"/>
        <v>785.87486732764296</v>
      </c>
      <c r="S105" s="59">
        <f ca="1">AVERAGE(OFFSET($R$3,0,0,'Données projet'!$E$9+1,1))-AVERAGE(OFFSET($H$3,0,0,'Données projet'!$E$9+1,1))</f>
        <v>381.72225529388083</v>
      </c>
      <c r="T105" s="59">
        <f t="shared" si="88"/>
        <v>360.05900046417361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61.49571514018934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61.49571514018934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304.99999999999994</v>
      </c>
      <c r="AJ105" s="13">
        <f>AI105*VLOOKUP('Données projet'!$B$10,Paramètres!$A$1:$I$89,3,0)*VLOOKUP('Données projet'!$B$10,Paramètres!$A$1:$I$89,5,0)</f>
        <v>275.96399999999994</v>
      </c>
      <c r="AK105" s="13">
        <f t="shared" si="89"/>
        <v>66.113366665488911</v>
      </c>
      <c r="AL105" s="20">
        <f t="shared" si="58"/>
        <v>595.7847469423931</v>
      </c>
      <c r="AM105" s="59">
        <f t="shared" si="59"/>
        <v>889.11808027572647</v>
      </c>
      <c r="AN105" s="59">
        <f ca="1">AVERAGE(OFFSET($AM$3,0,0,'Données projet'!$E$10+1,1))-AVERAGE(OFFSET($H$3,0,0,'Données projet'!$E$10+1,1))</f>
        <v>366.43676005661194</v>
      </c>
      <c r="AO105" s="59">
        <f t="shared" si="90"/>
        <v>513.80016421153414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2.0110667760443883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2.0110667760443883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0.8600000000003547</v>
      </c>
      <c r="BE105" s="13">
        <f>BD105*VLOOKUP('Données projet'!$B$11,Paramètres!$A$1:$I$89,3,0)*VLOOKUP('Données projet'!$B$11,Paramètres!$A$1:$I$89,5,0)</f>
        <v>0.38012000000015683</v>
      </c>
      <c r="BF105" s="13">
        <f t="shared" si="91"/>
        <v>0.19605142963512551</v>
      </c>
      <c r="BG105" s="20">
        <f t="shared" si="61"/>
        <v>1.0034985732814501</v>
      </c>
      <c r="BH105" s="59">
        <f t="shared" si="62"/>
        <v>294.33683190661475</v>
      </c>
      <c r="BI105" s="59">
        <f ca="1">AVERAGE(OFFSET($BH$3,0,0,'Données projet'!$E$11+1,1))-AVERAGE(OFFSET($H$3,0,0,'Données projet'!$E$11+1,1))</f>
        <v>328.58609979635901</v>
      </c>
      <c r="BJ105" s="59">
        <f t="shared" si="92"/>
        <v>432.3494365423407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115.89579873302435</v>
      </c>
      <c r="BQ105" s="21">
        <f>EXP(-LN(2)/25)*BQ104+(1-EXP(-LN(2)/25))/(LN(2)/25)*Calculateur!BL105*Calculateur!BN105*VLOOKUP('Données projet'!$B$11,Paramètres!$A$1:$I$89,3,0)*0.475*44/12</f>
        <v>5.4318522385130121</v>
      </c>
      <c r="BR105" s="21">
        <f>EXP(-LN(2)/2)*BR104+(1-EXP(-LN(2)/2))/(LN(2)/2)*BL105*BO105*VLOOKUP('Données projet'!$B$11,Paramètres!$A$1:$I$89,3,0)*0.475*44/12</f>
        <v>8.5136480860026378E-12</v>
      </c>
      <c r="BS105" s="22">
        <f t="shared" si="63"/>
        <v>121.32765097154588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9.7110000000000021</v>
      </c>
      <c r="BY105" s="12">
        <f>IF('Données projet'!$A$114&gt;35,BY104+BX105-CG104,IF(A105&lt;'Données projet'!$A$114,$BV$205^A105,IF(A105='Données projet'!$A$114,'Données projet'!$B$114,BY104+BX105-CG104)))</f>
        <v>430.99300000000022</v>
      </c>
      <c r="BZ105" s="13">
        <f>BY105*VLOOKUP('Données projet'!$B$12,Paramètres!$A$1:$I$89,3,0)*VLOOKUP('Données projet'!$B$12,Paramètres!$A$1:$I$89,5,0)</f>
        <v>410.1329388000002</v>
      </c>
      <c r="CA105" s="13">
        <f t="shared" si="93"/>
        <v>93.827962493931295</v>
      </c>
      <c r="CB105" s="20">
        <f t="shared" si="64"/>
        <v>877.73190308693063</v>
      </c>
      <c r="CC105" s="59">
        <f t="shared" si="65"/>
        <v>1171.065236420264</v>
      </c>
      <c r="CD105" s="59">
        <f ca="1">AVERAGE(OFFSET($CC$3,0,0,'Données projet'!$E$12+1,1))-AVERAGE(OFFSET($H$3,0,0,'Données projet'!$E$12+1,1))</f>
        <v>555.3092253965317</v>
      </c>
      <c r="CE105" s="59">
        <f t="shared" si="94"/>
        <v>292.20785523952651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125.51852098037276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125.51852098037276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243</v>
      </c>
      <c r="CU105" s="17">
        <f>CT105*VLOOKUP('Données projet'!$B$13,Paramètres!$A$1:$I$89,3,0)*VLOOKUP('Données projet'!$B$13,Paramètres!$A$1:$I$89,5,0)</f>
        <v>155.4228</v>
      </c>
      <c r="CV105" s="13">
        <f t="shared" si="95"/>
        <v>39.808377687614154</v>
      </c>
      <c r="CW105" s="20">
        <f t="shared" si="67"/>
        <v>340.02763447259463</v>
      </c>
      <c r="CX105" s="59">
        <f t="shared" si="68"/>
        <v>633.36096780592788</v>
      </c>
      <c r="CY105" s="59">
        <f ca="1">AVERAGE(OFFSET($CX$3,0,0,'Données projet'!$E$13+1,1))-AVERAGE(OFFSET($H$3,0,0,'Données projet'!$E$13+1,1))</f>
        <v>269.44168853803717</v>
      </c>
      <c r="CZ105" s="59">
        <f t="shared" si="96"/>
        <v>247.65158389074043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39.505485901213589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39.505485901213589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6">
        <f t="shared" si="56"/>
        <v>256.66666666666669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259.99999999999983</v>
      </c>
      <c r="O106" s="13">
        <f>N106*VLOOKUP('Données projet'!$B$9,Paramètres!$A$1:$I$89,3,0)*VLOOKUP('Données projet'!$B$9,Paramètres!$A$1:$I$89,5,0)</f>
        <v>227.13599999999985</v>
      </c>
      <c r="P106" s="13">
        <f t="shared" si="87"/>
        <v>55.662966886685133</v>
      </c>
      <c r="Q106" s="20">
        <f t="shared" si="107"/>
        <v>492.5415339943097</v>
      </c>
      <c r="R106" s="59">
        <f t="shared" si="55"/>
        <v>785.87486732764296</v>
      </c>
      <c r="S106" s="59">
        <f ca="1">AVERAGE(OFFSET($R$3,0,0,'Données projet'!$E$9+1,1))-AVERAGE(OFFSET($H$3,0,0,'Données projet'!$E$9+1,1))</f>
        <v>381.72225529388083</v>
      </c>
      <c r="T106" s="59">
        <f t="shared" si="88"/>
        <v>360.05900046417361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60.289821674972785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60.289821674972785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304.99999999999994</v>
      </c>
      <c r="AJ106" s="13">
        <f>AI106*VLOOKUP('Données projet'!$B$10,Paramètres!$A$1:$I$89,3,0)*VLOOKUP('Données projet'!$B$10,Paramètres!$A$1:$I$89,5,0)</f>
        <v>275.96399999999994</v>
      </c>
      <c r="AK106" s="13">
        <f t="shared" si="89"/>
        <v>66.113366665488911</v>
      </c>
      <c r="AL106" s="20">
        <f t="shared" si="58"/>
        <v>595.7847469423931</v>
      </c>
      <c r="AM106" s="59">
        <f t="shared" si="59"/>
        <v>889.11808027572647</v>
      </c>
      <c r="AN106" s="59">
        <f ca="1">AVERAGE(OFFSET($AM$3,0,0,'Données projet'!$E$10+1,1))-AVERAGE(OFFSET($H$3,0,0,'Données projet'!$E$10+1,1))</f>
        <v>366.43676005661194</v>
      </c>
      <c r="AO106" s="59">
        <f t="shared" si="90"/>
        <v>513.80016421153414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1.9716309831957717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1.9716309831957717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0.8600000000003547</v>
      </c>
      <c r="BE106" s="13">
        <f>BD106*VLOOKUP('Données projet'!$B$11,Paramètres!$A$1:$I$89,3,0)*VLOOKUP('Données projet'!$B$11,Paramètres!$A$1:$I$89,5,0)</f>
        <v>0.38012000000015683</v>
      </c>
      <c r="BF106" s="13">
        <f t="shared" si="91"/>
        <v>0.19605142963512551</v>
      </c>
      <c r="BG106" s="20">
        <f t="shared" si="61"/>
        <v>1.0034985732814501</v>
      </c>
      <c r="BH106" s="59">
        <f t="shared" si="62"/>
        <v>294.33683190661475</v>
      </c>
      <c r="BI106" s="59">
        <f ca="1">AVERAGE(OFFSET($BH$3,0,0,'Données projet'!$E$11+1,1))-AVERAGE(OFFSET($H$3,0,0,'Données projet'!$E$11+1,1))</f>
        <v>328.58609979635901</v>
      </c>
      <c r="BJ106" s="59">
        <f t="shared" si="92"/>
        <v>432.3494365423407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113.62315280932697</v>
      </c>
      <c r="BQ106" s="21">
        <f>EXP(-LN(2)/25)*BQ105+(1-EXP(-LN(2)/25))/(LN(2)/25)*Calculateur!BL106*Calculateur!BN106*VLOOKUP('Données projet'!$B$11,Paramètres!$A$1:$I$89,3,0)*0.475*44/12</f>
        <v>5.2833179534021797</v>
      </c>
      <c r="BR106" s="21">
        <f>EXP(-LN(2)/2)*BR105+(1-EXP(-LN(2)/2))/(LN(2)/2)*BL106*BO106*VLOOKUP('Données projet'!$B$11,Paramètres!$A$1:$I$89,3,0)*0.475*44/12</f>
        <v>6.0200582942483365E-12</v>
      </c>
      <c r="BS106" s="22">
        <f t="shared" si="63"/>
        <v>118.90647076273517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9.7110000000000021</v>
      </c>
      <c r="BY106" s="12">
        <f>IF('Données projet'!$A$114&gt;35,BY105+BX106-CG105,IF(A106&lt;'Données projet'!$A$114,$BV$205^A106,IF(A106='Données projet'!$A$114,'Données projet'!$B$114,BY105+BX106-CG105)))</f>
        <v>440.70400000000024</v>
      </c>
      <c r="BZ106" s="13">
        <f>BY106*VLOOKUP('Données projet'!$B$12,Paramètres!$A$1:$I$89,3,0)*VLOOKUP('Données projet'!$B$12,Paramètres!$A$1:$I$89,5,0)</f>
        <v>419.37392640000024</v>
      </c>
      <c r="CA106" s="13">
        <f t="shared" si="93"/>
        <v>95.693554070738656</v>
      </c>
      <c r="CB106" s="20">
        <f t="shared" si="64"/>
        <v>897.07586181987017</v>
      </c>
      <c r="CC106" s="59">
        <f t="shared" si="65"/>
        <v>1190.4091951532034</v>
      </c>
      <c r="CD106" s="59">
        <f ca="1">AVERAGE(OFFSET($CC$3,0,0,'Données projet'!$E$12+1,1))-AVERAGE(OFFSET($H$3,0,0,'Données projet'!$E$12+1,1))</f>
        <v>555.3092253965317</v>
      </c>
      <c r="CE106" s="59">
        <f t="shared" si="94"/>
        <v>292.20785523952651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123.0571793426859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123.0571793426859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243</v>
      </c>
      <c r="CU106" s="17">
        <f>CT106*VLOOKUP('Données projet'!$B$13,Paramètres!$A$1:$I$89,3,0)*VLOOKUP('Données projet'!$B$13,Paramètres!$A$1:$I$89,5,0)</f>
        <v>155.4228</v>
      </c>
      <c r="CV106" s="13">
        <f t="shared" si="95"/>
        <v>39.808377687614154</v>
      </c>
      <c r="CW106" s="20">
        <f t="shared" si="67"/>
        <v>340.02763447259463</v>
      </c>
      <c r="CX106" s="59">
        <f t="shared" si="68"/>
        <v>633.36096780592788</v>
      </c>
      <c r="CY106" s="59">
        <f ca="1">AVERAGE(OFFSET($CX$3,0,0,'Données projet'!$E$13+1,1))-AVERAGE(OFFSET($H$3,0,0,'Données projet'!$E$13+1,1))</f>
        <v>269.44168853803717</v>
      </c>
      <c r="CZ106" s="59">
        <f t="shared" si="96"/>
        <v>247.65158389074043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38.730807418657911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38.730807418657911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6">
        <f t="shared" si="56"/>
        <v>256.66666666666669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259.99999999999983</v>
      </c>
      <c r="O107" s="13">
        <f>N107*VLOOKUP('Données projet'!$B$9,Paramètres!$A$1:$I$89,3,0)*VLOOKUP('Données projet'!$B$9,Paramètres!$A$1:$I$89,5,0)</f>
        <v>227.13599999999985</v>
      </c>
      <c r="P107" s="13">
        <f t="shared" si="87"/>
        <v>55.662966886685133</v>
      </c>
      <c r="Q107" s="20">
        <f t="shared" si="107"/>
        <v>492.5415339943097</v>
      </c>
      <c r="R107" s="59">
        <f t="shared" si="55"/>
        <v>785.87486732764296</v>
      </c>
      <c r="S107" s="59">
        <f ca="1">AVERAGE(OFFSET($R$3,0,0,'Données projet'!$E$9+1,1))-AVERAGE(OFFSET($H$3,0,0,'Données projet'!$E$9+1,1))</f>
        <v>381.72225529388083</v>
      </c>
      <c r="T107" s="59">
        <f t="shared" si="88"/>
        <v>360.05900046417361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59.10757504508674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59.10757504508674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304.99999999999994</v>
      </c>
      <c r="AJ107" s="13">
        <f>AI107*VLOOKUP('Données projet'!$B$10,Paramètres!$A$1:$I$89,3,0)*VLOOKUP('Données projet'!$B$10,Paramètres!$A$1:$I$89,5,0)</f>
        <v>275.96399999999994</v>
      </c>
      <c r="AK107" s="13">
        <f t="shared" si="89"/>
        <v>66.113366665488911</v>
      </c>
      <c r="AL107" s="20">
        <f t="shared" si="58"/>
        <v>595.7847469423931</v>
      </c>
      <c r="AM107" s="59">
        <f t="shared" si="59"/>
        <v>889.11808027572647</v>
      </c>
      <c r="AN107" s="59">
        <f ca="1">AVERAGE(OFFSET($AM$3,0,0,'Données projet'!$E$10+1,1))-AVERAGE(OFFSET($H$3,0,0,'Données projet'!$E$10+1,1))</f>
        <v>366.43676005661194</v>
      </c>
      <c r="AO107" s="59">
        <f t="shared" si="90"/>
        <v>513.80016421153414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1.9329685021914578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1.9329685021914578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0.8600000000003547</v>
      </c>
      <c r="BE107" s="13">
        <f>BD107*VLOOKUP('Données projet'!$B$11,Paramètres!$A$1:$I$89,3,0)*VLOOKUP('Données projet'!$B$11,Paramètres!$A$1:$I$89,5,0)</f>
        <v>0.38012000000015683</v>
      </c>
      <c r="BF107" s="13">
        <f t="shared" si="91"/>
        <v>0.19605142963512551</v>
      </c>
      <c r="BG107" s="20">
        <f t="shared" si="61"/>
        <v>1.0034985732814501</v>
      </c>
      <c r="BH107" s="59">
        <f t="shared" si="62"/>
        <v>294.33683190661475</v>
      </c>
      <c r="BI107" s="59">
        <f ca="1">AVERAGE(OFFSET($BH$3,0,0,'Données projet'!$E$11+1,1))-AVERAGE(OFFSET($H$3,0,0,'Données projet'!$E$11+1,1))</f>
        <v>328.58609979635901</v>
      </c>
      <c r="BJ107" s="59">
        <f t="shared" si="92"/>
        <v>432.3494365423407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111.39507208601614</v>
      </c>
      <c r="BQ107" s="21">
        <f>EXP(-LN(2)/25)*BQ106+(1-EXP(-LN(2)/25))/(LN(2)/25)*Calculateur!BL107*Calculateur!BN107*VLOOKUP('Données projet'!$B$11,Paramètres!$A$1:$I$89,3,0)*0.475*44/12</f>
        <v>5.1388453461287815</v>
      </c>
      <c r="BR107" s="21">
        <f>EXP(-LN(2)/2)*BR106+(1-EXP(-LN(2)/2))/(LN(2)/2)*BL107*BO107*VLOOKUP('Données projet'!$B$11,Paramètres!$A$1:$I$89,3,0)*0.475*44/12</f>
        <v>4.2568240430013189E-12</v>
      </c>
      <c r="BS107" s="22">
        <f t="shared" si="63"/>
        <v>116.53391743214918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9.7110000000000021</v>
      </c>
      <c r="BY107" s="12">
        <f>IF('Données projet'!$A$114&gt;35,BY106+BX107-CG106,IF(A107&lt;'Données projet'!$A$114,$BV$205^A107,IF(A107='Données projet'!$A$114,'Données projet'!$B$114,BY106+BX107-CG106)))</f>
        <v>450.41500000000025</v>
      </c>
      <c r="BZ107" s="13">
        <f>BY107*VLOOKUP('Données projet'!$B$12,Paramètres!$A$1:$I$89,3,0)*VLOOKUP('Données projet'!$B$12,Paramètres!$A$1:$I$89,5,0)</f>
        <v>428.61491400000023</v>
      </c>
      <c r="CA107" s="13">
        <f t="shared" si="93"/>
        <v>97.554366319707086</v>
      </c>
      <c r="CB107" s="20">
        <f t="shared" si="64"/>
        <v>916.41149655682364</v>
      </c>
      <c r="CC107" s="59">
        <f t="shared" si="65"/>
        <v>1209.744829890157</v>
      </c>
      <c r="CD107" s="59">
        <f ca="1">AVERAGE(OFFSET($CC$3,0,0,'Données projet'!$E$12+1,1))-AVERAGE(OFFSET($H$3,0,0,'Données projet'!$E$12+1,1))</f>
        <v>555.3092253965317</v>
      </c>
      <c r="CE107" s="59">
        <f t="shared" si="94"/>
        <v>292.20785523952651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120.64410311324392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120.64410311324392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243</v>
      </c>
      <c r="CU107" s="17">
        <f>CT107*VLOOKUP('Données projet'!$B$13,Paramètres!$A$1:$I$89,3,0)*VLOOKUP('Données projet'!$B$13,Paramètres!$A$1:$I$89,5,0)</f>
        <v>155.4228</v>
      </c>
      <c r="CV107" s="13">
        <f t="shared" si="95"/>
        <v>39.808377687614154</v>
      </c>
      <c r="CW107" s="20">
        <f t="shared" si="67"/>
        <v>340.02763447259463</v>
      </c>
      <c r="CX107" s="59">
        <f t="shared" si="68"/>
        <v>633.36096780592788</v>
      </c>
      <c r="CY107" s="59">
        <f ca="1">AVERAGE(OFFSET($CX$3,0,0,'Données projet'!$E$13+1,1))-AVERAGE(OFFSET($H$3,0,0,'Données projet'!$E$13+1,1))</f>
        <v>269.44168853803717</v>
      </c>
      <c r="CZ107" s="59">
        <f t="shared" si="96"/>
        <v>247.65158389074043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37.97131990863793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37.97131990863793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6">
        <f t="shared" si="56"/>
        <v>256.66666666666669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259.99999999999983</v>
      </c>
      <c r="O108" s="13">
        <f>N108*VLOOKUP('Données projet'!$B$9,Paramètres!$A$1:$I$89,3,0)*VLOOKUP('Données projet'!$B$9,Paramètres!$A$1:$I$89,5,0)</f>
        <v>227.13599999999985</v>
      </c>
      <c r="P108" s="13">
        <f t="shared" si="87"/>
        <v>55.662966886685133</v>
      </c>
      <c r="Q108" s="20">
        <f t="shared" si="107"/>
        <v>492.5415339943097</v>
      </c>
      <c r="R108" s="59">
        <f t="shared" si="55"/>
        <v>785.87486732764296</v>
      </c>
      <c r="S108" s="59">
        <f ca="1">AVERAGE(OFFSET($R$3,0,0,'Données projet'!$E$9+1,1))-AVERAGE(OFFSET($H$3,0,0,'Données projet'!$E$9+1,1))</f>
        <v>381.72225529388083</v>
      </c>
      <c r="T108" s="59">
        <f t="shared" si="88"/>
        <v>360.05900046417361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57.948511550513523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57.948511550513523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304.99999999999994</v>
      </c>
      <c r="AJ108" s="13">
        <f>AI108*VLOOKUP('Données projet'!$B$10,Paramètres!$A$1:$I$89,3,0)*VLOOKUP('Données projet'!$B$10,Paramètres!$A$1:$I$89,5,0)</f>
        <v>275.96399999999994</v>
      </c>
      <c r="AK108" s="13">
        <f t="shared" si="89"/>
        <v>66.113366665488911</v>
      </c>
      <c r="AL108" s="20">
        <f t="shared" si="58"/>
        <v>595.7847469423931</v>
      </c>
      <c r="AM108" s="59">
        <f t="shared" si="59"/>
        <v>889.11808027572647</v>
      </c>
      <c r="AN108" s="59">
        <f ca="1">AVERAGE(OFFSET($AM$3,0,0,'Données projet'!$E$10+1,1))-AVERAGE(OFFSET($H$3,0,0,'Données projet'!$E$10+1,1))</f>
        <v>366.43676005661194</v>
      </c>
      <c r="AO108" s="59">
        <f t="shared" si="90"/>
        <v>513.80016421153414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1.8950641688578536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1.8950641688578536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0.8600000000003547</v>
      </c>
      <c r="BE108" s="13">
        <f>BD108*VLOOKUP('Données projet'!$B$11,Paramètres!$A$1:$I$89,3,0)*VLOOKUP('Données projet'!$B$11,Paramètres!$A$1:$I$89,5,0)</f>
        <v>0.38012000000015683</v>
      </c>
      <c r="BF108" s="13">
        <f t="shared" si="91"/>
        <v>0.19605142963512551</v>
      </c>
      <c r="BG108" s="20">
        <f t="shared" si="61"/>
        <v>1.0034985732814501</v>
      </c>
      <c r="BH108" s="59">
        <f t="shared" si="62"/>
        <v>294.33683190661475</v>
      </c>
      <c r="BI108" s="59">
        <f ca="1">AVERAGE(OFFSET($BH$3,0,0,'Données projet'!$E$11+1,1))-AVERAGE(OFFSET($H$3,0,0,'Données projet'!$E$11+1,1))</f>
        <v>328.58609979635901</v>
      </c>
      <c r="BJ108" s="59">
        <f t="shared" si="92"/>
        <v>432.3494365423407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109.2106826666944</v>
      </c>
      <c r="BQ108" s="21">
        <f>EXP(-LN(2)/25)*BQ107+(1-EXP(-LN(2)/25))/(LN(2)/25)*Calculateur!BL108*Calculateur!BN108*VLOOKUP('Données projet'!$B$11,Paramètres!$A$1:$I$89,3,0)*0.475*44/12</f>
        <v>4.998323349898758</v>
      </c>
      <c r="BR108" s="21">
        <f>EXP(-LN(2)/2)*BR107+(1-EXP(-LN(2)/2))/(LN(2)/2)*BL108*BO108*VLOOKUP('Données projet'!$B$11,Paramètres!$A$1:$I$89,3,0)*0.475*44/12</f>
        <v>3.0100291471241682E-12</v>
      </c>
      <c r="BS108" s="22">
        <f t="shared" si="63"/>
        <v>114.20900601659616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9.7110000000000021</v>
      </c>
      <c r="BY108" s="12">
        <f>IF('Données projet'!$A$114&gt;35,BY107+BX108-CG107,IF(A108&lt;'Données projet'!$A$114,$BV$205^A108,IF(A108='Données projet'!$A$114,'Données projet'!$B$114,BY107+BX108-CG107)))</f>
        <v>460.12600000000026</v>
      </c>
      <c r="BZ108" s="13">
        <f>BY108*VLOOKUP('Données projet'!$B$12,Paramètres!$A$1:$I$89,3,0)*VLOOKUP('Données projet'!$B$12,Paramètres!$A$1:$I$89,5,0)</f>
        <v>437.85590160000027</v>
      </c>
      <c r="CA108" s="13">
        <f t="shared" si="93"/>
        <v>99.410514151645486</v>
      </c>
      <c r="CB108" s="20">
        <f t="shared" si="64"/>
        <v>935.73900743411639</v>
      </c>
      <c r="CC108" s="59">
        <f t="shared" si="65"/>
        <v>1229.0723407674498</v>
      </c>
      <c r="CD108" s="59">
        <f ca="1">AVERAGE(OFFSET($CC$3,0,0,'Données projet'!$E$12+1,1))-AVERAGE(OFFSET($H$3,0,0,'Données projet'!$E$12+1,1))</f>
        <v>555.3092253965317</v>
      </c>
      <c r="CE108" s="59">
        <f t="shared" si="94"/>
        <v>292.20785523952651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118.27834583683013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118.27834583683013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243</v>
      </c>
      <c r="CU108" s="17">
        <f>CT108*VLOOKUP('Données projet'!$B$13,Paramètres!$A$1:$I$89,3,0)*VLOOKUP('Données projet'!$B$13,Paramètres!$A$1:$I$89,5,0)</f>
        <v>155.4228</v>
      </c>
      <c r="CV108" s="13">
        <f t="shared" si="95"/>
        <v>39.808377687614154</v>
      </c>
      <c r="CW108" s="20">
        <f t="shared" si="67"/>
        <v>340.02763447259463</v>
      </c>
      <c r="CX108" s="59">
        <f t="shared" si="68"/>
        <v>633.36096780592788</v>
      </c>
      <c r="CY108" s="59">
        <f ca="1">AVERAGE(OFFSET($CX$3,0,0,'Données projet'!$E$13+1,1))-AVERAGE(OFFSET($H$3,0,0,'Données projet'!$E$13+1,1))</f>
        <v>269.44168853803717</v>
      </c>
      <c r="CZ108" s="59">
        <f t="shared" si="96"/>
        <v>247.65158389074043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37.226725485447801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37.226725485447801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6">
        <f t="shared" si="56"/>
        <v>256.66666666666669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259.99999999999983</v>
      </c>
      <c r="O109" s="13">
        <f>N109*VLOOKUP('Données projet'!$B$9,Paramètres!$A$1:$I$89,3,0)*VLOOKUP('Données projet'!$B$9,Paramètres!$A$1:$I$89,5,0)</f>
        <v>227.13599999999985</v>
      </c>
      <c r="P109" s="13">
        <f t="shared" si="87"/>
        <v>55.662966886685133</v>
      </c>
      <c r="Q109" s="20">
        <f t="shared" si="107"/>
        <v>492.5415339943097</v>
      </c>
      <c r="R109" s="59">
        <f t="shared" si="55"/>
        <v>785.87486732764296</v>
      </c>
      <c r="S109" s="59">
        <f ca="1">AVERAGE(OFFSET($R$3,0,0,'Données projet'!$E$9+1,1))-AVERAGE(OFFSET($H$3,0,0,'Données projet'!$E$9+1,1))</f>
        <v>381.72225529388083</v>
      </c>
      <c r="T109" s="59">
        <f t="shared" si="88"/>
        <v>360.05900046417361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56.812176584109956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56.812176584109956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304.99999999999994</v>
      </c>
      <c r="AJ109" s="13">
        <f>AI109*VLOOKUP('Données projet'!$B$10,Paramètres!$A$1:$I$89,3,0)*VLOOKUP('Données projet'!$B$10,Paramètres!$A$1:$I$89,5,0)</f>
        <v>275.96399999999994</v>
      </c>
      <c r="AK109" s="13">
        <f t="shared" si="89"/>
        <v>66.113366665488911</v>
      </c>
      <c r="AL109" s="20">
        <f t="shared" si="58"/>
        <v>595.7847469423931</v>
      </c>
      <c r="AM109" s="59">
        <f t="shared" si="59"/>
        <v>889.11808027572647</v>
      </c>
      <c r="AN109" s="59">
        <f ca="1">AVERAGE(OFFSET($AM$3,0,0,'Données projet'!$E$10+1,1))-AVERAGE(OFFSET($H$3,0,0,'Données projet'!$E$10+1,1))</f>
        <v>366.43676005661194</v>
      </c>
      <c r="AO109" s="59">
        <f t="shared" si="90"/>
        <v>513.80016421153414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1.8579031163815609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1.8579031163815609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0.8600000000003547</v>
      </c>
      <c r="BE109" s="13">
        <f>BD109*VLOOKUP('Données projet'!$B$11,Paramètres!$A$1:$I$89,3,0)*VLOOKUP('Données projet'!$B$11,Paramètres!$A$1:$I$89,5,0)</f>
        <v>0.38012000000015683</v>
      </c>
      <c r="BF109" s="13">
        <f t="shared" si="91"/>
        <v>0.19605142963512551</v>
      </c>
      <c r="BG109" s="20">
        <f t="shared" si="61"/>
        <v>1.0034985732814501</v>
      </c>
      <c r="BH109" s="59">
        <f t="shared" si="62"/>
        <v>294.33683190661475</v>
      </c>
      <c r="BI109" s="59">
        <f ca="1">AVERAGE(OFFSET($BH$3,0,0,'Données projet'!$E$11+1,1))-AVERAGE(OFFSET($H$3,0,0,'Données projet'!$E$11+1,1))</f>
        <v>328.58609979635901</v>
      </c>
      <c r="BJ109" s="59">
        <f t="shared" si="92"/>
        <v>432.3494365423407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107.06912779153956</v>
      </c>
      <c r="BQ109" s="21">
        <f>EXP(-LN(2)/25)*BQ108+(1-EXP(-LN(2)/25))/(LN(2)/25)*Calculateur!BL109*Calculateur!BN109*VLOOKUP('Données projet'!$B$11,Paramètres!$A$1:$I$89,3,0)*0.475*44/12</f>
        <v>4.8616439350453753</v>
      </c>
      <c r="BR109" s="21">
        <f>EXP(-LN(2)/2)*BR108+(1-EXP(-LN(2)/2))/(LN(2)/2)*BL109*BO109*VLOOKUP('Données projet'!$B$11,Paramètres!$A$1:$I$89,3,0)*0.475*44/12</f>
        <v>2.1284120215006594E-12</v>
      </c>
      <c r="BS109" s="22">
        <f t="shared" si="63"/>
        <v>111.93077172658707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9.7110000000000021</v>
      </c>
      <c r="BY109" s="12">
        <f>IF('Données projet'!$A$114&gt;35,BY108+BX109-CG108,IF(A109&lt;'Données projet'!$A$114,$BV$205^A109,IF(A109='Données projet'!$A$114,'Données projet'!$B$114,BY108+BX109-CG108)))</f>
        <v>469.83700000000027</v>
      </c>
      <c r="BZ109" s="13">
        <f>BY109*VLOOKUP('Données projet'!$B$12,Paramètres!$A$1:$I$89,3,0)*VLOOKUP('Données projet'!$B$12,Paramètres!$A$1:$I$89,5,0)</f>
        <v>447.09688920000031</v>
      </c>
      <c r="CA109" s="13">
        <f t="shared" si="93"/>
        <v>101.26210734981998</v>
      </c>
      <c r="CB109" s="20">
        <f t="shared" si="64"/>
        <v>955.05858565760354</v>
      </c>
      <c r="CC109" s="59">
        <f t="shared" si="65"/>
        <v>1248.3919189909368</v>
      </c>
      <c r="CD109" s="59">
        <f ca="1">AVERAGE(OFFSET($CC$3,0,0,'Données projet'!$E$12+1,1))-AVERAGE(OFFSET($H$3,0,0,'Données projet'!$E$12+1,1))</f>
        <v>555.3092253965317</v>
      </c>
      <c r="CE109" s="59">
        <f t="shared" si="94"/>
        <v>292.20785523952651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115.95897961763735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115.95897961763735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243</v>
      </c>
      <c r="CU109" s="17">
        <f>CT109*VLOOKUP('Données projet'!$B$13,Paramètres!$A$1:$I$89,3,0)*VLOOKUP('Données projet'!$B$13,Paramètres!$A$1:$I$89,5,0)</f>
        <v>155.4228</v>
      </c>
      <c r="CV109" s="13">
        <f t="shared" si="95"/>
        <v>39.808377687614154</v>
      </c>
      <c r="CW109" s="20">
        <f t="shared" si="67"/>
        <v>340.02763447259463</v>
      </c>
      <c r="CX109" s="59">
        <f t="shared" si="68"/>
        <v>633.36096780592788</v>
      </c>
      <c r="CY109" s="59">
        <f ca="1">AVERAGE(OFFSET($CX$3,0,0,'Données projet'!$E$13+1,1))-AVERAGE(OFFSET($H$3,0,0,'Données projet'!$E$13+1,1))</f>
        <v>269.44168853803717</v>
      </c>
      <c r="CZ109" s="59">
        <f t="shared" si="96"/>
        <v>247.65158389074043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36.496732104738676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36.496732104738676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6">
        <f t="shared" si="56"/>
        <v>256.66666666666669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259.99999999999983</v>
      </c>
      <c r="O110" s="13">
        <f>N110*VLOOKUP('Données projet'!$B$9,Paramètres!$A$1:$I$89,3,0)*VLOOKUP('Données projet'!$B$9,Paramètres!$A$1:$I$89,5,0)</f>
        <v>227.13599999999985</v>
      </c>
      <c r="P110" s="13">
        <f t="shared" si="87"/>
        <v>55.662966886685133</v>
      </c>
      <c r="Q110" s="20">
        <f t="shared" si="107"/>
        <v>492.5415339943097</v>
      </c>
      <c r="R110" s="59">
        <f t="shared" si="55"/>
        <v>785.87486732764296</v>
      </c>
      <c r="S110" s="59">
        <f ca="1">AVERAGE(OFFSET($R$3,0,0,'Données projet'!$E$9+1,1))-AVERAGE(OFFSET($H$3,0,0,'Données projet'!$E$9+1,1))</f>
        <v>381.72225529388083</v>
      </c>
      <c r="T110" s="59">
        <f t="shared" si="88"/>
        <v>360.05900046417361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55.698124453301673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55.698124453301673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304.99999999999994</v>
      </c>
      <c r="AJ110" s="13">
        <f>AI110*VLOOKUP('Données projet'!$B$10,Paramètres!$A$1:$I$89,3,0)*VLOOKUP('Données projet'!$B$10,Paramètres!$A$1:$I$89,5,0)</f>
        <v>275.96399999999994</v>
      </c>
      <c r="AK110" s="13">
        <f t="shared" si="89"/>
        <v>66.113366665488911</v>
      </c>
      <c r="AL110" s="20">
        <f t="shared" si="58"/>
        <v>595.7847469423931</v>
      </c>
      <c r="AM110" s="59">
        <f t="shared" si="59"/>
        <v>889.11808027572647</v>
      </c>
      <c r="AN110" s="59">
        <f ca="1">AVERAGE(OFFSET($AM$3,0,0,'Données projet'!$E$10+1,1))-AVERAGE(OFFSET($H$3,0,0,'Données projet'!$E$10+1,1))</f>
        <v>366.43676005661194</v>
      </c>
      <c r="AO110" s="59">
        <f t="shared" si="90"/>
        <v>513.80016421153414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1.8214707694783243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1.8214707694783243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0.8600000000003547</v>
      </c>
      <c r="BE110" s="13">
        <f>BD110*VLOOKUP('Données projet'!$B$11,Paramètres!$A$1:$I$89,3,0)*VLOOKUP('Données projet'!$B$11,Paramètres!$A$1:$I$89,5,0)</f>
        <v>0.38012000000015683</v>
      </c>
      <c r="BF110" s="13">
        <f t="shared" si="91"/>
        <v>0.19605142963512551</v>
      </c>
      <c r="BG110" s="20">
        <f t="shared" si="61"/>
        <v>1.0034985732814501</v>
      </c>
      <c r="BH110" s="59">
        <f t="shared" si="62"/>
        <v>294.33683190661475</v>
      </c>
      <c r="BI110" s="59">
        <f ca="1">AVERAGE(OFFSET($BH$3,0,0,'Données projet'!$E$11+1,1))-AVERAGE(OFFSET($H$3,0,0,'Données projet'!$E$11+1,1))</f>
        <v>328.58609979635901</v>
      </c>
      <c r="BJ110" s="59">
        <f t="shared" si="92"/>
        <v>432.3494365423407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104.96956750126702</v>
      </c>
      <c r="BQ110" s="21">
        <f>EXP(-LN(2)/25)*BQ109+(1-EXP(-LN(2)/25))/(LN(2)/25)*Calculateur!BL110*Calculateur!BN110*VLOOKUP('Données projet'!$B$11,Paramètres!$A$1:$I$89,3,0)*0.475*44/12</f>
        <v>4.7287020259788166</v>
      </c>
      <c r="BR110" s="21">
        <f>EXP(-LN(2)/2)*BR109+(1-EXP(-LN(2)/2))/(LN(2)/2)*BL110*BO110*VLOOKUP('Données projet'!$B$11,Paramètres!$A$1:$I$89,3,0)*0.475*44/12</f>
        <v>1.5050145735620841E-12</v>
      </c>
      <c r="BS110" s="22">
        <f t="shared" si="63"/>
        <v>109.69826952724735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9.7110000000000021</v>
      </c>
      <c r="BY110" s="12">
        <f>IF('Données projet'!$A$114&gt;35,BY109+BX110-CG109,IF(A110&lt;'Données projet'!$A$114,$BV$205^A110,IF(A110='Données projet'!$A$114,'Données projet'!$B$114,BY109+BX110-CG109)))</f>
        <v>479.54800000000029</v>
      </c>
      <c r="BZ110" s="13">
        <f>BY110*VLOOKUP('Données projet'!$B$12,Paramètres!$A$1:$I$89,3,0)*VLOOKUP('Données projet'!$B$12,Paramètres!$A$1:$I$89,5,0)</f>
        <v>456.33787680000023</v>
      </c>
      <c r="CA110" s="13">
        <f t="shared" si="93"/>
        <v>103.10925089992845</v>
      </c>
      <c r="CB110" s="20">
        <f t="shared" si="64"/>
        <v>974.37041407737581</v>
      </c>
      <c r="CC110" s="59">
        <f t="shared" si="65"/>
        <v>1267.7037474107092</v>
      </c>
      <c r="CD110" s="59">
        <f ca="1">AVERAGE(OFFSET($CC$3,0,0,'Données projet'!$E$12+1,1))-AVERAGE(OFFSET($H$3,0,0,'Données projet'!$E$12+1,1))</f>
        <v>555.3092253965317</v>
      </c>
      <c r="CE110" s="59">
        <f t="shared" si="94"/>
        <v>292.20785523952651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113.68509475532925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113.68509475532925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243</v>
      </c>
      <c r="CU110" s="17">
        <f>CT110*VLOOKUP('Données projet'!$B$13,Paramètres!$A$1:$I$89,3,0)*VLOOKUP('Données projet'!$B$13,Paramètres!$A$1:$I$89,5,0)</f>
        <v>155.4228</v>
      </c>
      <c r="CV110" s="13">
        <f t="shared" si="95"/>
        <v>39.808377687614154</v>
      </c>
      <c r="CW110" s="20">
        <f t="shared" si="67"/>
        <v>340.02763447259463</v>
      </c>
      <c r="CX110" s="59">
        <f t="shared" si="68"/>
        <v>633.36096780592788</v>
      </c>
      <c r="CY110" s="59">
        <f ca="1">AVERAGE(OFFSET($CX$3,0,0,'Données projet'!$E$13+1,1))-AVERAGE(OFFSET($H$3,0,0,'Données projet'!$E$13+1,1))</f>
        <v>269.44168853803717</v>
      </c>
      <c r="CZ110" s="59">
        <f t="shared" si="96"/>
        <v>247.65158389074043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35.78105344897326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35.78105344897326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6">
        <f t="shared" si="56"/>
        <v>256.66666666666669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259.99999999999983</v>
      </c>
      <c r="O111" s="13">
        <f>N111*VLOOKUP('Données projet'!$B$9,Paramètres!$A$1:$I$89,3,0)*VLOOKUP('Données projet'!$B$9,Paramètres!$A$1:$I$89,5,0)</f>
        <v>227.13599999999985</v>
      </c>
      <c r="P111" s="13">
        <f t="shared" si="87"/>
        <v>55.662966886685133</v>
      </c>
      <c r="Q111" s="20">
        <f t="shared" si="107"/>
        <v>492.5415339943097</v>
      </c>
      <c r="R111" s="59">
        <f t="shared" si="55"/>
        <v>785.87486732764296</v>
      </c>
      <c r="S111" s="59">
        <f ca="1">AVERAGE(OFFSET($R$3,0,0,'Données projet'!$E$9+1,1))-AVERAGE(OFFSET($H$3,0,0,'Données projet'!$E$9+1,1))</f>
        <v>381.72225529388083</v>
      </c>
      <c r="T111" s="59">
        <f t="shared" si="88"/>
        <v>360.05900046417361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54.605918205273838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54.605918205273838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304.99999999999994</v>
      </c>
      <c r="AJ111" s="13">
        <f>AI111*VLOOKUP('Données projet'!$B$10,Paramètres!$A$1:$I$89,3,0)*VLOOKUP('Données projet'!$B$10,Paramètres!$A$1:$I$89,5,0)</f>
        <v>275.96399999999994</v>
      </c>
      <c r="AK111" s="13">
        <f t="shared" si="89"/>
        <v>66.113366665488911</v>
      </c>
      <c r="AL111" s="20">
        <f t="shared" si="58"/>
        <v>595.7847469423931</v>
      </c>
      <c r="AM111" s="59">
        <f t="shared" si="59"/>
        <v>889.11808027572647</v>
      </c>
      <c r="AN111" s="59">
        <f ca="1">AVERAGE(OFFSET($AM$3,0,0,'Données projet'!$E$10+1,1))-AVERAGE(OFFSET($H$3,0,0,'Données projet'!$E$10+1,1))</f>
        <v>366.43676005661194</v>
      </c>
      <c r="AO111" s="59">
        <f t="shared" si="90"/>
        <v>513.80016421153414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1.7857528386763228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1.7857528386763228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0.8600000000003547</v>
      </c>
      <c r="BE111" s="13">
        <f>BD111*VLOOKUP('Données projet'!$B$11,Paramètres!$A$1:$I$89,3,0)*VLOOKUP('Données projet'!$B$11,Paramètres!$A$1:$I$89,5,0)</f>
        <v>0.38012000000015683</v>
      </c>
      <c r="BF111" s="13">
        <f t="shared" si="91"/>
        <v>0.19605142963512551</v>
      </c>
      <c r="BG111" s="20">
        <f t="shared" si="61"/>
        <v>1.0034985732814501</v>
      </c>
      <c r="BH111" s="59">
        <f t="shared" si="62"/>
        <v>294.33683190661475</v>
      </c>
      <c r="BI111" s="59">
        <f ca="1">AVERAGE(OFFSET($BH$3,0,0,'Données projet'!$E$11+1,1))-AVERAGE(OFFSET($H$3,0,0,'Données projet'!$E$11+1,1))</f>
        <v>328.58609979635901</v>
      </c>
      <c r="BJ111" s="59">
        <f t="shared" si="92"/>
        <v>432.3494365423407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102.9111783076814</v>
      </c>
      <c r="BQ111" s="21">
        <f>EXP(-LN(2)/25)*BQ110+(1-EXP(-LN(2)/25))/(LN(2)/25)*Calculateur!BL111*Calculateur!BN111*VLOOKUP('Données projet'!$B$11,Paramètres!$A$1:$I$89,3,0)*0.475*44/12</f>
        <v>4.5993954204067942</v>
      </c>
      <c r="BR111" s="21">
        <f>EXP(-LN(2)/2)*BR110+(1-EXP(-LN(2)/2))/(LN(2)/2)*BL111*BO111*VLOOKUP('Données projet'!$B$11,Paramètres!$A$1:$I$89,3,0)*0.475*44/12</f>
        <v>1.0642060107503297E-12</v>
      </c>
      <c r="BS111" s="22">
        <f t="shared" si="63"/>
        <v>107.51057372808926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9.7110000000000021</v>
      </c>
      <c r="BY111" s="12">
        <f>IF('Données projet'!$A$114&gt;35,BY110+BX111-CG110,IF(A111&lt;'Données projet'!$A$114,$BV$205^A111,IF(A111='Données projet'!$A$114,'Données projet'!$B$114,BY110+BX111-CG110)))</f>
        <v>489.2590000000003</v>
      </c>
      <c r="BZ111" s="13">
        <f>BY111*VLOOKUP('Données projet'!$B$12,Paramètres!$A$1:$I$89,3,0)*VLOOKUP('Données projet'!$B$12,Paramètres!$A$1:$I$89,5,0)</f>
        <v>465.57886440000027</v>
      </c>
      <c r="CA111" s="13">
        <f t="shared" si="93"/>
        <v>104.95204529259286</v>
      </c>
      <c r="CB111" s="20">
        <f t="shared" si="64"/>
        <v>993.67466771459976</v>
      </c>
      <c r="CC111" s="59">
        <f t="shared" si="65"/>
        <v>1287.008001047933</v>
      </c>
      <c r="CD111" s="59">
        <f ca="1">AVERAGE(OFFSET($CC$3,0,0,'Données projet'!$E$12+1,1))-AVERAGE(OFFSET($H$3,0,0,'Données projet'!$E$12+1,1))</f>
        <v>555.3092253965317</v>
      </c>
      <c r="CE111" s="59">
        <f t="shared" si="94"/>
        <v>292.20785523952651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111.45579938823818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111.45579938823818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243</v>
      </c>
      <c r="CU111" s="17">
        <f>CT111*VLOOKUP('Données projet'!$B$13,Paramètres!$A$1:$I$89,3,0)*VLOOKUP('Données projet'!$B$13,Paramètres!$A$1:$I$89,5,0)</f>
        <v>155.4228</v>
      </c>
      <c r="CV111" s="13">
        <f t="shared" si="95"/>
        <v>39.808377687614154</v>
      </c>
      <c r="CW111" s="20">
        <f t="shared" si="67"/>
        <v>340.02763447259463</v>
      </c>
      <c r="CX111" s="59">
        <f t="shared" si="68"/>
        <v>633.36096780592788</v>
      </c>
      <c r="CY111" s="59">
        <f ca="1">AVERAGE(OFFSET($CX$3,0,0,'Données projet'!$E$13+1,1))-AVERAGE(OFFSET($H$3,0,0,'Données projet'!$E$13+1,1))</f>
        <v>269.44168853803717</v>
      </c>
      <c r="CZ111" s="59">
        <f t="shared" si="96"/>
        <v>247.65158389074043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35.079408815126527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35.079408815126527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6">
        <f t="shared" si="56"/>
        <v>256.66666666666669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259.99999999999983</v>
      </c>
      <c r="O112" s="13">
        <f>N112*VLOOKUP('Données projet'!$B$9,Paramètres!$A$1:$I$89,3,0)*VLOOKUP('Données projet'!$B$9,Paramètres!$A$1:$I$89,5,0)</f>
        <v>227.13599999999985</v>
      </c>
      <c r="P112" s="13">
        <f t="shared" si="87"/>
        <v>55.662966886685133</v>
      </c>
      <c r="Q112" s="20">
        <f t="shared" si="107"/>
        <v>492.5415339943097</v>
      </c>
      <c r="R112" s="59">
        <f t="shared" si="55"/>
        <v>785.87486732764296</v>
      </c>
      <c r="S112" s="59">
        <f ca="1">AVERAGE(OFFSET($R$3,0,0,'Données projet'!$E$9+1,1))-AVERAGE(OFFSET($H$3,0,0,'Données projet'!$E$9+1,1))</f>
        <v>381.72225529388083</v>
      </c>
      <c r="T112" s="59">
        <f t="shared" si="88"/>
        <v>360.05900046417361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53.535129455589797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53.535129455589797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304.99999999999994</v>
      </c>
      <c r="AJ112" s="13">
        <f>AI112*VLOOKUP('Données projet'!$B$10,Paramètres!$A$1:$I$89,3,0)*VLOOKUP('Données projet'!$B$10,Paramètres!$A$1:$I$89,5,0)</f>
        <v>275.96399999999994</v>
      </c>
      <c r="AK112" s="13">
        <f t="shared" si="89"/>
        <v>66.113366665488911</v>
      </c>
      <c r="AL112" s="20">
        <f t="shared" si="58"/>
        <v>595.7847469423931</v>
      </c>
      <c r="AM112" s="59">
        <f t="shared" si="59"/>
        <v>889.11808027572647</v>
      </c>
      <c r="AN112" s="59">
        <f ca="1">AVERAGE(OFFSET($AM$3,0,0,'Données projet'!$E$10+1,1))-AVERAGE(OFFSET($H$3,0,0,'Données projet'!$E$10+1,1))</f>
        <v>366.43676005661194</v>
      </c>
      <c r="AO112" s="59">
        <f t="shared" si="90"/>
        <v>513.80016421153414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1.7507353147115621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1.7507353147115621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0.8600000000003547</v>
      </c>
      <c r="BE112" s="13">
        <f>BD112*VLOOKUP('Données projet'!$B$11,Paramètres!$A$1:$I$89,3,0)*VLOOKUP('Données projet'!$B$11,Paramètres!$A$1:$I$89,5,0)</f>
        <v>0.38012000000015683</v>
      </c>
      <c r="BF112" s="13">
        <f t="shared" si="91"/>
        <v>0.19605142963512551</v>
      </c>
      <c r="BG112" s="20">
        <f t="shared" si="61"/>
        <v>1.0034985732814501</v>
      </c>
      <c r="BH112" s="59">
        <f t="shared" si="62"/>
        <v>294.33683190661475</v>
      </c>
      <c r="BI112" s="59">
        <f ca="1">AVERAGE(OFFSET($BH$3,0,0,'Données projet'!$E$11+1,1))-AVERAGE(OFFSET($H$3,0,0,'Données projet'!$E$11+1,1))</f>
        <v>328.58609979635901</v>
      </c>
      <c r="BJ112" s="59">
        <f t="shared" si="92"/>
        <v>432.3494365423407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100.89315287068855</v>
      </c>
      <c r="BQ112" s="21">
        <f>EXP(-LN(2)/25)*BQ111+(1-EXP(-LN(2)/25))/(LN(2)/25)*Calculateur!BL112*Calculateur!BN112*VLOOKUP('Données projet'!$B$11,Paramètres!$A$1:$I$89,3,0)*0.475*44/12</f>
        <v>4.473624710764077</v>
      </c>
      <c r="BR112" s="21">
        <f>EXP(-LN(2)/2)*BR111+(1-EXP(-LN(2)/2))/(LN(2)/2)*BL112*BO112*VLOOKUP('Données projet'!$B$11,Paramètres!$A$1:$I$89,3,0)*0.475*44/12</f>
        <v>7.5250728678104206E-13</v>
      </c>
      <c r="BS112" s="22">
        <f t="shared" si="63"/>
        <v>105.36677758145338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>
        <f>VLOOKUP(A112,'Données projet'!$A$113:$I$133,2,0)</f>
        <v>498.97</v>
      </c>
      <c r="BW112" s="12">
        <f>VLOOKUP(A112,'Données projet'!$A$113:$I$133,9,0)</f>
        <v>9.7110000000000021</v>
      </c>
      <c r="BX112" s="12">
        <f t="array" ref="BX112">INDEX(BW:BW,MIN(IF(ISNUMBER(BW112:BW308),ROW(BW112:BW308),"")))</f>
        <v>9.7110000000000021</v>
      </c>
      <c r="BY112" s="12">
        <f>IF('Données projet'!$A$114&gt;35,BY111+BX112-CG111,IF(A112&lt;'Données projet'!$A$114,$BV$205^A112,IF(A112='Données projet'!$A$114,'Données projet'!$B$114,BY111+BX112-CG111)))</f>
        <v>498.97000000000031</v>
      </c>
      <c r="BZ112" s="13">
        <f>BY112*VLOOKUP('Données projet'!$B$12,Paramètres!$A$1:$I$89,3,0)*VLOOKUP('Données projet'!$B$12,Paramètres!$A$1:$I$89,5,0)</f>
        <v>474.81985200000031</v>
      </c>
      <c r="CA112" s="13">
        <f t="shared" si="93"/>
        <v>106.79058680115537</v>
      </c>
      <c r="CB112" s="20">
        <f t="shared" si="64"/>
        <v>1012.971514245346</v>
      </c>
      <c r="CC112" s="59">
        <f t="shared" si="65"/>
        <v>1306.3048475786793</v>
      </c>
      <c r="CD112" s="59">
        <f ca="1">AVERAGE(OFFSET($CC$3,0,0,'Données projet'!$E$12+1,1))-AVERAGE(OFFSET($H$3,0,0,'Données projet'!$E$12+1,1))</f>
        <v>555.3092253965317</v>
      </c>
      <c r="CE112" s="59">
        <f t="shared" si="94"/>
        <v>292.20785523952651</v>
      </c>
      <c r="CF112" s="15">
        <f>IF(ISNA(VLOOKUP(A112,'Données projet'!$A$113:$I$133,3,0)),0,VLOOKUP(A112,'Données projet'!$A$113:$I$133,3,0))</f>
        <v>10</v>
      </c>
      <c r="CG112" s="15">
        <f>IF(ISNA(VLOOKUP(A112,'Données projet'!$A$113:$I$133,4,0)),0,VLOOKUP(A112,'Données projet'!$A$113:$I$133,4,0))</f>
        <v>66.959999999999994</v>
      </c>
      <c r="CH112" s="16">
        <f>IF(ISNA(VLOOKUP(A112,'Données projet'!$A$113:$I$133,5,0)),0%,VLOOKUP(A112,'Données projet'!$A$113:$I$133,5,0)*VLOOKUP('Données projet'!$B$12,Paramètres!$A$1:$I$89,7,0))</f>
        <v>0.43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139.55925465025547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139.55925465025547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243</v>
      </c>
      <c r="CU112" s="17">
        <f>CT112*VLOOKUP('Données projet'!$B$13,Paramètres!$A$1:$I$89,3,0)*VLOOKUP('Données projet'!$B$13,Paramètres!$A$1:$I$89,5,0)</f>
        <v>155.4228</v>
      </c>
      <c r="CV112" s="13">
        <f t="shared" si="95"/>
        <v>39.808377687614154</v>
      </c>
      <c r="CW112" s="20">
        <f t="shared" si="67"/>
        <v>340.02763447259463</v>
      </c>
      <c r="CX112" s="59">
        <f t="shared" si="68"/>
        <v>633.36096780592788</v>
      </c>
      <c r="CY112" s="59">
        <f ca="1">AVERAGE(OFFSET($CX$3,0,0,'Données projet'!$E$13+1,1))-AVERAGE(OFFSET($H$3,0,0,'Données projet'!$E$13+1,1))</f>
        <v>269.44168853803717</v>
      </c>
      <c r="CZ112" s="59">
        <f t="shared" si="96"/>
        <v>247.65158389074043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34.391523004588564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34.391523004588564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6">
        <f t="shared" si="56"/>
        <v>256.66666666666669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259.99999999999983</v>
      </c>
      <c r="O113" s="13">
        <f>N113*VLOOKUP('Données projet'!$B$9,Paramètres!$A$1:$I$89,3,0)*VLOOKUP('Données projet'!$B$9,Paramètres!$A$1:$I$89,5,0)</f>
        <v>227.13599999999985</v>
      </c>
      <c r="P113" s="13">
        <f t="shared" si="87"/>
        <v>55.662966886685133</v>
      </c>
      <c r="Q113" s="20">
        <f t="shared" si="107"/>
        <v>492.5415339943097</v>
      </c>
      <c r="R113" s="59">
        <f t="shared" si="55"/>
        <v>785.87486732764296</v>
      </c>
      <c r="S113" s="59">
        <f ca="1">AVERAGE(OFFSET($R$3,0,0,'Données projet'!$E$9+1,1))-AVERAGE(OFFSET($H$3,0,0,'Données projet'!$E$9+1,1))</f>
        <v>381.72225529388083</v>
      </c>
      <c r="T113" s="59">
        <f t="shared" si="88"/>
        <v>360.05900046417361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52.485338220170412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52.485338220170412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304.99999999999994</v>
      </c>
      <c r="AJ113" s="13">
        <f>AI113*VLOOKUP('Données projet'!$B$10,Paramètres!$A$1:$I$89,3,0)*VLOOKUP('Données projet'!$B$10,Paramètres!$A$1:$I$89,5,0)</f>
        <v>275.96399999999994</v>
      </c>
      <c r="AK113" s="13">
        <f t="shared" si="89"/>
        <v>66.113366665488911</v>
      </c>
      <c r="AL113" s="20">
        <f t="shared" si="58"/>
        <v>595.7847469423931</v>
      </c>
      <c r="AM113" s="59">
        <f t="shared" si="59"/>
        <v>889.11808027572647</v>
      </c>
      <c r="AN113" s="59">
        <f ca="1">AVERAGE(OFFSET($AM$3,0,0,'Données projet'!$E$10+1,1))-AVERAGE(OFFSET($H$3,0,0,'Données projet'!$E$10+1,1))</f>
        <v>366.43676005661194</v>
      </c>
      <c r="AO113" s="59">
        <f t="shared" si="90"/>
        <v>513.80016421153414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1.7164044630331696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1.7164044630331696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0.8600000000003547</v>
      </c>
      <c r="BE113" s="13">
        <f>BD113*VLOOKUP('Données projet'!$B$11,Paramètres!$A$1:$I$89,3,0)*VLOOKUP('Données projet'!$B$11,Paramètres!$A$1:$I$89,5,0)</f>
        <v>0.38012000000015683</v>
      </c>
      <c r="BF113" s="13">
        <f t="shared" si="91"/>
        <v>0.19605142963512551</v>
      </c>
      <c r="BG113" s="20">
        <f t="shared" si="61"/>
        <v>1.0034985732814501</v>
      </c>
      <c r="BH113" s="59">
        <f t="shared" si="62"/>
        <v>294.33683190661475</v>
      </c>
      <c r="BI113" s="59">
        <f ca="1">AVERAGE(OFFSET($BH$3,0,0,'Données projet'!$E$11+1,1))-AVERAGE(OFFSET($H$3,0,0,'Données projet'!$E$11+1,1))</f>
        <v>328.58609979635901</v>
      </c>
      <c r="BJ113" s="59">
        <f t="shared" si="92"/>
        <v>432.3494365423407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98.914699681641153</v>
      </c>
      <c r="BQ113" s="21">
        <f>EXP(-LN(2)/25)*BQ112+(1-EXP(-LN(2)/25))/(LN(2)/25)*Calculateur!BL113*Calculateur!BN113*VLOOKUP('Données projet'!$B$11,Paramètres!$A$1:$I$89,3,0)*0.475*44/12</f>
        <v>4.3512932077905342</v>
      </c>
      <c r="BR113" s="21">
        <f>EXP(-LN(2)/2)*BR112+(1-EXP(-LN(2)/2))/(LN(2)/2)*BL113*BO113*VLOOKUP('Données projet'!$B$11,Paramètres!$A$1:$I$89,3,0)*0.475*44/12</f>
        <v>5.3210300537516486E-13</v>
      </c>
      <c r="BS113" s="22">
        <f t="shared" si="63"/>
        <v>103.26599288943221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9.4029999999999916</v>
      </c>
      <c r="BY113" s="12">
        <f>IF('Données projet'!$A$114&gt;35,BY112+BX113-CG112,IF(A113&lt;'Données projet'!$A$114,$BV$205^A113,IF(A113='Données projet'!$A$114,'Données projet'!$B$114,BY112+BX113-CG112)))</f>
        <v>441.4130000000003</v>
      </c>
      <c r="BZ113" s="13">
        <f>BY113*VLOOKUP('Données projet'!$B$12,Paramètres!$A$1:$I$89,3,0)*VLOOKUP('Données projet'!$B$12,Paramètres!$A$1:$I$89,5,0)</f>
        <v>420.04861080000029</v>
      </c>
      <c r="CA113" s="13">
        <f t="shared" si="93"/>
        <v>95.829572261379582</v>
      </c>
      <c r="CB113" s="20">
        <f t="shared" si="64"/>
        <v>898.48783549856989</v>
      </c>
      <c r="CC113" s="59">
        <f t="shared" si="65"/>
        <v>1191.8211688319032</v>
      </c>
      <c r="CD113" s="59">
        <f ca="1">AVERAGE(OFFSET($CC$3,0,0,'Données projet'!$E$12+1,1))-AVERAGE(OFFSET($H$3,0,0,'Données projet'!$E$12+1,1))</f>
        <v>555.3092253965317</v>
      </c>
      <c r="CE113" s="59">
        <f t="shared" si="94"/>
        <v>292.20785523952651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136.82258278930414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136.82258278930414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243</v>
      </c>
      <c r="CU113" s="17">
        <f>CT113*VLOOKUP('Données projet'!$B$13,Paramètres!$A$1:$I$89,3,0)*VLOOKUP('Données projet'!$B$13,Paramètres!$A$1:$I$89,5,0)</f>
        <v>155.4228</v>
      </c>
      <c r="CV113" s="13">
        <f t="shared" si="95"/>
        <v>39.808377687614154</v>
      </c>
      <c r="CW113" s="20">
        <f t="shared" si="67"/>
        <v>340.02763447259463</v>
      </c>
      <c r="CX113" s="59">
        <f t="shared" si="68"/>
        <v>633.36096780592788</v>
      </c>
      <c r="CY113" s="59">
        <f ca="1">AVERAGE(OFFSET($CX$3,0,0,'Données projet'!$E$13+1,1))-AVERAGE(OFFSET($H$3,0,0,'Données projet'!$E$13+1,1))</f>
        <v>269.44168853803717</v>
      </c>
      <c r="CZ113" s="59">
        <f t="shared" si="96"/>
        <v>247.65158389074043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33.71712621522633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33.71712621522633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6">
        <f t="shared" si="56"/>
        <v>256.66666666666669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259.99999999999983</v>
      </c>
      <c r="O114" s="13">
        <f>N114*VLOOKUP('Données projet'!$B$9,Paramètres!$A$1:$I$89,3,0)*VLOOKUP('Données projet'!$B$9,Paramètres!$A$1:$I$89,5,0)</f>
        <v>227.13599999999985</v>
      </c>
      <c r="P114" s="13">
        <f t="shared" si="87"/>
        <v>55.662966886685133</v>
      </c>
      <c r="Q114" s="20">
        <f t="shared" si="107"/>
        <v>492.5415339943097</v>
      </c>
      <c r="R114" s="59">
        <f t="shared" si="55"/>
        <v>785.87486732764296</v>
      </c>
      <c r="S114" s="59">
        <f ca="1">AVERAGE(OFFSET($R$3,0,0,'Données projet'!$E$9+1,1))-AVERAGE(OFFSET($H$3,0,0,'Données projet'!$E$9+1,1))</f>
        <v>381.72225529388083</v>
      </c>
      <c r="T114" s="59">
        <f t="shared" si="88"/>
        <v>360.05900046417361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51.456132750568173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51.456132750568173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304.99999999999994</v>
      </c>
      <c r="AJ114" s="13">
        <f>AI114*VLOOKUP('Données projet'!$B$10,Paramètres!$A$1:$I$89,3,0)*VLOOKUP('Données projet'!$B$10,Paramètres!$A$1:$I$89,5,0)</f>
        <v>275.96399999999994</v>
      </c>
      <c r="AK114" s="13">
        <f t="shared" si="89"/>
        <v>66.113366665488911</v>
      </c>
      <c r="AL114" s="20">
        <f t="shared" si="58"/>
        <v>595.7847469423931</v>
      </c>
      <c r="AM114" s="59">
        <f t="shared" si="59"/>
        <v>889.11808027572647</v>
      </c>
      <c r="AN114" s="59">
        <f ca="1">AVERAGE(OFFSET($AM$3,0,0,'Données projet'!$E$10+1,1))-AVERAGE(OFFSET($H$3,0,0,'Données projet'!$E$10+1,1))</f>
        <v>366.43676005661194</v>
      </c>
      <c r="AO114" s="59">
        <f t="shared" si="90"/>
        <v>513.80016421153414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1.6827468184164385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1.6827468184164385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0.8600000000003547</v>
      </c>
      <c r="BE114" s="13">
        <f>BD114*VLOOKUP('Données projet'!$B$11,Paramètres!$A$1:$I$89,3,0)*VLOOKUP('Données projet'!$B$11,Paramètres!$A$1:$I$89,5,0)</f>
        <v>0.38012000000015683</v>
      </c>
      <c r="BF114" s="13">
        <f t="shared" si="91"/>
        <v>0.19605142963512551</v>
      </c>
      <c r="BG114" s="20">
        <f t="shared" si="61"/>
        <v>1.0034985732814501</v>
      </c>
      <c r="BH114" s="59">
        <f t="shared" si="62"/>
        <v>294.33683190661475</v>
      </c>
      <c r="BI114" s="59">
        <f ca="1">AVERAGE(OFFSET($BH$3,0,0,'Données projet'!$E$11+1,1))-AVERAGE(OFFSET($H$3,0,0,'Données projet'!$E$11+1,1))</f>
        <v>328.58609979635901</v>
      </c>
      <c r="BJ114" s="59">
        <f t="shared" si="92"/>
        <v>432.3494365423407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96.975042752893685</v>
      </c>
      <c r="BQ114" s="21">
        <f>EXP(-LN(2)/25)*BQ113+(1-EXP(-LN(2)/25))/(LN(2)/25)*Calculateur!BL114*Calculateur!BN114*VLOOKUP('Données projet'!$B$11,Paramètres!$A$1:$I$89,3,0)*0.475*44/12</f>
        <v>4.2323068661989369</v>
      </c>
      <c r="BR114" s="21">
        <f>EXP(-LN(2)/2)*BR113+(1-EXP(-LN(2)/2))/(LN(2)/2)*BL114*BO114*VLOOKUP('Données projet'!$B$11,Paramètres!$A$1:$I$89,3,0)*0.475*44/12</f>
        <v>3.7625364339052103E-13</v>
      </c>
      <c r="BS114" s="22">
        <f t="shared" si="63"/>
        <v>101.20734961909299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9.4029999999999916</v>
      </c>
      <c r="BY114" s="12">
        <f>IF('Données projet'!$A$114&gt;35,BY113+BX114-CG113,IF(A114&lt;'Données projet'!$A$114,$BV$205^A114,IF(A114='Données projet'!$A$114,'Données projet'!$B$114,BY113+BX114-CG113)))</f>
        <v>450.81600000000026</v>
      </c>
      <c r="BZ114" s="13">
        <f>BY114*VLOOKUP('Données projet'!$B$12,Paramètres!$A$1:$I$89,3,0)*VLOOKUP('Données projet'!$B$12,Paramètres!$A$1:$I$89,5,0)</f>
        <v>428.99650560000026</v>
      </c>
      <c r="CA114" s="13">
        <f t="shared" si="93"/>
        <v>97.631104491925242</v>
      </c>
      <c r="CB114" s="20">
        <f t="shared" si="64"/>
        <v>917.20975424343681</v>
      </c>
      <c r="CC114" s="59">
        <f t="shared" si="65"/>
        <v>1210.5430875767702</v>
      </c>
      <c r="CD114" s="59">
        <f ca="1">AVERAGE(OFFSET($CC$3,0,0,'Données projet'!$E$12+1,1))-AVERAGE(OFFSET($H$3,0,0,'Données projet'!$E$12+1,1))</f>
        <v>555.3092253965317</v>
      </c>
      <c r="CE114" s="59">
        <f t="shared" si="94"/>
        <v>292.20785523952651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134.13957539434102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134.13957539434102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243</v>
      </c>
      <c r="CU114" s="17">
        <f>CT114*VLOOKUP('Données projet'!$B$13,Paramètres!$A$1:$I$89,3,0)*VLOOKUP('Données projet'!$B$13,Paramètres!$A$1:$I$89,5,0)</f>
        <v>155.4228</v>
      </c>
      <c r="CV114" s="13">
        <f t="shared" si="95"/>
        <v>39.808377687614154</v>
      </c>
      <c r="CW114" s="20">
        <f t="shared" si="67"/>
        <v>340.02763447259463</v>
      </c>
      <c r="CX114" s="59">
        <f t="shared" si="68"/>
        <v>633.36096780592788</v>
      </c>
      <c r="CY114" s="59">
        <f ca="1">AVERAGE(OFFSET($CX$3,0,0,'Données projet'!$E$13+1,1))-AVERAGE(OFFSET($H$3,0,0,'Données projet'!$E$13+1,1))</f>
        <v>269.44168853803717</v>
      </c>
      <c r="CZ114" s="59">
        <f t="shared" si="96"/>
        <v>247.65158389074043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33.055953935562066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33.055953935562066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6">
        <f t="shared" si="56"/>
        <v>256.66666666666669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259.99999999999983</v>
      </c>
      <c r="O115" s="13">
        <f>N115*VLOOKUP('Données projet'!$B$9,Paramètres!$A$1:$I$89,3,0)*VLOOKUP('Données projet'!$B$9,Paramètres!$A$1:$I$89,5,0)</f>
        <v>227.13599999999985</v>
      </c>
      <c r="P115" s="13">
        <f t="shared" si="87"/>
        <v>55.662966886685133</v>
      </c>
      <c r="Q115" s="20">
        <f t="shared" si="107"/>
        <v>492.5415339943097</v>
      </c>
      <c r="R115" s="59">
        <f t="shared" si="55"/>
        <v>785.87486732764296</v>
      </c>
      <c r="S115" s="59">
        <f ca="1">AVERAGE(OFFSET($R$3,0,0,'Données projet'!$E$9+1,1))-AVERAGE(OFFSET($H$3,0,0,'Données projet'!$E$9+1,1))</f>
        <v>381.72225529388083</v>
      </c>
      <c r="T115" s="59">
        <f t="shared" si="88"/>
        <v>360.05900046417361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50.447109372471481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50.447109372471481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304.99999999999994</v>
      </c>
      <c r="AJ115" s="13">
        <f>AI115*VLOOKUP('Données projet'!$B$10,Paramètres!$A$1:$I$89,3,0)*VLOOKUP('Données projet'!$B$10,Paramètres!$A$1:$I$89,5,0)</f>
        <v>275.96399999999994</v>
      </c>
      <c r="AK115" s="13">
        <f t="shared" si="89"/>
        <v>66.113366665488911</v>
      </c>
      <c r="AL115" s="20">
        <f t="shared" si="58"/>
        <v>595.7847469423931</v>
      </c>
      <c r="AM115" s="59">
        <f t="shared" si="59"/>
        <v>889.11808027572647</v>
      </c>
      <c r="AN115" s="59">
        <f ca="1">AVERAGE(OFFSET($AM$3,0,0,'Données projet'!$E$10+1,1))-AVERAGE(OFFSET($H$3,0,0,'Données projet'!$E$10+1,1))</f>
        <v>366.43676005661194</v>
      </c>
      <c r="AO115" s="59">
        <f t="shared" si="90"/>
        <v>513.80016421153414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1.6497491796815054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1.6497491796815054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0.8600000000003547</v>
      </c>
      <c r="BE115" s="13">
        <f>BD115*VLOOKUP('Données projet'!$B$11,Paramètres!$A$1:$I$89,3,0)*VLOOKUP('Données projet'!$B$11,Paramètres!$A$1:$I$89,5,0)</f>
        <v>0.38012000000015683</v>
      </c>
      <c r="BF115" s="13">
        <f t="shared" si="91"/>
        <v>0.19605142963512551</v>
      </c>
      <c r="BG115" s="20">
        <f t="shared" si="61"/>
        <v>1.0034985732814501</v>
      </c>
      <c r="BH115" s="59">
        <f t="shared" si="62"/>
        <v>294.33683190661475</v>
      </c>
      <c r="BI115" s="59">
        <f ca="1">AVERAGE(OFFSET($BH$3,0,0,'Données projet'!$E$11+1,1))-AVERAGE(OFFSET($H$3,0,0,'Données projet'!$E$11+1,1))</f>
        <v>328.58609979635901</v>
      </c>
      <c r="BJ115" s="59">
        <f t="shared" si="92"/>
        <v>432.3494365423407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95.073421313445053</v>
      </c>
      <c r="BQ115" s="21">
        <f>EXP(-LN(2)/25)*BQ114+(1-EXP(-LN(2)/25))/(LN(2)/25)*Calculateur!BL115*Calculateur!BN115*VLOOKUP('Données projet'!$B$11,Paramètres!$A$1:$I$89,3,0)*0.475*44/12</f>
        <v>4.1165742123753821</v>
      </c>
      <c r="BR115" s="21">
        <f>EXP(-LN(2)/2)*BR114+(1-EXP(-LN(2)/2))/(LN(2)/2)*BL115*BO115*VLOOKUP('Données projet'!$B$11,Paramètres!$A$1:$I$89,3,0)*0.475*44/12</f>
        <v>2.6605150268758243E-13</v>
      </c>
      <c r="BS115" s="22">
        <f t="shared" si="63"/>
        <v>99.189995525820706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9.4029999999999916</v>
      </c>
      <c r="BY115" s="12">
        <f>IF('Données projet'!$A$114&gt;35,BY114+BX115-CG114,IF(A115&lt;'Données projet'!$A$114,$BV$205^A115,IF(A115='Données projet'!$A$114,'Données projet'!$B$114,BY114+BX115-CG114)))</f>
        <v>460.21900000000028</v>
      </c>
      <c r="BZ115" s="13">
        <f>BY115*VLOOKUP('Données projet'!$B$12,Paramètres!$A$1:$I$89,3,0)*VLOOKUP('Données projet'!$B$12,Paramètres!$A$1:$I$89,5,0)</f>
        <v>437.94440040000029</v>
      </c>
      <c r="CA115" s="13">
        <f t="shared" si="93"/>
        <v>99.428267860478925</v>
      </c>
      <c r="CB115" s="20">
        <f t="shared" si="64"/>
        <v>935.92406388700135</v>
      </c>
      <c r="CC115" s="59">
        <f t="shared" si="65"/>
        <v>1229.2573972203347</v>
      </c>
      <c r="CD115" s="59">
        <f ca="1">AVERAGE(OFFSET($CC$3,0,0,'Données projet'!$E$12+1,1))-AVERAGE(OFFSET($H$3,0,0,'Données projet'!$E$12+1,1))</f>
        <v>555.3092253965317</v>
      </c>
      <c r="CE115" s="59">
        <f t="shared" si="94"/>
        <v>292.20785523952651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131.50918013792023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131.50918013792023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243</v>
      </c>
      <c r="CU115" s="17">
        <f>CT115*VLOOKUP('Données projet'!$B$13,Paramètres!$A$1:$I$89,3,0)*VLOOKUP('Données projet'!$B$13,Paramètres!$A$1:$I$89,5,0)</f>
        <v>155.4228</v>
      </c>
      <c r="CV115" s="13">
        <f t="shared" si="95"/>
        <v>39.808377687614154</v>
      </c>
      <c r="CW115" s="20">
        <f t="shared" si="67"/>
        <v>340.02763447259463</v>
      </c>
      <c r="CX115" s="59">
        <f t="shared" si="68"/>
        <v>633.36096780592788</v>
      </c>
      <c r="CY115" s="59">
        <f ca="1">AVERAGE(OFFSET($CX$3,0,0,'Données projet'!$E$13+1,1))-AVERAGE(OFFSET($H$3,0,0,'Données projet'!$E$13+1,1))</f>
        <v>269.44168853803717</v>
      </c>
      <c r="CZ115" s="59">
        <f t="shared" si="96"/>
        <v>247.65158389074043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32.40774684102675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32.40774684102675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6">
        <f t="shared" si="56"/>
        <v>256.66666666666669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259.99999999999983</v>
      </c>
      <c r="O116" s="13">
        <f>N116*VLOOKUP('Données projet'!$B$9,Paramètres!$A$1:$I$89,3,0)*VLOOKUP('Données projet'!$B$9,Paramètres!$A$1:$I$89,5,0)</f>
        <v>227.13599999999985</v>
      </c>
      <c r="P116" s="13">
        <f t="shared" si="87"/>
        <v>55.662966886685133</v>
      </c>
      <c r="Q116" s="20">
        <f t="shared" si="107"/>
        <v>492.5415339943097</v>
      </c>
      <c r="R116" s="59">
        <f t="shared" si="55"/>
        <v>785.87486732764296</v>
      </c>
      <c r="S116" s="59">
        <f ca="1">AVERAGE(OFFSET($R$3,0,0,'Données projet'!$E$9+1,1))-AVERAGE(OFFSET($H$3,0,0,'Données projet'!$E$9+1,1))</f>
        <v>381.72225529388083</v>
      </c>
      <c r="T116" s="59">
        <f t="shared" si="88"/>
        <v>360.05900046417361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49.457872327375775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49.457872327375775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304.99999999999994</v>
      </c>
      <c r="AJ116" s="13">
        <f>AI116*VLOOKUP('Données projet'!$B$10,Paramètres!$A$1:$I$89,3,0)*VLOOKUP('Données projet'!$B$10,Paramètres!$A$1:$I$89,5,0)</f>
        <v>275.96399999999994</v>
      </c>
      <c r="AK116" s="13">
        <f t="shared" si="89"/>
        <v>66.113366665488911</v>
      </c>
      <c r="AL116" s="20">
        <f t="shared" si="58"/>
        <v>595.7847469423931</v>
      </c>
      <c r="AM116" s="59">
        <f t="shared" si="59"/>
        <v>889.11808027572647</v>
      </c>
      <c r="AN116" s="59">
        <f ca="1">AVERAGE(OFFSET($AM$3,0,0,'Données projet'!$E$10+1,1))-AVERAGE(OFFSET($H$3,0,0,'Données projet'!$E$10+1,1))</f>
        <v>366.43676005661194</v>
      </c>
      <c r="AO116" s="59">
        <f t="shared" si="90"/>
        <v>513.80016421153414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1.6173986045155919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1.6173986045155919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0.8600000000003547</v>
      </c>
      <c r="BE116" s="13">
        <f>BD116*VLOOKUP('Données projet'!$B$11,Paramètres!$A$1:$I$89,3,0)*VLOOKUP('Données projet'!$B$11,Paramètres!$A$1:$I$89,5,0)</f>
        <v>0.38012000000015683</v>
      </c>
      <c r="BF116" s="13">
        <f t="shared" si="91"/>
        <v>0.19605142963512551</v>
      </c>
      <c r="BG116" s="20">
        <f t="shared" si="61"/>
        <v>1.0034985732814501</v>
      </c>
      <c r="BH116" s="59">
        <f t="shared" si="62"/>
        <v>294.33683190661475</v>
      </c>
      <c r="BI116" s="59">
        <f ca="1">AVERAGE(OFFSET($BH$3,0,0,'Données projet'!$E$11+1,1))-AVERAGE(OFFSET($H$3,0,0,'Données projet'!$E$11+1,1))</f>
        <v>328.58609979635901</v>
      </c>
      <c r="BJ116" s="59">
        <f t="shared" si="92"/>
        <v>432.3494365423407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93.209089510549447</v>
      </c>
      <c r="BQ116" s="21">
        <f>EXP(-LN(2)/25)*BQ115+(1-EXP(-LN(2)/25))/(LN(2)/25)*Calculateur!BL116*Calculateur!BN116*VLOOKUP('Données projet'!$B$11,Paramètres!$A$1:$I$89,3,0)*0.475*44/12</f>
        <v>4.0040062740567484</v>
      </c>
      <c r="BR116" s="21">
        <f>EXP(-LN(2)/2)*BR115+(1-EXP(-LN(2)/2))/(LN(2)/2)*BL116*BO116*VLOOKUP('Données projet'!$B$11,Paramètres!$A$1:$I$89,3,0)*0.475*44/12</f>
        <v>1.8812682169526051E-13</v>
      </c>
      <c r="BS116" s="22">
        <f t="shared" si="63"/>
        <v>97.213095784606381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9.4029999999999916</v>
      </c>
      <c r="BY116" s="12">
        <f>IF('Données projet'!$A$114&gt;35,BY115+BX116-CG115,IF(A116&lt;'Données projet'!$A$114,$BV$205^A116,IF(A116='Données projet'!$A$114,'Données projet'!$B$114,BY115+BX116-CG115)))</f>
        <v>469.6220000000003</v>
      </c>
      <c r="BZ116" s="13">
        <f>BY116*VLOOKUP('Données projet'!$B$12,Paramètres!$A$1:$I$89,3,0)*VLOOKUP('Données projet'!$B$12,Paramètres!$A$1:$I$89,5,0)</f>
        <v>446.89229520000032</v>
      </c>
      <c r="CA116" s="13">
        <f t="shared" si="93"/>
        <v>101.22116191554059</v>
      </c>
      <c r="CB116" s="20">
        <f t="shared" si="64"/>
        <v>954.63093780956694</v>
      </c>
      <c r="CC116" s="59">
        <f t="shared" si="65"/>
        <v>1247.9642711429003</v>
      </c>
      <c r="CD116" s="59">
        <f ca="1">AVERAGE(OFFSET($CC$3,0,0,'Données projet'!$E$12+1,1))-AVERAGE(OFFSET($H$3,0,0,'Données projet'!$E$12+1,1))</f>
        <v>555.3092253965317</v>
      </c>
      <c r="CE116" s="59">
        <f t="shared" si="94"/>
        <v>292.20785523952651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128.93036532809515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128.93036532809515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243</v>
      </c>
      <c r="CU116" s="17">
        <f>CT116*VLOOKUP('Données projet'!$B$13,Paramètres!$A$1:$I$89,3,0)*VLOOKUP('Données projet'!$B$13,Paramètres!$A$1:$I$89,5,0)</f>
        <v>155.4228</v>
      </c>
      <c r="CV116" s="13">
        <f t="shared" si="95"/>
        <v>39.808377687614154</v>
      </c>
      <c r="CW116" s="20">
        <f t="shared" si="67"/>
        <v>340.02763447259463</v>
      </c>
      <c r="CX116" s="59">
        <f t="shared" si="68"/>
        <v>633.36096780592788</v>
      </c>
      <c r="CY116" s="59">
        <f ca="1">AVERAGE(OFFSET($CX$3,0,0,'Données projet'!$E$13+1,1))-AVERAGE(OFFSET($H$3,0,0,'Données projet'!$E$13+1,1))</f>
        <v>269.44168853803717</v>
      </c>
      <c r="CZ116" s="59">
        <f t="shared" si="96"/>
        <v>247.65158389074043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31.772250692247983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31.772250692247983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6">
        <f t="shared" si="56"/>
        <v>256.66666666666669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259.99999999999983</v>
      </c>
      <c r="O117" s="13">
        <f>N117*VLOOKUP('Données projet'!$B$9,Paramètres!$A$1:$I$89,3,0)*VLOOKUP('Données projet'!$B$9,Paramètres!$A$1:$I$89,5,0)</f>
        <v>227.13599999999985</v>
      </c>
      <c r="P117" s="13">
        <f t="shared" si="87"/>
        <v>55.662966886685133</v>
      </c>
      <c r="Q117" s="20">
        <f t="shared" si="107"/>
        <v>492.5415339943097</v>
      </c>
      <c r="R117" s="59">
        <f t="shared" si="55"/>
        <v>785.87486732764296</v>
      </c>
      <c r="S117" s="59">
        <f ca="1">AVERAGE(OFFSET($R$3,0,0,'Données projet'!$E$9+1,1))-AVERAGE(OFFSET($H$3,0,0,'Données projet'!$E$9+1,1))</f>
        <v>381.72225529388083</v>
      </c>
      <c r="T117" s="59">
        <f t="shared" si="88"/>
        <v>360.05900046417361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48.488033617359378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48.488033617359378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304.99999999999994</v>
      </c>
      <c r="AJ117" s="13">
        <f>AI117*VLOOKUP('Données projet'!$B$10,Paramètres!$A$1:$I$89,3,0)*VLOOKUP('Données projet'!$B$10,Paramètres!$A$1:$I$89,5,0)</f>
        <v>275.96399999999994</v>
      </c>
      <c r="AK117" s="13">
        <f t="shared" si="89"/>
        <v>66.113366665488911</v>
      </c>
      <c r="AL117" s="20">
        <f t="shared" si="58"/>
        <v>595.7847469423931</v>
      </c>
      <c r="AM117" s="59">
        <f t="shared" si="59"/>
        <v>889.11808027572647</v>
      </c>
      <c r="AN117" s="59">
        <f ca="1">AVERAGE(OFFSET($AM$3,0,0,'Données projet'!$E$10+1,1))-AVERAGE(OFFSET($H$3,0,0,'Données projet'!$E$10+1,1))</f>
        <v>366.43676005661194</v>
      </c>
      <c r="AO117" s="59">
        <f t="shared" si="90"/>
        <v>513.80016421153414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1.5856824043967797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1.5856824043967797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0.8600000000003547</v>
      </c>
      <c r="BE117" s="13">
        <f>BD117*VLOOKUP('Données projet'!$B$11,Paramètres!$A$1:$I$89,3,0)*VLOOKUP('Données projet'!$B$11,Paramètres!$A$1:$I$89,5,0)</f>
        <v>0.38012000000015683</v>
      </c>
      <c r="BF117" s="13">
        <f t="shared" si="91"/>
        <v>0.19605142963512551</v>
      </c>
      <c r="BG117" s="20">
        <f t="shared" si="61"/>
        <v>1.0034985732814501</v>
      </c>
      <c r="BH117" s="59">
        <f t="shared" si="62"/>
        <v>294.33683190661475</v>
      </c>
      <c r="BI117" s="59">
        <f ca="1">AVERAGE(OFFSET($BH$3,0,0,'Données projet'!$E$11+1,1))-AVERAGE(OFFSET($H$3,0,0,'Données projet'!$E$11+1,1))</f>
        <v>328.58609979635901</v>
      </c>
      <c r="BJ117" s="59">
        <f t="shared" si="92"/>
        <v>432.3494365423407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91.381316117178514</v>
      </c>
      <c r="BQ117" s="21">
        <f>EXP(-LN(2)/25)*BQ116+(1-EXP(-LN(2)/25))/(LN(2)/25)*Calculateur!BL117*Calculateur!BN117*VLOOKUP('Données projet'!$B$11,Paramètres!$A$1:$I$89,3,0)*0.475*44/12</f>
        <v>3.894516511931128</v>
      </c>
      <c r="BR117" s="21">
        <f>EXP(-LN(2)/2)*BR116+(1-EXP(-LN(2)/2))/(LN(2)/2)*BL117*BO117*VLOOKUP('Données projet'!$B$11,Paramètres!$A$1:$I$89,3,0)*0.475*44/12</f>
        <v>1.3302575134379122E-13</v>
      </c>
      <c r="BS117" s="22">
        <f t="shared" si="63"/>
        <v>95.275832629109772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9.4029999999999916</v>
      </c>
      <c r="BY117" s="12">
        <f>IF('Données projet'!$A$114&gt;35,BY116+BX117-CG116,IF(A117&lt;'Données projet'!$A$114,$BV$205^A117,IF(A117='Données projet'!$A$114,'Données projet'!$B$114,BY116+BX117-CG116)))</f>
        <v>479.02500000000032</v>
      </c>
      <c r="BZ117" s="13">
        <f>BY117*VLOOKUP('Données projet'!$B$12,Paramètres!$A$1:$I$89,3,0)*VLOOKUP('Données projet'!$B$12,Paramètres!$A$1:$I$89,5,0)</f>
        <v>455.84019000000035</v>
      </c>
      <c r="CA117" s="13">
        <f t="shared" si="93"/>
        <v>103.00988199125129</v>
      </c>
      <c r="CB117" s="20">
        <f t="shared" si="64"/>
        <v>973.3305420514298</v>
      </c>
      <c r="CC117" s="59">
        <f t="shared" si="65"/>
        <v>1266.6638753847631</v>
      </c>
      <c r="CD117" s="59">
        <f ca="1">AVERAGE(OFFSET($CC$3,0,0,'Données projet'!$E$12+1,1))-AVERAGE(OFFSET($H$3,0,0,'Données projet'!$E$12+1,1))</f>
        <v>555.3092253965317</v>
      </c>
      <c r="CE117" s="59">
        <f t="shared" si="94"/>
        <v>292.20785523952651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126.40211950376903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126.40211950376903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243</v>
      </c>
      <c r="CU117" s="17">
        <f>CT117*VLOOKUP('Données projet'!$B$13,Paramètres!$A$1:$I$89,3,0)*VLOOKUP('Données projet'!$B$13,Paramètres!$A$1:$I$89,5,0)</f>
        <v>155.4228</v>
      </c>
      <c r="CV117" s="13">
        <f t="shared" si="95"/>
        <v>39.808377687614154</v>
      </c>
      <c r="CW117" s="20">
        <f t="shared" si="67"/>
        <v>340.02763447259463</v>
      </c>
      <c r="CX117" s="59">
        <f t="shared" si="68"/>
        <v>633.36096780592788</v>
      </c>
      <c r="CY117" s="59">
        <f ca="1">AVERAGE(OFFSET($CX$3,0,0,'Données projet'!$E$13+1,1))-AVERAGE(OFFSET($H$3,0,0,'Données projet'!$E$13+1,1))</f>
        <v>269.44168853803717</v>
      </c>
      <c r="CZ117" s="59">
        <f t="shared" si="96"/>
        <v>247.65158389074043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31.149216235332389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31.149216235332389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6">
        <f t="shared" si="56"/>
        <v>256.66666666666669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259.99999999999983</v>
      </c>
      <c r="O118" s="13">
        <f>N118*VLOOKUP('Données projet'!$B$9,Paramètres!$A$1:$I$89,3,0)*VLOOKUP('Données projet'!$B$9,Paramètres!$A$1:$I$89,5,0)</f>
        <v>227.13599999999985</v>
      </c>
      <c r="P118" s="13">
        <f t="shared" si="87"/>
        <v>55.662966886685133</v>
      </c>
      <c r="Q118" s="20">
        <f t="shared" si="107"/>
        <v>492.5415339943097</v>
      </c>
      <c r="R118" s="59">
        <f t="shared" si="55"/>
        <v>785.87486732764296</v>
      </c>
      <c r="S118" s="59">
        <f ca="1">AVERAGE(OFFSET($R$3,0,0,'Données projet'!$E$9+1,1))-AVERAGE(OFFSET($H$3,0,0,'Données projet'!$E$9+1,1))</f>
        <v>381.72225529388083</v>
      </c>
      <c r="T118" s="59">
        <f t="shared" si="88"/>
        <v>360.05900046417361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47.537212852903203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47.537212852903203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304.99999999999994</v>
      </c>
      <c r="AJ118" s="13">
        <f>AI118*VLOOKUP('Données projet'!$B$10,Paramètres!$A$1:$I$89,3,0)*VLOOKUP('Données projet'!$B$10,Paramètres!$A$1:$I$89,5,0)</f>
        <v>275.96399999999994</v>
      </c>
      <c r="AK118" s="13">
        <f t="shared" si="89"/>
        <v>66.113366665488911</v>
      </c>
      <c r="AL118" s="20">
        <f t="shared" si="58"/>
        <v>595.7847469423931</v>
      </c>
      <c r="AM118" s="59">
        <f t="shared" si="59"/>
        <v>889.11808027572647</v>
      </c>
      <c r="AN118" s="59">
        <f ca="1">AVERAGE(OFFSET($AM$3,0,0,'Données projet'!$E$10+1,1))-AVERAGE(OFFSET($H$3,0,0,'Données projet'!$E$10+1,1))</f>
        <v>366.43676005661194</v>
      </c>
      <c r="AO118" s="59">
        <f t="shared" si="90"/>
        <v>513.80016421153414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1.5545881396173253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1.5545881396173253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0.8600000000003547</v>
      </c>
      <c r="BE118" s="13">
        <f>BD118*VLOOKUP('Données projet'!$B$11,Paramètres!$A$1:$I$89,3,0)*VLOOKUP('Données projet'!$B$11,Paramètres!$A$1:$I$89,5,0)</f>
        <v>0.38012000000015683</v>
      </c>
      <c r="BF118" s="13">
        <f t="shared" si="91"/>
        <v>0.19605142963512551</v>
      </c>
      <c r="BG118" s="20">
        <f t="shared" si="61"/>
        <v>1.0034985732814501</v>
      </c>
      <c r="BH118" s="59">
        <f t="shared" si="62"/>
        <v>294.33683190661475</v>
      </c>
      <c r="BI118" s="59">
        <f ca="1">AVERAGE(OFFSET($BH$3,0,0,'Données projet'!$E$11+1,1))-AVERAGE(OFFSET($H$3,0,0,'Données projet'!$E$11+1,1))</f>
        <v>328.58609979635901</v>
      </c>
      <c r="BJ118" s="59">
        <f t="shared" si="92"/>
        <v>432.3494365423407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89.58938424521989</v>
      </c>
      <c r="BQ118" s="21">
        <f>EXP(-LN(2)/25)*BQ117+(1-EXP(-LN(2)/25))/(LN(2)/25)*Calculateur!BL118*Calculateur!BN118*VLOOKUP('Données projet'!$B$11,Paramètres!$A$1:$I$89,3,0)*0.475*44/12</f>
        <v>3.7880207531086492</v>
      </c>
      <c r="BR118" s="21">
        <f>EXP(-LN(2)/2)*BR117+(1-EXP(-LN(2)/2))/(LN(2)/2)*BL118*BO118*VLOOKUP('Données projet'!$B$11,Paramètres!$A$1:$I$89,3,0)*0.475*44/12</f>
        <v>9.4063410847630257E-14</v>
      </c>
      <c r="BS118" s="22">
        <f t="shared" si="63"/>
        <v>93.377404998328643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9.4029999999999916</v>
      </c>
      <c r="BY118" s="12">
        <f>IF('Données projet'!$A$114&gt;35,BY117+BX118-CG117,IF(A118&lt;'Données projet'!$A$114,$BV$205^A118,IF(A118='Données projet'!$A$114,'Données projet'!$B$114,BY117+BX118-CG117)))</f>
        <v>488.42800000000034</v>
      </c>
      <c r="BZ118" s="13">
        <f>BY118*VLOOKUP('Données projet'!$B$12,Paramètres!$A$1:$I$89,3,0)*VLOOKUP('Données projet'!$B$12,Paramètres!$A$1:$I$89,5,0)</f>
        <v>464.78808480000038</v>
      </c>
      <c r="CA118" s="13">
        <f t="shared" si="93"/>
        <v>104.79451946497053</v>
      </c>
      <c r="CB118" s="20">
        <f t="shared" si="64"/>
        <v>992.02303576149086</v>
      </c>
      <c r="CC118" s="59">
        <f t="shared" si="65"/>
        <v>1285.3563690948242</v>
      </c>
      <c r="CD118" s="59">
        <f ca="1">AVERAGE(OFFSET($CC$3,0,0,'Données projet'!$E$12+1,1))-AVERAGE(OFFSET($H$3,0,0,'Données projet'!$E$12+1,1))</f>
        <v>555.3092253965317</v>
      </c>
      <c r="CE118" s="59">
        <f t="shared" si="94"/>
        <v>292.20785523952651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123.92345103798026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123.92345103798026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243</v>
      </c>
      <c r="CU118" s="17">
        <f>CT118*VLOOKUP('Données projet'!$B$13,Paramètres!$A$1:$I$89,3,0)*VLOOKUP('Données projet'!$B$13,Paramètres!$A$1:$I$89,5,0)</f>
        <v>155.4228</v>
      </c>
      <c r="CV118" s="13">
        <f t="shared" si="95"/>
        <v>39.808377687614154</v>
      </c>
      <c r="CW118" s="20">
        <f t="shared" si="67"/>
        <v>340.02763447259463</v>
      </c>
      <c r="CX118" s="59">
        <f t="shared" si="68"/>
        <v>633.36096780592788</v>
      </c>
      <c r="CY118" s="59">
        <f ca="1">AVERAGE(OFFSET($CX$3,0,0,'Données projet'!$E$13+1,1))-AVERAGE(OFFSET($H$3,0,0,'Données projet'!$E$13+1,1))</f>
        <v>269.44168853803717</v>
      </c>
      <c r="CZ118" s="59">
        <f t="shared" si="96"/>
        <v>247.65158389074043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30.538399104103416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30.538399104103416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6">
        <f t="shared" si="56"/>
        <v>256.66666666666669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259.99999999999983</v>
      </c>
      <c r="O119" s="13">
        <f>N119*VLOOKUP('Données projet'!$B$9,Paramètres!$A$1:$I$89,3,0)*VLOOKUP('Données projet'!$B$9,Paramètres!$A$1:$I$89,5,0)</f>
        <v>227.13599999999985</v>
      </c>
      <c r="P119" s="13">
        <f t="shared" si="87"/>
        <v>55.662966886685133</v>
      </c>
      <c r="Q119" s="20">
        <f t="shared" si="107"/>
        <v>492.5415339943097</v>
      </c>
      <c r="R119" s="59">
        <f t="shared" si="55"/>
        <v>785.87486732764296</v>
      </c>
      <c r="S119" s="59">
        <f ca="1">AVERAGE(OFFSET($R$3,0,0,'Données projet'!$E$9+1,1))-AVERAGE(OFFSET($H$3,0,0,'Données projet'!$E$9+1,1))</f>
        <v>381.72225529388083</v>
      </c>
      <c r="T119" s="59">
        <f t="shared" si="88"/>
        <v>360.05900046417361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46.605037103694606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46.605037103694606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304.99999999999994</v>
      </c>
      <c r="AJ119" s="13">
        <f>AI119*VLOOKUP('Données projet'!$B$10,Paramètres!$A$1:$I$89,3,0)*VLOOKUP('Données projet'!$B$10,Paramètres!$A$1:$I$89,5,0)</f>
        <v>275.96399999999994</v>
      </c>
      <c r="AK119" s="13">
        <f t="shared" si="89"/>
        <v>66.113366665488911</v>
      </c>
      <c r="AL119" s="20">
        <f t="shared" si="58"/>
        <v>595.7847469423931</v>
      </c>
      <c r="AM119" s="59">
        <f t="shared" si="59"/>
        <v>889.11808027572647</v>
      </c>
      <c r="AN119" s="59">
        <f ca="1">AVERAGE(OFFSET($AM$3,0,0,'Données projet'!$E$10+1,1))-AVERAGE(OFFSET($H$3,0,0,'Données projet'!$E$10+1,1))</f>
        <v>366.43676005661194</v>
      </c>
      <c r="AO119" s="59">
        <f t="shared" si="90"/>
        <v>513.80016421153414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1.5241036144045672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1.5241036144045672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0.8600000000003547</v>
      </c>
      <c r="BE119" s="13">
        <f>BD119*VLOOKUP('Données projet'!$B$11,Paramètres!$A$1:$I$89,3,0)*VLOOKUP('Données projet'!$B$11,Paramètres!$A$1:$I$89,5,0)</f>
        <v>0.38012000000015683</v>
      </c>
      <c r="BF119" s="13">
        <f t="shared" si="91"/>
        <v>0.19605142963512551</v>
      </c>
      <c r="BG119" s="20">
        <f t="shared" si="61"/>
        <v>1.0034985732814501</v>
      </c>
      <c r="BH119" s="59">
        <f t="shared" si="62"/>
        <v>294.33683190661475</v>
      </c>
      <c r="BI119" s="59">
        <f ca="1">AVERAGE(OFFSET($BH$3,0,0,'Données projet'!$E$11+1,1))-AVERAGE(OFFSET($H$3,0,0,'Données projet'!$E$11+1,1))</f>
        <v>328.58609979635901</v>
      </c>
      <c r="BJ119" s="59">
        <f t="shared" si="92"/>
        <v>432.3494365423407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87.832591064299862</v>
      </c>
      <c r="BQ119" s="21">
        <f>EXP(-LN(2)/25)*BQ118+(1-EXP(-LN(2)/25))/(LN(2)/25)*Calculateur!BL119*Calculateur!BN119*VLOOKUP('Données projet'!$B$11,Paramètres!$A$1:$I$89,3,0)*0.475*44/12</f>
        <v>3.6844371264115394</v>
      </c>
      <c r="BR119" s="21">
        <f>EXP(-LN(2)/2)*BR118+(1-EXP(-LN(2)/2))/(LN(2)/2)*BL119*BO119*VLOOKUP('Données projet'!$B$11,Paramètres!$A$1:$I$89,3,0)*0.475*44/12</f>
        <v>6.6512875671895608E-14</v>
      </c>
      <c r="BS119" s="22">
        <f t="shared" si="63"/>
        <v>91.517028190711471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9.4029999999999916</v>
      </c>
      <c r="BY119" s="12">
        <f>IF('Données projet'!$A$114&gt;35,BY118+BX119-CG118,IF(A119&lt;'Données projet'!$A$114,$BV$205^A119,IF(A119='Données projet'!$A$114,'Données projet'!$B$114,BY118+BX119-CG118)))</f>
        <v>497.83100000000036</v>
      </c>
      <c r="BZ119" s="13">
        <f>BY119*VLOOKUP('Données projet'!$B$12,Paramètres!$A$1:$I$89,3,0)*VLOOKUP('Données projet'!$B$12,Paramètres!$A$1:$I$89,5,0)</f>
        <v>473.73597960000029</v>
      </c>
      <c r="CA119" s="13">
        <f t="shared" si="93"/>
        <v>106.57516199445891</v>
      </c>
      <c r="CB119" s="20">
        <f t="shared" si="64"/>
        <v>1010.7085716103497</v>
      </c>
      <c r="CC119" s="59">
        <f t="shared" si="65"/>
        <v>1304.041904943683</v>
      </c>
      <c r="CD119" s="59">
        <f ca="1">AVERAGE(OFFSET($CC$3,0,0,'Données projet'!$E$12+1,1))-AVERAGE(OFFSET($H$3,0,0,'Données projet'!$E$12+1,1))</f>
        <v>555.3092253965317</v>
      </c>
      <c r="CE119" s="59">
        <f t="shared" si="94"/>
        <v>292.20785523952651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121.49338774896711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121.49338774896711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243</v>
      </c>
      <c r="CU119" s="17">
        <f>CT119*VLOOKUP('Données projet'!$B$13,Paramètres!$A$1:$I$89,3,0)*VLOOKUP('Données projet'!$B$13,Paramètres!$A$1:$I$89,5,0)</f>
        <v>155.4228</v>
      </c>
      <c r="CV119" s="13">
        <f t="shared" si="95"/>
        <v>39.808377687614154</v>
      </c>
      <c r="CW119" s="20">
        <f t="shared" si="67"/>
        <v>340.02763447259463</v>
      </c>
      <c r="CX119" s="59">
        <f t="shared" si="68"/>
        <v>633.36096780592788</v>
      </c>
      <c r="CY119" s="59">
        <f ca="1">AVERAGE(OFFSET($CX$3,0,0,'Données projet'!$E$13+1,1))-AVERAGE(OFFSET($H$3,0,0,'Données projet'!$E$13+1,1))</f>
        <v>269.44168853803717</v>
      </c>
      <c r="CZ119" s="59">
        <f t="shared" si="96"/>
        <v>247.65158389074043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29.939559724256178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29.939559724256178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6">
        <f t="shared" si="56"/>
        <v>256.66666666666669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259.99999999999983</v>
      </c>
      <c r="O120" s="13">
        <f>N120*VLOOKUP('Données projet'!$B$9,Paramètres!$A$1:$I$89,3,0)*VLOOKUP('Données projet'!$B$9,Paramètres!$A$1:$I$89,5,0)</f>
        <v>227.13599999999985</v>
      </c>
      <c r="P120" s="13">
        <f t="shared" si="87"/>
        <v>55.662966886685133</v>
      </c>
      <c r="Q120" s="20">
        <f t="shared" si="107"/>
        <v>492.5415339943097</v>
      </c>
      <c r="R120" s="59">
        <f t="shared" si="55"/>
        <v>785.87486732764296</v>
      </c>
      <c r="S120" s="59">
        <f ca="1">AVERAGE(OFFSET($R$3,0,0,'Données projet'!$E$9+1,1))-AVERAGE(OFFSET($H$3,0,0,'Données projet'!$E$9+1,1))</f>
        <v>381.72225529388083</v>
      </c>
      <c r="T120" s="59">
        <f t="shared" si="88"/>
        <v>360.05900046417361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45.69114075235693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45.69114075235693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304.99999999999994</v>
      </c>
      <c r="AJ120" s="13">
        <f>AI120*VLOOKUP('Données projet'!$B$10,Paramètres!$A$1:$I$89,3,0)*VLOOKUP('Données projet'!$B$10,Paramètres!$A$1:$I$89,5,0)</f>
        <v>275.96399999999994</v>
      </c>
      <c r="AK120" s="13">
        <f t="shared" si="89"/>
        <v>66.113366665488911</v>
      </c>
      <c r="AL120" s="20">
        <f t="shared" si="58"/>
        <v>595.7847469423931</v>
      </c>
      <c r="AM120" s="59">
        <f t="shared" si="59"/>
        <v>889.11808027572647</v>
      </c>
      <c r="AN120" s="59">
        <f ca="1">AVERAGE(OFFSET($AM$3,0,0,'Données projet'!$E$10+1,1))-AVERAGE(OFFSET($H$3,0,0,'Données projet'!$E$10+1,1))</f>
        <v>366.43676005661194</v>
      </c>
      <c r="AO120" s="59">
        <f t="shared" si="90"/>
        <v>513.80016421153414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1.4942168721375069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1.4942168721375069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0.8600000000003547</v>
      </c>
      <c r="BE120" s="13">
        <f>BD120*VLOOKUP('Données projet'!$B$11,Paramètres!$A$1:$I$89,3,0)*VLOOKUP('Données projet'!$B$11,Paramètres!$A$1:$I$89,5,0)</f>
        <v>0.38012000000015683</v>
      </c>
      <c r="BF120" s="13">
        <f t="shared" si="91"/>
        <v>0.19605142963512551</v>
      </c>
      <c r="BG120" s="20">
        <f t="shared" si="61"/>
        <v>1.0034985732814501</v>
      </c>
      <c r="BH120" s="59">
        <f t="shared" si="62"/>
        <v>294.33683190661475</v>
      </c>
      <c r="BI120" s="59">
        <f ca="1">AVERAGE(OFFSET($BH$3,0,0,'Données projet'!$E$11+1,1))-AVERAGE(OFFSET($H$3,0,0,'Données projet'!$E$11+1,1))</f>
        <v>328.58609979635901</v>
      </c>
      <c r="BJ120" s="59">
        <f t="shared" si="92"/>
        <v>432.3494365423407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86.110247526119636</v>
      </c>
      <c r="BQ120" s="21">
        <f>EXP(-LN(2)/25)*BQ119+(1-EXP(-LN(2)/25))/(LN(2)/25)*Calculateur!BL120*Calculateur!BN120*VLOOKUP('Données projet'!$B$11,Paramètres!$A$1:$I$89,3,0)*0.475*44/12</f>
        <v>3.5836859994336883</v>
      </c>
      <c r="BR120" s="21">
        <f>EXP(-LN(2)/2)*BR119+(1-EXP(-LN(2)/2))/(LN(2)/2)*BL120*BO120*VLOOKUP('Données projet'!$B$11,Paramètres!$A$1:$I$89,3,0)*0.475*44/12</f>
        <v>4.7031705423815129E-14</v>
      </c>
      <c r="BS120" s="22">
        <f t="shared" si="63"/>
        <v>89.693933525553362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9.4029999999999916</v>
      </c>
      <c r="BY120" s="12">
        <f>IF('Données projet'!$A$114&gt;35,BY119+BX120-CG119,IF(A120&lt;'Données projet'!$A$114,$BV$205^A120,IF(A120='Données projet'!$A$114,'Données projet'!$B$114,BY119+BX120-CG119)))</f>
        <v>507.23400000000038</v>
      </c>
      <c r="BZ120" s="13">
        <f>BY120*VLOOKUP('Données projet'!$B$12,Paramètres!$A$1:$I$89,3,0)*VLOOKUP('Données projet'!$B$12,Paramètres!$A$1:$I$89,5,0)</f>
        <v>482.68387440000032</v>
      </c>
      <c r="CA120" s="13">
        <f t="shared" si="93"/>
        <v>108.35189373663384</v>
      </c>
      <c r="CB120" s="20">
        <f t="shared" si="64"/>
        <v>1029.3872961713043</v>
      </c>
      <c r="CC120" s="59">
        <f t="shared" si="65"/>
        <v>1322.7206295046376</v>
      </c>
      <c r="CD120" s="59">
        <f ca="1">AVERAGE(OFFSET($CC$3,0,0,'Données projet'!$E$12+1,1))-AVERAGE(OFFSET($H$3,0,0,'Données projet'!$E$12+1,1))</f>
        <v>555.3092253965317</v>
      </c>
      <c r="CE120" s="59">
        <f t="shared" si="94"/>
        <v>292.20785523952651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119.11097651885926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119.11097651885926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243</v>
      </c>
      <c r="CU120" s="17">
        <f>CT120*VLOOKUP('Données projet'!$B$13,Paramètres!$A$1:$I$89,3,0)*VLOOKUP('Données projet'!$B$13,Paramètres!$A$1:$I$89,5,0)</f>
        <v>155.4228</v>
      </c>
      <c r="CV120" s="13">
        <f t="shared" si="95"/>
        <v>39.808377687614154</v>
      </c>
      <c r="CW120" s="20">
        <f t="shared" si="67"/>
        <v>340.02763447259463</v>
      </c>
      <c r="CX120" s="59">
        <f t="shared" si="68"/>
        <v>633.36096780592788</v>
      </c>
      <c r="CY120" s="59">
        <f ca="1">AVERAGE(OFFSET($CX$3,0,0,'Données projet'!$E$13+1,1))-AVERAGE(OFFSET($H$3,0,0,'Données projet'!$E$13+1,1))</f>
        <v>269.44168853803717</v>
      </c>
      <c r="CZ120" s="59">
        <f t="shared" si="96"/>
        <v>247.65158389074043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29.35246321939179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29.35246321939179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6">
        <f t="shared" si="56"/>
        <v>256.66666666666669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259.99999999999983</v>
      </c>
      <c r="O121" s="13">
        <f>N121*VLOOKUP('Données projet'!$B$9,Paramètres!$A$1:$I$89,3,0)*VLOOKUP('Données projet'!$B$9,Paramètres!$A$1:$I$89,5,0)</f>
        <v>227.13599999999985</v>
      </c>
      <c r="P121" s="13">
        <f t="shared" si="87"/>
        <v>55.662966886685133</v>
      </c>
      <c r="Q121" s="20">
        <f t="shared" si="107"/>
        <v>492.5415339943097</v>
      </c>
      <c r="R121" s="59">
        <f t="shared" si="55"/>
        <v>785.87486732764296</v>
      </c>
      <c r="S121" s="59">
        <f ca="1">AVERAGE(OFFSET($R$3,0,0,'Données projet'!$E$9+1,1))-AVERAGE(OFFSET($H$3,0,0,'Données projet'!$E$9+1,1))</f>
        <v>381.72225529388083</v>
      </c>
      <c r="T121" s="59">
        <f t="shared" si="88"/>
        <v>360.05900046417361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44.795165351047252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44.795165351047252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304.99999999999994</v>
      </c>
      <c r="AJ121" s="13">
        <f>AI121*VLOOKUP('Données projet'!$B$10,Paramètres!$A$1:$I$89,3,0)*VLOOKUP('Données projet'!$B$10,Paramètres!$A$1:$I$89,5,0)</f>
        <v>275.96399999999994</v>
      </c>
      <c r="AK121" s="13">
        <f t="shared" si="89"/>
        <v>66.113366665488911</v>
      </c>
      <c r="AL121" s="20">
        <f t="shared" si="58"/>
        <v>595.7847469423931</v>
      </c>
      <c r="AM121" s="59">
        <f t="shared" si="59"/>
        <v>889.11808027572647</v>
      </c>
      <c r="AN121" s="59">
        <f ca="1">AVERAGE(OFFSET($AM$3,0,0,'Données projet'!$E$10+1,1))-AVERAGE(OFFSET($H$3,0,0,'Données projet'!$E$10+1,1))</f>
        <v>366.43676005661194</v>
      </c>
      <c r="AO121" s="59">
        <f t="shared" si="90"/>
        <v>513.80016421153414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1.4649161906571908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1.4649161906571908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0.8600000000003547</v>
      </c>
      <c r="BE121" s="13">
        <f>BD121*VLOOKUP('Données projet'!$B$11,Paramètres!$A$1:$I$89,3,0)*VLOOKUP('Données projet'!$B$11,Paramètres!$A$1:$I$89,5,0)</f>
        <v>0.38012000000015683</v>
      </c>
      <c r="BF121" s="13">
        <f t="shared" si="91"/>
        <v>0.19605142963512551</v>
      </c>
      <c r="BG121" s="20">
        <f t="shared" si="61"/>
        <v>1.0034985732814501</v>
      </c>
      <c r="BH121" s="59">
        <f t="shared" si="62"/>
        <v>294.33683190661475</v>
      </c>
      <c r="BI121" s="59">
        <f ca="1">AVERAGE(OFFSET($BH$3,0,0,'Données projet'!$E$11+1,1))-AVERAGE(OFFSET($H$3,0,0,'Données projet'!$E$11+1,1))</f>
        <v>328.58609979635901</v>
      </c>
      <c r="BJ121" s="59">
        <f t="shared" si="92"/>
        <v>432.3494365423407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84.421678094197304</v>
      </c>
      <c r="BQ121" s="21">
        <f>EXP(-LN(2)/25)*BQ120+(1-EXP(-LN(2)/25))/(LN(2)/25)*Calculateur!BL121*Calculateur!BN121*VLOOKUP('Données projet'!$B$11,Paramètres!$A$1:$I$89,3,0)*0.475*44/12</f>
        <v>3.4856899173213178</v>
      </c>
      <c r="BR121" s="21">
        <f>EXP(-LN(2)/2)*BR120+(1-EXP(-LN(2)/2))/(LN(2)/2)*BL121*BO121*VLOOKUP('Données projet'!$B$11,Paramètres!$A$1:$I$89,3,0)*0.475*44/12</f>
        <v>3.3256437835947804E-14</v>
      </c>
      <c r="BS121" s="22">
        <f t="shared" si="63"/>
        <v>87.907368011518656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9.4029999999999916</v>
      </c>
      <c r="BY121" s="12">
        <f>IF('Données projet'!$A$114&gt;35,BY120+BX121-CG120,IF(A121&lt;'Données projet'!$A$114,$BV$205^A121,IF(A121='Données projet'!$A$114,'Données projet'!$B$114,BY120+BX121-CG120)))</f>
        <v>516.6370000000004</v>
      </c>
      <c r="BZ121" s="13">
        <f>BY121*VLOOKUP('Données projet'!$B$12,Paramètres!$A$1:$I$89,3,0)*VLOOKUP('Données projet'!$B$12,Paramètres!$A$1:$I$89,5,0)</f>
        <v>491.63176920000041</v>
      </c>
      <c r="CA121" s="13">
        <f t="shared" si="93"/>
        <v>110.12479554964476</v>
      </c>
      <c r="CB121" s="20">
        <f t="shared" si="64"/>
        <v>1048.0593502722984</v>
      </c>
      <c r="CC121" s="59">
        <f t="shared" si="65"/>
        <v>1341.3926836056316</v>
      </c>
      <c r="CD121" s="59">
        <f ca="1">AVERAGE(OFFSET($CC$3,0,0,'Données projet'!$E$12+1,1))-AVERAGE(OFFSET($H$3,0,0,'Données projet'!$E$12+1,1))</f>
        <v>555.3092253965317</v>
      </c>
      <c r="CE121" s="59">
        <f t="shared" si="94"/>
        <v>292.20785523952651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116.77528291984646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116.77528291984646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243</v>
      </c>
      <c r="CU121" s="17">
        <f>CT121*VLOOKUP('Données projet'!$B$13,Paramètres!$A$1:$I$89,3,0)*VLOOKUP('Données projet'!$B$13,Paramètres!$A$1:$I$89,5,0)</f>
        <v>155.4228</v>
      </c>
      <c r="CV121" s="13">
        <f t="shared" si="95"/>
        <v>39.808377687614154</v>
      </c>
      <c r="CW121" s="20">
        <f t="shared" si="67"/>
        <v>340.02763447259463</v>
      </c>
      <c r="CX121" s="59">
        <f t="shared" si="68"/>
        <v>633.36096780592788</v>
      </c>
      <c r="CY121" s="59">
        <f ca="1">AVERAGE(OFFSET($CX$3,0,0,'Données projet'!$E$13+1,1))-AVERAGE(OFFSET($H$3,0,0,'Données projet'!$E$13+1,1))</f>
        <v>269.44168853803717</v>
      </c>
      <c r="CZ121" s="59">
        <f t="shared" si="96"/>
        <v>247.65158389074043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28.776879318894284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28.776879318894284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6">
        <f t="shared" si="56"/>
        <v>256.66666666666669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259.99999999999983</v>
      </c>
      <c r="O122" s="13">
        <f>N122*VLOOKUP('Données projet'!$B$9,Paramètres!$A$1:$I$89,3,0)*VLOOKUP('Données projet'!$B$9,Paramètres!$A$1:$I$89,5,0)</f>
        <v>227.13599999999985</v>
      </c>
      <c r="P122" s="13">
        <f t="shared" si="87"/>
        <v>55.662966886685133</v>
      </c>
      <c r="Q122" s="20">
        <f t="shared" si="107"/>
        <v>492.5415339943097</v>
      </c>
      <c r="R122" s="59">
        <f t="shared" si="55"/>
        <v>785.87486732764296</v>
      </c>
      <c r="S122" s="59">
        <f ca="1">AVERAGE(OFFSET($R$3,0,0,'Données projet'!$E$9+1,1))-AVERAGE(OFFSET($H$3,0,0,'Données projet'!$E$9+1,1))</f>
        <v>381.72225529388083</v>
      </c>
      <c r="T122" s="59">
        <f t="shared" si="88"/>
        <v>360.05900046417361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43.916759480866219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43.916759480866219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304.99999999999994</v>
      </c>
      <c r="AJ122" s="13">
        <f>AI122*VLOOKUP('Données projet'!$B$10,Paramètres!$A$1:$I$89,3,0)*VLOOKUP('Données projet'!$B$10,Paramètres!$A$1:$I$89,5,0)</f>
        <v>275.96399999999994</v>
      </c>
      <c r="AK122" s="13">
        <f t="shared" si="89"/>
        <v>66.113366665488911</v>
      </c>
      <c r="AL122" s="20">
        <f t="shared" si="58"/>
        <v>595.7847469423931</v>
      </c>
      <c r="AM122" s="59">
        <f t="shared" si="59"/>
        <v>889.11808027572647</v>
      </c>
      <c r="AN122" s="59">
        <f ca="1">AVERAGE(OFFSET($AM$3,0,0,'Données projet'!$E$10+1,1))-AVERAGE(OFFSET($H$3,0,0,'Données projet'!$E$10+1,1))</f>
        <v>366.43676005661194</v>
      </c>
      <c r="AO122" s="59">
        <f t="shared" si="90"/>
        <v>513.80016421153414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1.4361900776690528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1.4361900776690528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0.8600000000003547</v>
      </c>
      <c r="BE122" s="13">
        <f>BD122*VLOOKUP('Données projet'!$B$11,Paramètres!$A$1:$I$89,3,0)*VLOOKUP('Données projet'!$B$11,Paramètres!$A$1:$I$89,5,0)</f>
        <v>0.38012000000015683</v>
      </c>
      <c r="BF122" s="13">
        <f t="shared" si="91"/>
        <v>0.19605142963512551</v>
      </c>
      <c r="BG122" s="20">
        <f t="shared" si="61"/>
        <v>1.0034985732814501</v>
      </c>
      <c r="BH122" s="59">
        <f t="shared" si="62"/>
        <v>294.33683190661475</v>
      </c>
      <c r="BI122" s="59">
        <f ca="1">AVERAGE(OFFSET($BH$3,0,0,'Données projet'!$E$11+1,1))-AVERAGE(OFFSET($H$3,0,0,'Données projet'!$E$11+1,1))</f>
        <v>328.58609979635901</v>
      </c>
      <c r="BJ122" s="59">
        <f t="shared" si="92"/>
        <v>432.3494365423407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82.766220478909304</v>
      </c>
      <c r="BQ122" s="21">
        <f>EXP(-LN(2)/25)*BQ121+(1-EXP(-LN(2)/25))/(LN(2)/25)*Calculateur!BL122*Calculateur!BN122*VLOOKUP('Données projet'!$B$11,Paramètres!$A$1:$I$89,3,0)*0.475*44/12</f>
        <v>3.3903735432277005</v>
      </c>
      <c r="BR122" s="21">
        <f>EXP(-LN(2)/2)*BR121+(1-EXP(-LN(2)/2))/(LN(2)/2)*BL122*BO122*VLOOKUP('Données projet'!$B$11,Paramètres!$A$1:$I$89,3,0)*0.475*44/12</f>
        <v>2.3515852711907564E-14</v>
      </c>
      <c r="BS122" s="22">
        <f t="shared" si="63"/>
        <v>86.156594022137028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>
        <f>VLOOKUP(A122,'Données projet'!$A$113:$I$133,2,0)</f>
        <v>526.04</v>
      </c>
      <c r="BW122" s="12">
        <f>VLOOKUP(A122,'Données projet'!$A$113:$I$133,9,0)</f>
        <v>9.4029999999999916</v>
      </c>
      <c r="BX122" s="12">
        <f t="array" ref="BX122">INDEX(BW:BW,MIN(IF(ISNUMBER(BW122:BW318),ROW(BW122:BW318),"")))</f>
        <v>9.4029999999999916</v>
      </c>
      <c r="BY122" s="12">
        <f>IF('Données projet'!$A$114&gt;35,BY121+BX122-CG121,IF(A122&lt;'Données projet'!$A$114,$BV$205^A122,IF(A122='Données projet'!$A$114,'Données projet'!$B$114,BY121+BX122-CG121)))</f>
        <v>526.04000000000042</v>
      </c>
      <c r="BZ122" s="13">
        <f>BY122*VLOOKUP('Données projet'!$B$12,Paramètres!$A$1:$I$89,3,0)*VLOOKUP('Données projet'!$B$12,Paramètres!$A$1:$I$89,5,0)</f>
        <v>500.57966400000043</v>
      </c>
      <c r="CA122" s="13">
        <f t="shared" si="93"/>
        <v>111.89394517982277</v>
      </c>
      <c r="CB122" s="20">
        <f t="shared" si="64"/>
        <v>1066.7248693215251</v>
      </c>
      <c r="CC122" s="59">
        <f t="shared" si="65"/>
        <v>1360.0582026548584</v>
      </c>
      <c r="CD122" s="59">
        <f ca="1">AVERAGE(OFFSET($CC$3,0,0,'Données projet'!$E$12+1,1))-AVERAGE(OFFSET($H$3,0,0,'Données projet'!$E$12+1,1))</f>
        <v>555.3092253965317</v>
      </c>
      <c r="CE122" s="59">
        <f t="shared" si="94"/>
        <v>292.20785523952651</v>
      </c>
      <c r="CF122" s="15">
        <f>IF(ISNA(VLOOKUP(A122,'Données projet'!$A$113:$I$133,3,0)),0,VLOOKUP(A122,'Données projet'!$A$113:$I$133,3,0))</f>
        <v>11</v>
      </c>
      <c r="CG122" s="15">
        <f>IF(ISNA(VLOOKUP(A122,'Données projet'!$A$113:$I$133,4,0)),0,VLOOKUP(A122,'Données projet'!$A$113:$I$133,4,0))</f>
        <v>196.46</v>
      </c>
      <c r="CH122" s="16">
        <f>IF(ISNA(VLOOKUP(A122,'Données projet'!$A$113:$I$133,5,0)),0%,VLOOKUP(A122,'Données projet'!$A$113:$I$133,5,0)*VLOOKUP('Données projet'!$B$12,Paramètres!$A$1:$I$89,7,0))</f>
        <v>0.43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203.35313152338608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203.35313152338608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243</v>
      </c>
      <c r="CU122" s="17">
        <f>CT122*VLOOKUP('Données projet'!$B$13,Paramètres!$A$1:$I$89,3,0)*VLOOKUP('Données projet'!$B$13,Paramètres!$A$1:$I$89,5,0)</f>
        <v>155.4228</v>
      </c>
      <c r="CV122" s="13">
        <f t="shared" si="95"/>
        <v>39.808377687614154</v>
      </c>
      <c r="CW122" s="20">
        <f t="shared" si="67"/>
        <v>340.02763447259463</v>
      </c>
      <c r="CX122" s="59">
        <f t="shared" si="68"/>
        <v>633.36096780592788</v>
      </c>
      <c r="CY122" s="59">
        <f ca="1">AVERAGE(OFFSET($CX$3,0,0,'Données projet'!$E$13+1,1))-AVERAGE(OFFSET($H$3,0,0,'Données projet'!$E$13+1,1))</f>
        <v>269.44168853803717</v>
      </c>
      <c r="CZ122" s="59">
        <f t="shared" si="96"/>
        <v>247.65158389074043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28.212582267614021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28.212582267614021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6">
        <f t="shared" si="56"/>
        <v>256.66666666666669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259.99999999999983</v>
      </c>
      <c r="O123" s="13">
        <f>N123*VLOOKUP('Données projet'!$B$9,Paramètres!$A$1:$I$89,3,0)*VLOOKUP('Données projet'!$B$9,Paramètres!$A$1:$I$89,5,0)</f>
        <v>227.13599999999985</v>
      </c>
      <c r="P123" s="13">
        <f t="shared" si="87"/>
        <v>55.662966886685133</v>
      </c>
      <c r="Q123" s="20">
        <f t="shared" si="107"/>
        <v>492.5415339943097</v>
      </c>
      <c r="R123" s="59">
        <f t="shared" si="55"/>
        <v>785.87486732764296</v>
      </c>
      <c r="S123" s="59">
        <f ca="1">AVERAGE(OFFSET($R$3,0,0,'Données projet'!$E$9+1,1))-AVERAGE(OFFSET($H$3,0,0,'Données projet'!$E$9+1,1))</f>
        <v>381.72225529388083</v>
      </c>
      <c r="T123" s="59">
        <f t="shared" si="88"/>
        <v>360.05900046417361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43.05557861402476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43.05557861402476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304.99999999999994</v>
      </c>
      <c r="AJ123" s="13">
        <f>AI123*VLOOKUP('Données projet'!$B$10,Paramètres!$A$1:$I$89,3,0)*VLOOKUP('Données projet'!$B$10,Paramètres!$A$1:$I$89,5,0)</f>
        <v>275.96399999999994</v>
      </c>
      <c r="AK123" s="13">
        <f t="shared" si="89"/>
        <v>66.113366665488911</v>
      </c>
      <c r="AL123" s="20">
        <f t="shared" si="58"/>
        <v>595.7847469423931</v>
      </c>
      <c r="AM123" s="59">
        <f t="shared" si="59"/>
        <v>889.11808027572647</v>
      </c>
      <c r="AN123" s="59">
        <f ca="1">AVERAGE(OFFSET($AM$3,0,0,'Données projet'!$E$10+1,1))-AVERAGE(OFFSET($H$3,0,0,'Données projet'!$E$10+1,1))</f>
        <v>366.43676005661194</v>
      </c>
      <c r="AO123" s="59">
        <f t="shared" si="90"/>
        <v>513.80016421153414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1.4080272662354134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1.4080272662354134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0.8600000000003547</v>
      </c>
      <c r="BE123" s="13">
        <f>BD123*VLOOKUP('Données projet'!$B$11,Paramètres!$A$1:$I$89,3,0)*VLOOKUP('Données projet'!$B$11,Paramètres!$A$1:$I$89,5,0)</f>
        <v>0.38012000000015683</v>
      </c>
      <c r="BF123" s="13">
        <f t="shared" si="91"/>
        <v>0.19605142963512551</v>
      </c>
      <c r="BG123" s="20">
        <f t="shared" si="61"/>
        <v>1.0034985732814501</v>
      </c>
      <c r="BH123" s="59">
        <f t="shared" si="62"/>
        <v>294.33683190661475</v>
      </c>
      <c r="BI123" s="59">
        <f ca="1">AVERAGE(OFFSET($BH$3,0,0,'Données projet'!$E$11+1,1))-AVERAGE(OFFSET($H$3,0,0,'Données projet'!$E$11+1,1))</f>
        <v>328.58609979635901</v>
      </c>
      <c r="BJ123" s="59">
        <f t="shared" si="92"/>
        <v>432.3494365423407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81.14322537772766</v>
      </c>
      <c r="BQ123" s="21">
        <f>EXP(-LN(2)/25)*BQ122+(1-EXP(-LN(2)/25))/(LN(2)/25)*Calculateur!BL123*Calculateur!BN123*VLOOKUP('Données projet'!$B$11,Paramètres!$A$1:$I$89,3,0)*0.475*44/12</f>
        <v>3.297663600396143</v>
      </c>
      <c r="BR123" s="21">
        <f>EXP(-LN(2)/2)*BR122+(1-EXP(-LN(2)/2))/(LN(2)/2)*BL123*BO123*VLOOKUP('Données projet'!$B$11,Paramètres!$A$1:$I$89,3,0)*0.475*44/12</f>
        <v>1.6628218917973902E-14</v>
      </c>
      <c r="BS123" s="22">
        <f t="shared" si="63"/>
        <v>84.440888978123823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-0.37249999999998806</v>
      </c>
      <c r="BY123" s="12">
        <f>IF('Données projet'!$A$114&gt;35,BY122+BX123-CG122,IF(A123&lt;'Données projet'!$A$114,$BV$205^A123,IF(A123='Données projet'!$A$114,'Données projet'!$B$114,BY122+BX123-CG122)))</f>
        <v>329.20750000000044</v>
      </c>
      <c r="BZ123" s="13">
        <f>BY123*VLOOKUP('Données projet'!$B$12,Paramètres!$A$1:$I$89,3,0)*VLOOKUP('Données projet'!$B$12,Paramètres!$A$1:$I$89,5,0)</f>
        <v>313.27385700000042</v>
      </c>
      <c r="CA123" s="13">
        <f t="shared" si="93"/>
        <v>73.952123222159344</v>
      </c>
      <c r="CB123" s="20">
        <f t="shared" si="64"/>
        <v>674.41858222026156</v>
      </c>
      <c r="CC123" s="59">
        <f t="shared" si="65"/>
        <v>967.75191555359493</v>
      </c>
      <c r="CD123" s="59">
        <f ca="1">AVERAGE(OFFSET($CC$3,0,0,'Données projet'!$E$12+1,1))-AVERAGE(OFFSET($H$3,0,0,'Données projet'!$E$12+1,1))</f>
        <v>555.3092253965317</v>
      </c>
      <c r="CE123" s="59">
        <f t="shared" si="94"/>
        <v>292.20785523952651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199.36550064737546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199.36550064737546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243</v>
      </c>
      <c r="CU123" s="17">
        <f>CT123*VLOOKUP('Données projet'!$B$13,Paramètres!$A$1:$I$89,3,0)*VLOOKUP('Données projet'!$B$13,Paramètres!$A$1:$I$89,5,0)</f>
        <v>155.4228</v>
      </c>
      <c r="CV123" s="13">
        <f t="shared" si="95"/>
        <v>39.808377687614154</v>
      </c>
      <c r="CW123" s="20">
        <f t="shared" si="67"/>
        <v>340.02763447259463</v>
      </c>
      <c r="CX123" s="59">
        <f t="shared" si="68"/>
        <v>633.36096780592788</v>
      </c>
      <c r="CY123" s="59">
        <f ca="1">AVERAGE(OFFSET($CX$3,0,0,'Données projet'!$E$13+1,1))-AVERAGE(OFFSET($H$3,0,0,'Données projet'!$E$13+1,1))</f>
        <v>269.44168853803717</v>
      </c>
      <c r="CZ123" s="59">
        <f t="shared" si="96"/>
        <v>247.65158389074043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27.659350737322146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27.659350737322146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6">
        <f t="shared" si="56"/>
        <v>256.66666666666669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259.99999999999983</v>
      </c>
      <c r="O124" s="13">
        <f>N124*VLOOKUP('Données projet'!$B$9,Paramètres!$A$1:$I$89,3,0)*VLOOKUP('Données projet'!$B$9,Paramètres!$A$1:$I$89,5,0)</f>
        <v>227.13599999999985</v>
      </c>
      <c r="P124" s="13">
        <f t="shared" si="87"/>
        <v>55.662966886685133</v>
      </c>
      <c r="Q124" s="20">
        <f t="shared" si="107"/>
        <v>492.5415339943097</v>
      </c>
      <c r="R124" s="59">
        <f t="shared" si="55"/>
        <v>785.87486732764296</v>
      </c>
      <c r="S124" s="59">
        <f ca="1">AVERAGE(OFFSET($R$3,0,0,'Données projet'!$E$9+1,1))-AVERAGE(OFFSET($H$3,0,0,'Données projet'!$E$9+1,1))</f>
        <v>381.72225529388083</v>
      </c>
      <c r="T124" s="59">
        <f t="shared" si="88"/>
        <v>360.05900046417361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42.2112849787136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42.2112849787136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304.99999999999994</v>
      </c>
      <c r="AJ124" s="13">
        <f>AI124*VLOOKUP('Données projet'!$B$10,Paramètres!$A$1:$I$89,3,0)*VLOOKUP('Données projet'!$B$10,Paramètres!$A$1:$I$89,5,0)</f>
        <v>275.96399999999994</v>
      </c>
      <c r="AK124" s="13">
        <f t="shared" si="89"/>
        <v>66.113366665488911</v>
      </c>
      <c r="AL124" s="20">
        <f t="shared" si="58"/>
        <v>595.7847469423931</v>
      </c>
      <c r="AM124" s="59">
        <f t="shared" si="59"/>
        <v>889.11808027572647</v>
      </c>
      <c r="AN124" s="59">
        <f ca="1">AVERAGE(OFFSET($AM$3,0,0,'Données projet'!$E$10+1,1))-AVERAGE(OFFSET($H$3,0,0,'Données projet'!$E$10+1,1))</f>
        <v>366.43676005661194</v>
      </c>
      <c r="AO124" s="59">
        <f t="shared" si="90"/>
        <v>513.80016421153414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1.3804167103563687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1.3804167103563687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0.8600000000003547</v>
      </c>
      <c r="BE124" s="13">
        <f>BD124*VLOOKUP('Données projet'!$B$11,Paramètres!$A$1:$I$89,3,0)*VLOOKUP('Données projet'!$B$11,Paramètres!$A$1:$I$89,5,0)</f>
        <v>0.38012000000015683</v>
      </c>
      <c r="BF124" s="13">
        <f t="shared" si="91"/>
        <v>0.19605142963512551</v>
      </c>
      <c r="BG124" s="20">
        <f t="shared" si="61"/>
        <v>1.0034985732814501</v>
      </c>
      <c r="BH124" s="59">
        <f t="shared" si="62"/>
        <v>294.33683190661475</v>
      </c>
      <c r="BI124" s="59">
        <f ca="1">AVERAGE(OFFSET($BH$3,0,0,'Données projet'!$E$11+1,1))-AVERAGE(OFFSET($H$3,0,0,'Données projet'!$E$11+1,1))</f>
        <v>328.58609979635901</v>
      </c>
      <c r="BJ124" s="59">
        <f t="shared" si="92"/>
        <v>432.3494365423407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79.552056220550924</v>
      </c>
      <c r="BQ124" s="21">
        <f>EXP(-LN(2)/25)*BQ123+(1-EXP(-LN(2)/25))/(LN(2)/25)*Calculateur!BL124*Calculateur!BN124*VLOOKUP('Données projet'!$B$11,Paramètres!$A$1:$I$89,3,0)*0.475*44/12</f>
        <v>3.2074888158267187</v>
      </c>
      <c r="BR124" s="21">
        <f>EXP(-LN(2)/2)*BR123+(1-EXP(-LN(2)/2))/(LN(2)/2)*BL124*BO124*VLOOKUP('Données projet'!$B$11,Paramètres!$A$1:$I$89,3,0)*0.475*44/12</f>
        <v>1.1757926355953782E-14</v>
      </c>
      <c r="BS124" s="22">
        <f t="shared" si="63"/>
        <v>82.759545036377659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-0.37249999999998806</v>
      </c>
      <c r="BY124" s="12">
        <f>IF('Données projet'!$A$114&gt;35,BY123+BX124-CG123,IF(A124&lt;'Données projet'!$A$114,$BV$205^A124,IF(A124='Données projet'!$A$114,'Données projet'!$B$114,BY123+BX124-CG123)))</f>
        <v>328.83500000000043</v>
      </c>
      <c r="BZ124" s="13">
        <f>BY124*VLOOKUP('Données projet'!$B$12,Paramètres!$A$1:$I$89,3,0)*VLOOKUP('Données projet'!$B$12,Paramètres!$A$1:$I$89,5,0)</f>
        <v>312.91938600000043</v>
      </c>
      <c r="CA124" s="13">
        <f t="shared" si="93"/>
        <v>73.878181166203746</v>
      </c>
      <c r="CB124" s="20">
        <f t="shared" si="64"/>
        <v>673.67242948113892</v>
      </c>
      <c r="CC124" s="59">
        <f t="shared" si="65"/>
        <v>967.00576281447229</v>
      </c>
      <c r="CD124" s="59">
        <f ca="1">AVERAGE(OFFSET($CC$3,0,0,'Données projet'!$E$12+1,1))-AVERAGE(OFFSET($H$3,0,0,'Données projet'!$E$12+1,1))</f>
        <v>555.3092253965317</v>
      </c>
      <c r="CE124" s="59">
        <f t="shared" si="94"/>
        <v>292.20785523952651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195.45606478062871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195.45606478062871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243</v>
      </c>
      <c r="CU124" s="17">
        <f>CT124*VLOOKUP('Données projet'!$B$13,Paramètres!$A$1:$I$89,3,0)*VLOOKUP('Données projet'!$B$13,Paramètres!$A$1:$I$89,5,0)</f>
        <v>155.4228</v>
      </c>
      <c r="CV124" s="13">
        <f t="shared" si="95"/>
        <v>39.808377687614154</v>
      </c>
      <c r="CW124" s="20">
        <f t="shared" si="67"/>
        <v>340.02763447259463</v>
      </c>
      <c r="CX124" s="59">
        <f t="shared" si="68"/>
        <v>633.36096780592788</v>
      </c>
      <c r="CY124" s="59">
        <f ca="1">AVERAGE(OFFSET($CX$3,0,0,'Données projet'!$E$13+1,1))-AVERAGE(OFFSET($H$3,0,0,'Données projet'!$E$13+1,1))</f>
        <v>269.44168853803717</v>
      </c>
      <c r="CZ124" s="59">
        <f t="shared" si="96"/>
        <v>247.65158389074043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27.11696773990138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27.11696773990138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6">
        <f t="shared" si="56"/>
        <v>256.66666666666669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259.99999999999983</v>
      </c>
      <c r="O125" s="13">
        <f>N125*VLOOKUP('Données projet'!$B$9,Paramètres!$A$1:$I$89,3,0)*VLOOKUP('Données projet'!$B$9,Paramètres!$A$1:$I$89,5,0)</f>
        <v>227.13599999999985</v>
      </c>
      <c r="P125" s="13">
        <f t="shared" si="87"/>
        <v>55.662966886685133</v>
      </c>
      <c r="Q125" s="20">
        <f t="shared" si="107"/>
        <v>492.5415339943097</v>
      </c>
      <c r="R125" s="59">
        <f t="shared" si="55"/>
        <v>785.87486732764296</v>
      </c>
      <c r="S125" s="59">
        <f ca="1">AVERAGE(OFFSET($R$3,0,0,'Données projet'!$E$9+1,1))-AVERAGE(OFFSET($H$3,0,0,'Données projet'!$E$9+1,1))</f>
        <v>381.72225529388083</v>
      </c>
      <c r="T125" s="59">
        <f t="shared" si="88"/>
        <v>360.05900046417361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41.38354742662262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41.38354742662262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304.99999999999994</v>
      </c>
      <c r="AJ125" s="13">
        <f>AI125*VLOOKUP('Données projet'!$B$10,Paramètres!$A$1:$I$89,3,0)*VLOOKUP('Données projet'!$B$10,Paramètres!$A$1:$I$89,5,0)</f>
        <v>275.96399999999994</v>
      </c>
      <c r="AK125" s="13">
        <f t="shared" si="89"/>
        <v>66.113366665488911</v>
      </c>
      <c r="AL125" s="20">
        <f t="shared" si="58"/>
        <v>595.7847469423931</v>
      </c>
      <c r="AM125" s="59">
        <f t="shared" si="59"/>
        <v>889.11808027572647</v>
      </c>
      <c r="AN125" s="59">
        <f ca="1">AVERAGE(OFFSET($AM$3,0,0,'Données projet'!$E$10+1,1))-AVERAGE(OFFSET($H$3,0,0,'Données projet'!$E$10+1,1))</f>
        <v>366.43676005661194</v>
      </c>
      <c r="AO125" s="59">
        <f t="shared" si="90"/>
        <v>513.80016421153414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1.3533475806373358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1.3533475806373358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0.8600000000003547</v>
      </c>
      <c r="BE125" s="13">
        <f>BD125*VLOOKUP('Données projet'!$B$11,Paramètres!$A$1:$I$89,3,0)*VLOOKUP('Données projet'!$B$11,Paramètres!$A$1:$I$89,5,0)</f>
        <v>0.38012000000015683</v>
      </c>
      <c r="BF125" s="13">
        <f t="shared" si="91"/>
        <v>0.19605142963512551</v>
      </c>
      <c r="BG125" s="20">
        <f t="shared" si="61"/>
        <v>1.0034985732814501</v>
      </c>
      <c r="BH125" s="59">
        <f t="shared" si="62"/>
        <v>294.33683190661475</v>
      </c>
      <c r="BI125" s="59">
        <f ca="1">AVERAGE(OFFSET($BH$3,0,0,'Données projet'!$E$11+1,1))-AVERAGE(OFFSET($H$3,0,0,'Données projet'!$E$11+1,1))</f>
        <v>328.58609979635901</v>
      </c>
      <c r="BJ125" s="59">
        <f t="shared" si="92"/>
        <v>432.3494365423407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77.992088920029062</v>
      </c>
      <c r="BQ125" s="21">
        <f>EXP(-LN(2)/25)*BQ124+(1-EXP(-LN(2)/25))/(LN(2)/25)*Calculateur!BL125*Calculateur!BN125*VLOOKUP('Données projet'!$B$11,Paramètres!$A$1:$I$89,3,0)*0.475*44/12</f>
        <v>3.119779865483431</v>
      </c>
      <c r="BR125" s="21">
        <f>EXP(-LN(2)/2)*BR124+(1-EXP(-LN(2)/2))/(LN(2)/2)*BL125*BO125*VLOOKUP('Données projet'!$B$11,Paramètres!$A$1:$I$89,3,0)*0.475*44/12</f>
        <v>8.314109458986951E-15</v>
      </c>
      <c r="BS125" s="22">
        <f t="shared" si="63"/>
        <v>81.111868785512513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-0.37249999999998806</v>
      </c>
      <c r="BY125" s="12">
        <f>IF('Données projet'!$A$114&gt;35,BY124+BX125-CG124,IF(A125&lt;'Données projet'!$A$114,$BV$205^A125,IF(A125='Données projet'!$A$114,'Données projet'!$B$114,BY124+BX125-CG124)))</f>
        <v>328.46250000000043</v>
      </c>
      <c r="BZ125" s="13">
        <f>BY125*VLOOKUP('Données projet'!$B$12,Paramètres!$A$1:$I$89,3,0)*VLOOKUP('Données projet'!$B$12,Paramètres!$A$1:$I$89,5,0)</f>
        <v>312.56491500000038</v>
      </c>
      <c r="CA125" s="13">
        <f t="shared" si="93"/>
        <v>73.804229359869638</v>
      </c>
      <c r="CB125" s="20">
        <f t="shared" si="64"/>
        <v>672.92625976010697</v>
      </c>
      <c r="CC125" s="59">
        <f t="shared" si="65"/>
        <v>966.25959309344034</v>
      </c>
      <c r="CD125" s="59">
        <f ca="1">AVERAGE(OFFSET($CC$3,0,0,'Données projet'!$E$12+1,1))-AVERAGE(OFFSET($H$3,0,0,'Données projet'!$E$12+1,1))</f>
        <v>555.3092253965317</v>
      </c>
      <c r="CE125" s="59">
        <f t="shared" si="94"/>
        <v>292.20785523952651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191.62329056670845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191.62329056670845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243</v>
      </c>
      <c r="CU125" s="17">
        <f>CT125*VLOOKUP('Données projet'!$B$13,Paramètres!$A$1:$I$89,3,0)*VLOOKUP('Données projet'!$B$13,Paramètres!$A$1:$I$89,5,0)</f>
        <v>155.4228</v>
      </c>
      <c r="CV125" s="13">
        <f t="shared" si="95"/>
        <v>39.808377687614154</v>
      </c>
      <c r="CW125" s="20">
        <f t="shared" si="67"/>
        <v>340.02763447259463</v>
      </c>
      <c r="CX125" s="59">
        <f t="shared" si="68"/>
        <v>633.36096780592788</v>
      </c>
      <c r="CY125" s="59">
        <f ca="1">AVERAGE(OFFSET($CX$3,0,0,'Données projet'!$E$13+1,1))-AVERAGE(OFFSET($H$3,0,0,'Données projet'!$E$13+1,1))</f>
        <v>269.44168853803717</v>
      </c>
      <c r="CZ125" s="59">
        <f t="shared" si="96"/>
        <v>247.65158389074043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26.585220542239075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26.585220542239075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6">
        <f t="shared" si="56"/>
        <v>256.66666666666669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259.99999999999983</v>
      </c>
      <c r="O126" s="13">
        <f>N126*VLOOKUP('Données projet'!$B$9,Paramètres!$A$1:$I$89,3,0)*VLOOKUP('Données projet'!$B$9,Paramètres!$A$1:$I$89,5,0)</f>
        <v>227.13599999999985</v>
      </c>
      <c r="P126" s="13">
        <f t="shared" si="87"/>
        <v>55.662966886685133</v>
      </c>
      <c r="Q126" s="20">
        <f t="shared" si="107"/>
        <v>492.5415339943097</v>
      </c>
      <c r="R126" s="59">
        <f t="shared" si="55"/>
        <v>785.87486732764296</v>
      </c>
      <c r="S126" s="59">
        <f ca="1">AVERAGE(OFFSET($R$3,0,0,'Données projet'!$E$9+1,1))-AVERAGE(OFFSET($H$3,0,0,'Données projet'!$E$9+1,1))</f>
        <v>381.72225529388083</v>
      </c>
      <c r="T126" s="59">
        <f t="shared" si="88"/>
        <v>360.05900046417361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40.572041303058093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40.572041303058093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304.99999999999994</v>
      </c>
      <c r="AJ126" s="13">
        <f>AI126*VLOOKUP('Données projet'!$B$10,Paramètres!$A$1:$I$89,3,0)*VLOOKUP('Données projet'!$B$10,Paramètres!$A$1:$I$89,5,0)</f>
        <v>275.96399999999994</v>
      </c>
      <c r="AK126" s="13">
        <f t="shared" si="89"/>
        <v>66.113366665488911</v>
      </c>
      <c r="AL126" s="20">
        <f t="shared" si="58"/>
        <v>595.7847469423931</v>
      </c>
      <c r="AM126" s="59">
        <f t="shared" si="59"/>
        <v>889.11808027572647</v>
      </c>
      <c r="AN126" s="59">
        <f ca="1">AVERAGE(OFFSET($AM$3,0,0,'Données projet'!$E$10+1,1))-AVERAGE(OFFSET($H$3,0,0,'Données projet'!$E$10+1,1))</f>
        <v>366.43676005661194</v>
      </c>
      <c r="AO126" s="59">
        <f t="shared" si="90"/>
        <v>513.80016421153414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1.3268092600415544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1.3268092600415544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0.8600000000003547</v>
      </c>
      <c r="BE126" s="13">
        <f>BD126*VLOOKUP('Données projet'!$B$11,Paramètres!$A$1:$I$89,3,0)*VLOOKUP('Données projet'!$B$11,Paramètres!$A$1:$I$89,5,0)</f>
        <v>0.38012000000015683</v>
      </c>
      <c r="BF126" s="13">
        <f t="shared" si="91"/>
        <v>0.19605142963512551</v>
      </c>
      <c r="BG126" s="20">
        <f t="shared" si="61"/>
        <v>1.0034985732814501</v>
      </c>
      <c r="BH126" s="59">
        <f t="shared" si="62"/>
        <v>294.33683190661475</v>
      </c>
      <c r="BI126" s="59">
        <f ca="1">AVERAGE(OFFSET($BH$3,0,0,'Données projet'!$E$11+1,1))-AVERAGE(OFFSET($H$3,0,0,'Données projet'!$E$11+1,1))</f>
        <v>328.58609979635901</v>
      </c>
      <c r="BJ126" s="59">
        <f t="shared" si="92"/>
        <v>432.3494365423407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76.462711626784341</v>
      </c>
      <c r="BQ126" s="21">
        <f>EXP(-LN(2)/25)*BQ125+(1-EXP(-LN(2)/25))/(LN(2)/25)*Calculateur!BL126*Calculateur!BN126*VLOOKUP('Données projet'!$B$11,Paramètres!$A$1:$I$89,3,0)*0.475*44/12</f>
        <v>3.034469320999694</v>
      </c>
      <c r="BR126" s="21">
        <f>EXP(-LN(2)/2)*BR125+(1-EXP(-LN(2)/2))/(LN(2)/2)*BL126*BO126*VLOOKUP('Données projet'!$B$11,Paramètres!$A$1:$I$89,3,0)*0.475*44/12</f>
        <v>5.8789631779768911E-15</v>
      </c>
      <c r="BS126" s="22">
        <f t="shared" si="63"/>
        <v>79.497180947784031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>
        <f>VLOOKUP(A126,'Données projet'!$A$113:$I$133,2,0)</f>
        <v>328.09</v>
      </c>
      <c r="BW126" s="12">
        <f>VLOOKUP(A126,'Données projet'!$A$113:$I$133,9,0)</f>
        <v>-0.37249999999998806</v>
      </c>
      <c r="BX126" s="12">
        <f t="array" ref="BX126">INDEX(BW:BW,MIN(IF(ISNUMBER(BW126:BW322),ROW(BW126:BW322),"")))</f>
        <v>-0.37249999999998806</v>
      </c>
      <c r="BY126" s="12">
        <f>IF('Données projet'!$A$114&gt;35,BY125+BX126-CG125,IF(A126&lt;'Données projet'!$A$114,$BV$205^A126,IF(A126='Données projet'!$A$114,'Données projet'!$B$114,BY125+BX126-CG125)))</f>
        <v>328.09000000000043</v>
      </c>
      <c r="BZ126" s="13">
        <f>BY126*VLOOKUP('Données projet'!$B$12,Paramètres!$A$1:$I$89,3,0)*VLOOKUP('Données projet'!$B$12,Paramètres!$A$1:$I$89,5,0)</f>
        <v>312.21044400000045</v>
      </c>
      <c r="CA126" s="13">
        <f t="shared" si="93"/>
        <v>73.730267790811482</v>
      </c>
      <c r="CB126" s="20">
        <f t="shared" si="64"/>
        <v>672.18007303566412</v>
      </c>
      <c r="CC126" s="59">
        <f t="shared" si="65"/>
        <v>965.51340636899749</v>
      </c>
      <c r="CD126" s="59">
        <f ca="1">AVERAGE(OFFSET($CC$3,0,0,'Données projet'!$E$12+1,1))-AVERAGE(OFFSET($H$3,0,0,'Données projet'!$E$12+1,1))</f>
        <v>555.3092253965317</v>
      </c>
      <c r="CE126" s="59">
        <f t="shared" si="94"/>
        <v>292.20785523952651</v>
      </c>
      <c r="CF126" s="15">
        <f>IF(ISNA(VLOOKUP(A126,'Données projet'!$A$113:$I$133,3,0)),0,VLOOKUP(A126,'Données projet'!$A$113:$I$133,3,0))</f>
        <v>12</v>
      </c>
      <c r="CG126" s="15">
        <f>IF(ISNA(VLOOKUP(A126,'Données projet'!$A$113:$I$133,4,0)),0,VLOOKUP(A126,'Données projet'!$A$113:$I$133,4,0))</f>
        <v>100.6</v>
      </c>
      <c r="CH126" s="16">
        <f>IF(ISNA(VLOOKUP(A126,'Données projet'!$A$113:$I$133,5,0)),0%,VLOOKUP(A126,'Données projet'!$A$113:$I$133,5,0)*VLOOKUP('Données projet'!$B$12,Paramètres!$A$1:$I$89,7,0))</f>
        <v>0.43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233.37160321159081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233.37160321159081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243</v>
      </c>
      <c r="CU126" s="17">
        <f>CT126*VLOOKUP('Données projet'!$B$13,Paramètres!$A$1:$I$89,3,0)*VLOOKUP('Données projet'!$B$13,Paramètres!$A$1:$I$89,5,0)</f>
        <v>155.4228</v>
      </c>
      <c r="CV126" s="13">
        <f t="shared" si="95"/>
        <v>39.808377687614154</v>
      </c>
      <c r="CW126" s="20">
        <f t="shared" si="67"/>
        <v>340.02763447259463</v>
      </c>
      <c r="CX126" s="59">
        <f t="shared" si="68"/>
        <v>633.36096780592788</v>
      </c>
      <c r="CY126" s="59">
        <f ca="1">AVERAGE(OFFSET($CX$3,0,0,'Données projet'!$E$13+1,1))-AVERAGE(OFFSET($H$3,0,0,'Données projet'!$E$13+1,1))</f>
        <v>269.44168853803717</v>
      </c>
      <c r="CZ126" s="59">
        <f t="shared" si="96"/>
        <v>247.65158389074043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26.063900582789159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26.063900582789159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6">
        <f t="shared" si="56"/>
        <v>256.66666666666669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259.99999999999983</v>
      </c>
      <c r="O127" s="13">
        <f>N127*VLOOKUP('Données projet'!$B$9,Paramètres!$A$1:$I$89,3,0)*VLOOKUP('Données projet'!$B$9,Paramètres!$A$1:$I$89,5,0)</f>
        <v>227.13599999999985</v>
      </c>
      <c r="P127" s="13">
        <f t="shared" si="87"/>
        <v>55.662966886685133</v>
      </c>
      <c r="Q127" s="20">
        <f t="shared" si="107"/>
        <v>492.5415339943097</v>
      </c>
      <c r="R127" s="59">
        <f t="shared" si="55"/>
        <v>785.87486732764296</v>
      </c>
      <c r="S127" s="59">
        <f ca="1">AVERAGE(OFFSET($R$3,0,0,'Données projet'!$E$9+1,1))-AVERAGE(OFFSET($H$3,0,0,'Données projet'!$E$9+1,1))</f>
        <v>381.72225529388083</v>
      </c>
      <c r="T127" s="59">
        <f t="shared" si="88"/>
        <v>360.05900046417361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39.776448319606807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39.776448319606807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304.99999999999994</v>
      </c>
      <c r="AJ127" s="13">
        <f>AI127*VLOOKUP('Données projet'!$B$10,Paramètres!$A$1:$I$89,3,0)*VLOOKUP('Données projet'!$B$10,Paramètres!$A$1:$I$89,5,0)</f>
        <v>275.96399999999994</v>
      </c>
      <c r="AK127" s="13">
        <f t="shared" si="89"/>
        <v>66.113366665488911</v>
      </c>
      <c r="AL127" s="20">
        <f t="shared" si="58"/>
        <v>595.7847469423931</v>
      </c>
      <c r="AM127" s="59">
        <f t="shared" si="59"/>
        <v>889.11808027572647</v>
      </c>
      <c r="AN127" s="59">
        <f ca="1">AVERAGE(OFFSET($AM$3,0,0,'Données projet'!$E$10+1,1))-AVERAGE(OFFSET($H$3,0,0,'Données projet'!$E$10+1,1))</f>
        <v>366.43676005661194</v>
      </c>
      <c r="AO127" s="59">
        <f t="shared" si="90"/>
        <v>513.80016421153414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1.300791339725879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1.300791339725879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0.8600000000003547</v>
      </c>
      <c r="BE127" s="13">
        <f>BD127*VLOOKUP('Données projet'!$B$11,Paramètres!$A$1:$I$89,3,0)*VLOOKUP('Données projet'!$B$11,Paramètres!$A$1:$I$89,5,0)</f>
        <v>0.38012000000015683</v>
      </c>
      <c r="BF127" s="13">
        <f t="shared" si="91"/>
        <v>0.19605142963512551</v>
      </c>
      <c r="BG127" s="20">
        <f t="shared" si="61"/>
        <v>1.0034985732814501</v>
      </c>
      <c r="BH127" s="59">
        <f t="shared" si="62"/>
        <v>294.33683190661475</v>
      </c>
      <c r="BI127" s="59">
        <f ca="1">AVERAGE(OFFSET($BH$3,0,0,'Données projet'!$E$11+1,1))-AVERAGE(OFFSET($H$3,0,0,'Données projet'!$E$11+1,1))</f>
        <v>328.58609979635901</v>
      </c>
      <c r="BJ127" s="59">
        <f t="shared" si="92"/>
        <v>432.3494365423407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74.963324489432111</v>
      </c>
      <c r="BQ127" s="21">
        <f>EXP(-LN(2)/25)*BQ126+(1-EXP(-LN(2)/25))/(LN(2)/25)*Calculateur!BL127*Calculateur!BN127*VLOOKUP('Données projet'!$B$11,Paramètres!$A$1:$I$89,3,0)*0.475*44/12</f>
        <v>2.9514915978411511</v>
      </c>
      <c r="BR127" s="21">
        <f>EXP(-LN(2)/2)*BR126+(1-EXP(-LN(2)/2))/(LN(2)/2)*BL127*BO127*VLOOKUP('Données projet'!$B$11,Paramètres!$A$1:$I$89,3,0)*0.475*44/12</f>
        <v>4.1570547294934755E-15</v>
      </c>
      <c r="BS127" s="22">
        <f t="shared" si="63"/>
        <v>77.914816087273266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0.19750000000000512</v>
      </c>
      <c r="BY127" s="12">
        <f>IF('Données projet'!$A$114&gt;35,BY126+BX127-CG126,IF(A127&lt;'Données projet'!$A$114,$BV$205^A127,IF(A127='Données projet'!$A$114,'Données projet'!$B$114,BY126+BX127-CG126)))</f>
        <v>227.68750000000043</v>
      </c>
      <c r="BZ127" s="13">
        <f>BY127*VLOOKUP('Données projet'!$B$12,Paramètres!$A$1:$I$89,3,0)*VLOOKUP('Données projet'!$B$12,Paramètres!$A$1:$I$89,5,0)</f>
        <v>216.66742500000041</v>
      </c>
      <c r="CA127" s="13">
        <f t="shared" si="93"/>
        <v>53.389924809030042</v>
      </c>
      <c r="CB127" s="20">
        <f t="shared" si="64"/>
        <v>470.34988425072794</v>
      </c>
      <c r="CC127" s="59">
        <f t="shared" si="65"/>
        <v>763.68321758406125</v>
      </c>
      <c r="CD127" s="59">
        <f ca="1">AVERAGE(OFFSET($CC$3,0,0,'Données projet'!$E$12+1,1))-AVERAGE(OFFSET($H$3,0,0,'Données projet'!$E$12+1,1))</f>
        <v>555.3092253965317</v>
      </c>
      <c r="CE127" s="59">
        <f t="shared" si="94"/>
        <v>292.20785523952651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228.79532841523431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228.79532841523431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243</v>
      </c>
      <c r="CU127" s="17">
        <f>CT127*VLOOKUP('Données projet'!$B$13,Paramètres!$A$1:$I$89,3,0)*VLOOKUP('Données projet'!$B$13,Paramètres!$A$1:$I$89,5,0)</f>
        <v>155.4228</v>
      </c>
      <c r="CV127" s="13">
        <f t="shared" si="95"/>
        <v>39.808377687614154</v>
      </c>
      <c r="CW127" s="20">
        <f t="shared" si="67"/>
        <v>340.02763447259463</v>
      </c>
      <c r="CX127" s="59">
        <f t="shared" si="68"/>
        <v>633.36096780592788</v>
      </c>
      <c r="CY127" s="59">
        <f ca="1">AVERAGE(OFFSET($CX$3,0,0,'Données projet'!$E$13+1,1))-AVERAGE(OFFSET($H$3,0,0,'Données projet'!$E$13+1,1))</f>
        <v>269.44168853803717</v>
      </c>
      <c r="CZ127" s="59">
        <f t="shared" si="96"/>
        <v>247.65158389074043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25.552803389770279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25.552803389770279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6">
        <f t="shared" si="56"/>
        <v>256.66666666666669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259.99999999999983</v>
      </c>
      <c r="O128" s="13">
        <f>N128*VLOOKUP('Données projet'!$B$9,Paramètres!$A$1:$I$89,3,0)*VLOOKUP('Données projet'!$B$9,Paramètres!$A$1:$I$89,5,0)</f>
        <v>227.13599999999985</v>
      </c>
      <c r="P128" s="13">
        <f t="shared" si="87"/>
        <v>55.662966886685133</v>
      </c>
      <c r="Q128" s="20">
        <f t="shared" si="107"/>
        <v>492.5415339943097</v>
      </c>
      <c r="R128" s="59">
        <f t="shared" si="55"/>
        <v>785.87486732764296</v>
      </c>
      <c r="S128" s="59">
        <f ca="1">AVERAGE(OFFSET($R$3,0,0,'Données projet'!$E$9+1,1))-AVERAGE(OFFSET($H$3,0,0,'Données projet'!$E$9+1,1))</f>
        <v>381.72225529388083</v>
      </c>
      <c r="T128" s="59">
        <f t="shared" si="88"/>
        <v>360.05900046417361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38.996456429297197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38.996456429297197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304.99999999999994</v>
      </c>
      <c r="AJ128" s="13">
        <f>AI128*VLOOKUP('Données projet'!$B$10,Paramètres!$A$1:$I$89,3,0)*VLOOKUP('Données projet'!$B$10,Paramètres!$A$1:$I$89,5,0)</f>
        <v>275.96399999999994</v>
      </c>
      <c r="AK128" s="13">
        <f t="shared" si="89"/>
        <v>66.113366665488911</v>
      </c>
      <c r="AL128" s="20">
        <f t="shared" si="58"/>
        <v>595.7847469423931</v>
      </c>
      <c r="AM128" s="59">
        <f t="shared" si="59"/>
        <v>889.11808027572647</v>
      </c>
      <c r="AN128" s="59">
        <f ca="1">AVERAGE(OFFSET($AM$3,0,0,'Données projet'!$E$10+1,1))-AVERAGE(OFFSET($H$3,0,0,'Données projet'!$E$10+1,1))</f>
        <v>366.43676005661194</v>
      </c>
      <c r="AO128" s="59">
        <f t="shared" si="90"/>
        <v>513.80016421153414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1.2752836149582296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1.2752836149582296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0.8600000000003547</v>
      </c>
      <c r="BE128" s="13">
        <f>BD128*VLOOKUP('Données projet'!$B$11,Paramètres!$A$1:$I$89,3,0)*VLOOKUP('Données projet'!$B$11,Paramètres!$A$1:$I$89,5,0)</f>
        <v>0.38012000000015683</v>
      </c>
      <c r="BF128" s="13">
        <f t="shared" si="91"/>
        <v>0.19605142963512551</v>
      </c>
      <c r="BG128" s="20">
        <f t="shared" si="61"/>
        <v>1.0034985732814501</v>
      </c>
      <c r="BH128" s="59">
        <f t="shared" si="62"/>
        <v>294.33683190661475</v>
      </c>
      <c r="BI128" s="59">
        <f ca="1">AVERAGE(OFFSET($BH$3,0,0,'Données projet'!$E$11+1,1))-AVERAGE(OFFSET($H$3,0,0,'Données projet'!$E$11+1,1))</f>
        <v>328.58609979635901</v>
      </c>
      <c r="BJ128" s="59">
        <f t="shared" si="92"/>
        <v>432.3494365423407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73.493339419307503</v>
      </c>
      <c r="BQ128" s="21">
        <f>EXP(-LN(2)/25)*BQ127+(1-EXP(-LN(2)/25))/(LN(2)/25)*Calculateur!BL128*Calculateur!BN128*VLOOKUP('Données projet'!$B$11,Paramètres!$A$1:$I$89,3,0)*0.475*44/12</f>
        <v>2.8707829048859876</v>
      </c>
      <c r="BR128" s="21">
        <f>EXP(-LN(2)/2)*BR127+(1-EXP(-LN(2)/2))/(LN(2)/2)*BL128*BO128*VLOOKUP('Données projet'!$B$11,Paramètres!$A$1:$I$89,3,0)*0.475*44/12</f>
        <v>2.9394815889884455E-15</v>
      </c>
      <c r="BS128" s="22">
        <f t="shared" si="63"/>
        <v>76.364122324193488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0.19750000000000512</v>
      </c>
      <c r="BY128" s="12">
        <f>IF('Données projet'!$A$114&gt;35,BY127+BX128-CG127,IF(A128&lt;'Données projet'!$A$114,$BV$205^A128,IF(A128='Données projet'!$A$114,'Données projet'!$B$114,BY127+BX128-CG127)))</f>
        <v>227.88500000000045</v>
      </c>
      <c r="BZ128" s="13">
        <f>BY128*VLOOKUP('Données projet'!$B$12,Paramètres!$A$1:$I$89,3,0)*VLOOKUP('Données projet'!$B$12,Paramètres!$A$1:$I$89,5,0)</f>
        <v>216.8553660000004</v>
      </c>
      <c r="CA128" s="13">
        <f t="shared" si="93"/>
        <v>53.430843431955175</v>
      </c>
      <c r="CB128" s="20">
        <f t="shared" si="64"/>
        <v>470.74848142732253</v>
      </c>
      <c r="CC128" s="59">
        <f t="shared" si="65"/>
        <v>764.08181476065579</v>
      </c>
      <c r="CD128" s="59">
        <f ca="1">AVERAGE(OFFSET($CC$3,0,0,'Données projet'!$E$12+1,1))-AVERAGE(OFFSET($H$3,0,0,'Données projet'!$E$12+1,1))</f>
        <v>555.3092253965317</v>
      </c>
      <c r="CE128" s="59">
        <f t="shared" si="94"/>
        <v>292.20785523952651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224.30879157638233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224.30879157638233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243</v>
      </c>
      <c r="CU128" s="17">
        <f>CT128*VLOOKUP('Données projet'!$B$13,Paramètres!$A$1:$I$89,3,0)*VLOOKUP('Données projet'!$B$13,Paramètres!$A$1:$I$89,5,0)</f>
        <v>155.4228</v>
      </c>
      <c r="CV128" s="13">
        <f t="shared" si="95"/>
        <v>39.808377687614154</v>
      </c>
      <c r="CW128" s="20">
        <f t="shared" si="67"/>
        <v>340.02763447259463</v>
      </c>
      <c r="CX128" s="59">
        <f t="shared" si="68"/>
        <v>633.36096780592788</v>
      </c>
      <c r="CY128" s="59">
        <f ca="1">AVERAGE(OFFSET($CX$3,0,0,'Données projet'!$E$13+1,1))-AVERAGE(OFFSET($H$3,0,0,'Données projet'!$E$13+1,1))</f>
        <v>269.44168853803717</v>
      </c>
      <c r="CZ128" s="59">
        <f t="shared" si="96"/>
        <v>247.65158389074043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25.051728500967993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25.051728500967993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6">
        <f t="shared" si="56"/>
        <v>256.66666666666669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259.99999999999983</v>
      </c>
      <c r="O129" s="13">
        <f>N129*VLOOKUP('Données projet'!$B$9,Paramètres!$A$1:$I$89,3,0)*VLOOKUP('Données projet'!$B$9,Paramètres!$A$1:$I$89,5,0)</f>
        <v>227.13599999999985</v>
      </c>
      <c r="P129" s="13">
        <f t="shared" si="87"/>
        <v>55.662966886685133</v>
      </c>
      <c r="Q129" s="20">
        <f t="shared" si="107"/>
        <v>492.5415339943097</v>
      </c>
      <c r="R129" s="59">
        <f t="shared" si="55"/>
        <v>785.87486732764296</v>
      </c>
      <c r="S129" s="59">
        <f ca="1">AVERAGE(OFFSET($R$3,0,0,'Données projet'!$E$9+1,1))-AVERAGE(OFFSET($H$3,0,0,'Données projet'!$E$9+1,1))</f>
        <v>381.72225529388083</v>
      </c>
      <c r="T129" s="59">
        <f t="shared" si="88"/>
        <v>360.05900046417361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38.231759704208478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38.231759704208478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304.99999999999994</v>
      </c>
      <c r="AJ129" s="13">
        <f>AI129*VLOOKUP('Données projet'!$B$10,Paramètres!$A$1:$I$89,3,0)*VLOOKUP('Données projet'!$B$10,Paramètres!$A$1:$I$89,5,0)</f>
        <v>275.96399999999994</v>
      </c>
      <c r="AK129" s="13">
        <f t="shared" si="89"/>
        <v>66.113366665488911</v>
      </c>
      <c r="AL129" s="20">
        <f t="shared" si="58"/>
        <v>595.7847469423931</v>
      </c>
      <c r="AM129" s="59">
        <f t="shared" si="59"/>
        <v>889.11808027572647</v>
      </c>
      <c r="AN129" s="59">
        <f ca="1">AVERAGE(OFFSET($AM$3,0,0,'Données projet'!$E$10+1,1))-AVERAGE(OFFSET($H$3,0,0,'Données projet'!$E$10+1,1))</f>
        <v>366.43676005661194</v>
      </c>
      <c r="AO129" s="59">
        <f t="shared" si="90"/>
        <v>513.80016421153414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1.2502760811150979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1.2502760811150979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0.8600000000003547</v>
      </c>
      <c r="BE129" s="13">
        <f>BD129*VLOOKUP('Données projet'!$B$11,Paramètres!$A$1:$I$89,3,0)*VLOOKUP('Données projet'!$B$11,Paramètres!$A$1:$I$89,5,0)</f>
        <v>0.38012000000015683</v>
      </c>
      <c r="BF129" s="13">
        <f t="shared" si="91"/>
        <v>0.19605142963512551</v>
      </c>
      <c r="BG129" s="20">
        <f t="shared" si="61"/>
        <v>1.0034985732814501</v>
      </c>
      <c r="BH129" s="59">
        <f t="shared" si="62"/>
        <v>294.33683190661475</v>
      </c>
      <c r="BI129" s="59">
        <f ca="1">AVERAGE(OFFSET($BH$3,0,0,'Données projet'!$E$11+1,1))-AVERAGE(OFFSET($H$3,0,0,'Données projet'!$E$11+1,1))</f>
        <v>328.58609979635901</v>
      </c>
      <c r="BJ129" s="59">
        <f t="shared" si="92"/>
        <v>432.3494365423407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72.052179859805676</v>
      </c>
      <c r="BQ129" s="21">
        <f>EXP(-LN(2)/25)*BQ128+(1-EXP(-LN(2)/25))/(LN(2)/25)*Calculateur!BL129*Calculateur!BN129*VLOOKUP('Données projet'!$B$11,Paramètres!$A$1:$I$89,3,0)*0.475*44/12</f>
        <v>2.7922811953839686</v>
      </c>
      <c r="BR129" s="21">
        <f>EXP(-LN(2)/2)*BR128+(1-EXP(-LN(2)/2))/(LN(2)/2)*BL129*BO129*VLOOKUP('Données projet'!$B$11,Paramètres!$A$1:$I$89,3,0)*0.475*44/12</f>
        <v>2.0785273647467377E-15</v>
      </c>
      <c r="BS129" s="22">
        <f t="shared" si="63"/>
        <v>74.84446105518964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0.19750000000000512</v>
      </c>
      <c r="BY129" s="12">
        <f>IF('Données projet'!$A$114&gt;35,BY128+BX129-CG128,IF(A129&lt;'Données projet'!$A$114,$BV$205^A129,IF(A129='Données projet'!$A$114,'Données projet'!$B$114,BY128+BX129-CG128)))</f>
        <v>228.08250000000044</v>
      </c>
      <c r="BZ129" s="13">
        <f>BY129*VLOOKUP('Données projet'!$B$12,Paramètres!$A$1:$I$89,3,0)*VLOOKUP('Données projet'!$B$12,Paramètres!$A$1:$I$89,5,0)</f>
        <v>217.0433070000004</v>
      </c>
      <c r="CA129" s="13">
        <f t="shared" si="93"/>
        <v>53.471757927224203</v>
      </c>
      <c r="CB129" s="20">
        <f t="shared" si="64"/>
        <v>471.14707141491613</v>
      </c>
      <c r="CC129" s="59">
        <f t="shared" si="65"/>
        <v>764.48040474824938</v>
      </c>
      <c r="CD129" s="59">
        <f ca="1">AVERAGE(OFFSET($CC$3,0,0,'Données projet'!$E$12+1,1))-AVERAGE(OFFSET($H$3,0,0,'Données projet'!$E$12+1,1))</f>
        <v>555.3092253965317</v>
      </c>
      <c r="CE129" s="59">
        <f t="shared" si="94"/>
        <v>292.20785523952651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219.91023298842299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219.91023298842299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243</v>
      </c>
      <c r="CU129" s="17">
        <f>CT129*VLOOKUP('Données projet'!$B$13,Paramètres!$A$1:$I$89,3,0)*VLOOKUP('Données projet'!$B$13,Paramètres!$A$1:$I$89,5,0)</f>
        <v>155.4228</v>
      </c>
      <c r="CV129" s="13">
        <f t="shared" si="95"/>
        <v>39.808377687614154</v>
      </c>
      <c r="CW129" s="20">
        <f t="shared" si="67"/>
        <v>340.02763447259463</v>
      </c>
      <c r="CX129" s="59">
        <f t="shared" si="68"/>
        <v>633.36096780592788</v>
      </c>
      <c r="CY129" s="59">
        <f ca="1">AVERAGE(OFFSET($CX$3,0,0,'Données projet'!$E$13+1,1))-AVERAGE(OFFSET($H$3,0,0,'Données projet'!$E$13+1,1))</f>
        <v>269.44168853803717</v>
      </c>
      <c r="CZ129" s="59">
        <f t="shared" si="96"/>
        <v>247.65158389074043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24.560479385109616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24.560479385109616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6">
        <f t="shared" si="56"/>
        <v>256.66666666666669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259.99999999999983</v>
      </c>
      <c r="O130" s="13">
        <f>N130*VLOOKUP('Données projet'!$B$9,Paramètres!$A$1:$I$89,3,0)*VLOOKUP('Données projet'!$B$9,Paramètres!$A$1:$I$89,5,0)</f>
        <v>227.13599999999985</v>
      </c>
      <c r="P130" s="13">
        <f t="shared" si="87"/>
        <v>55.662966886685133</v>
      </c>
      <c r="Q130" s="20">
        <f t="shared" si="107"/>
        <v>492.5415339943097</v>
      </c>
      <c r="R130" s="59">
        <f t="shared" si="55"/>
        <v>785.87486732764296</v>
      </c>
      <c r="S130" s="59">
        <f ca="1">AVERAGE(OFFSET($R$3,0,0,'Données projet'!$E$9+1,1))-AVERAGE(OFFSET($H$3,0,0,'Données projet'!$E$9+1,1))</f>
        <v>381.72225529388083</v>
      </c>
      <c r="T130" s="59">
        <f t="shared" si="88"/>
        <v>360.05900046417361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37.482058215479803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37.482058215479803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304.99999999999994</v>
      </c>
      <c r="AJ130" s="13">
        <f>AI130*VLOOKUP('Données projet'!$B$10,Paramètres!$A$1:$I$89,3,0)*VLOOKUP('Données projet'!$B$10,Paramètres!$A$1:$I$89,5,0)</f>
        <v>275.96399999999994</v>
      </c>
      <c r="AK130" s="13">
        <f t="shared" si="89"/>
        <v>66.113366665488911</v>
      </c>
      <c r="AL130" s="20">
        <f t="shared" si="58"/>
        <v>595.7847469423931</v>
      </c>
      <c r="AM130" s="59">
        <f t="shared" si="59"/>
        <v>889.11808027572647</v>
      </c>
      <c r="AN130" s="59">
        <f ca="1">AVERAGE(OFFSET($AM$3,0,0,'Données projet'!$E$10+1,1))-AVERAGE(OFFSET($H$3,0,0,'Données projet'!$E$10+1,1))</f>
        <v>366.43676005661194</v>
      </c>
      <c r="AO130" s="59">
        <f t="shared" si="90"/>
        <v>513.80016421153414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1.2257589297575404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1.2257589297575404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0.8600000000003547</v>
      </c>
      <c r="BE130" s="13">
        <f>BD130*VLOOKUP('Données projet'!$B$11,Paramètres!$A$1:$I$89,3,0)*VLOOKUP('Données projet'!$B$11,Paramètres!$A$1:$I$89,5,0)</f>
        <v>0.38012000000015683</v>
      </c>
      <c r="BF130" s="13">
        <f t="shared" si="91"/>
        <v>0.19605142963512551</v>
      </c>
      <c r="BG130" s="20">
        <f t="shared" si="61"/>
        <v>1.0034985732814501</v>
      </c>
      <c r="BH130" s="59">
        <f t="shared" si="62"/>
        <v>294.33683190661475</v>
      </c>
      <c r="BI130" s="59">
        <f ca="1">AVERAGE(OFFSET($BH$3,0,0,'Données projet'!$E$11+1,1))-AVERAGE(OFFSET($H$3,0,0,'Données projet'!$E$11+1,1))</f>
        <v>328.58609979635901</v>
      </c>
      <c r="BJ130" s="59">
        <f t="shared" si="92"/>
        <v>432.3494365423407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70.63928056024514</v>
      </c>
      <c r="BQ130" s="21">
        <f>EXP(-LN(2)/25)*BQ129+(1-EXP(-LN(2)/25))/(LN(2)/25)*Calculateur!BL130*Calculateur!BN130*VLOOKUP('Données projet'!$B$11,Paramètres!$A$1:$I$89,3,0)*0.475*44/12</f>
        <v>2.7159261192565078</v>
      </c>
      <c r="BR130" s="21">
        <f>EXP(-LN(2)/2)*BR129+(1-EXP(-LN(2)/2))/(LN(2)/2)*BL130*BO130*VLOOKUP('Données projet'!$B$11,Paramètres!$A$1:$I$89,3,0)*0.475*44/12</f>
        <v>1.4697407944942228E-15</v>
      </c>
      <c r="BS130" s="22">
        <f t="shared" si="63"/>
        <v>73.355206679501649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>
        <f>VLOOKUP(A130,'Données projet'!$A$113:$I$133,2,0)</f>
        <v>228.28</v>
      </c>
      <c r="BW130" s="12">
        <f>VLOOKUP(A130,'Données projet'!$A$113:$I$133,9,0)</f>
        <v>0.19750000000000512</v>
      </c>
      <c r="BX130" s="12">
        <f t="array" ref="BX130">INDEX(BW:BW,MIN(IF(ISNUMBER(BW130:BW326),ROW(BW130:BW326),"")))</f>
        <v>0.19750000000000512</v>
      </c>
      <c r="BY130" s="12">
        <f>IF('Données projet'!$A$114&gt;35,BY129+BX130-CG129,IF(A130&lt;'Données projet'!$A$114,$BV$205^A130,IF(A130='Données projet'!$A$114,'Données projet'!$B$114,BY129+BX130-CG129)))</f>
        <v>228.28000000000043</v>
      </c>
      <c r="BZ130" s="13">
        <f>BY130*VLOOKUP('Données projet'!$B$12,Paramètres!$A$1:$I$89,3,0)*VLOOKUP('Données projet'!$B$12,Paramètres!$A$1:$I$89,5,0)</f>
        <v>217.23124800000039</v>
      </c>
      <c r="CA130" s="13">
        <f t="shared" si="93"/>
        <v>53.512668298827201</v>
      </c>
      <c r="CB130" s="20">
        <f t="shared" si="64"/>
        <v>471.54565422045795</v>
      </c>
      <c r="CC130" s="59">
        <f t="shared" si="65"/>
        <v>764.87898755379126</v>
      </c>
      <c r="CD130" s="59">
        <f ca="1">AVERAGE(OFFSET($CC$3,0,0,'Données projet'!$E$12+1,1))-AVERAGE(OFFSET($H$3,0,0,'Données projet'!$E$12+1,1))</f>
        <v>555.3092253965317</v>
      </c>
      <c r="CE130" s="59">
        <f t="shared" si="94"/>
        <v>292.20785523952651</v>
      </c>
      <c r="CF130" s="15">
        <f>IF(ISNA(VLOOKUP(A130,'Données projet'!$A$113:$I$133,3,0)),0,VLOOKUP(A130,'Données projet'!$A$113:$I$133,3,0))</f>
        <v>13</v>
      </c>
      <c r="CG130" s="15">
        <f>IF(ISNA(VLOOKUP(A130,'Données projet'!$A$113:$I$133,4,0)),0,VLOOKUP(A130,'Données projet'!$A$113:$I$133,4,0))</f>
        <v>65.02</v>
      </c>
      <c r="CH130" s="16">
        <f>IF(ISNA(VLOOKUP(A130,'Données projet'!$A$113:$I$133,5,0)),0%,VLOOKUP(A130,'Données projet'!$A$113:$I$133,5,0)*VLOOKUP('Données projet'!$B$12,Paramètres!$A$1:$I$89,7,0))</f>
        <v>0.43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245.00941324371229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245.00941324371229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243</v>
      </c>
      <c r="CU130" s="17">
        <f>CT130*VLOOKUP('Données projet'!$B$13,Paramètres!$A$1:$I$89,3,0)*VLOOKUP('Données projet'!$B$13,Paramètres!$A$1:$I$89,5,0)</f>
        <v>155.4228</v>
      </c>
      <c r="CV130" s="13">
        <f t="shared" si="95"/>
        <v>39.808377687614154</v>
      </c>
      <c r="CW130" s="20">
        <f t="shared" si="67"/>
        <v>340.02763447259463</v>
      </c>
      <c r="CX130" s="59">
        <f t="shared" si="68"/>
        <v>633.36096780592788</v>
      </c>
      <c r="CY130" s="59">
        <f ca="1">AVERAGE(OFFSET($CX$3,0,0,'Données projet'!$E$13+1,1))-AVERAGE(OFFSET($H$3,0,0,'Données projet'!$E$13+1,1))</f>
        <v>269.44168853803717</v>
      </c>
      <c r="CZ130" s="59">
        <f t="shared" si="96"/>
        <v>247.65158389074043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24.078863364780847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24.078863364780847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6">
        <f t="shared" si="56"/>
        <v>256.66666666666669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259.99999999999983</v>
      </c>
      <c r="O131" s="13">
        <f>N131*VLOOKUP('Données projet'!$B$9,Paramètres!$A$1:$I$89,3,0)*VLOOKUP('Données projet'!$B$9,Paramètres!$A$1:$I$89,5,0)</f>
        <v>227.13599999999985</v>
      </c>
      <c r="P131" s="13">
        <f t="shared" si="87"/>
        <v>55.662966886685133</v>
      </c>
      <c r="Q131" s="20">
        <f t="shared" ref="Q131:Q153" si="108">(O131+P131)*0.475*44/12</f>
        <v>492.5415339943097</v>
      </c>
      <c r="R131" s="59">
        <f t="shared" ref="R131:R194" si="109">Q131+(I131+J131)*44/12</f>
        <v>785.87486732764296</v>
      </c>
      <c r="S131" s="59">
        <f ca="1">AVERAGE(OFFSET($R$3,0,0,'Données projet'!$E$9+1,1))-AVERAGE(OFFSET($H$3,0,0,'Données projet'!$E$9+1,1))</f>
        <v>381.72225529388083</v>
      </c>
      <c r="T131" s="59">
        <f t="shared" si="88"/>
        <v>360.05900046417361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36.747057915672343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36.747057915672343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304.99999999999994</v>
      </c>
      <c r="AJ131" s="13">
        <f>AI131*VLOOKUP('Données projet'!$B$10,Paramètres!$A$1:$I$89,3,0)*VLOOKUP('Données projet'!$B$10,Paramètres!$A$1:$I$89,5,0)</f>
        <v>275.96399999999994</v>
      </c>
      <c r="AK131" s="13">
        <f t="shared" si="89"/>
        <v>66.113366665488911</v>
      </c>
      <c r="AL131" s="20">
        <f t="shared" si="58"/>
        <v>595.7847469423931</v>
      </c>
      <c r="AM131" s="59">
        <f t="shared" si="59"/>
        <v>889.11808027572647</v>
      </c>
      <c r="AN131" s="59">
        <f ca="1">AVERAGE(OFFSET($AM$3,0,0,'Données projet'!$E$10+1,1))-AVERAGE(OFFSET($H$3,0,0,'Données projet'!$E$10+1,1))</f>
        <v>366.43676005661194</v>
      </c>
      <c r="AO131" s="59">
        <f t="shared" si="90"/>
        <v>513.80016421153414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1.2017225447841189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1.2017225447841189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0.8600000000003547</v>
      </c>
      <c r="BE131" s="13">
        <f>BD131*VLOOKUP('Données projet'!$B$11,Paramètres!$A$1:$I$89,3,0)*VLOOKUP('Données projet'!$B$11,Paramètres!$A$1:$I$89,5,0)</f>
        <v>0.38012000000015683</v>
      </c>
      <c r="BF131" s="13">
        <f t="shared" si="91"/>
        <v>0.19605142963512551</v>
      </c>
      <c r="BG131" s="20">
        <f t="shared" si="61"/>
        <v>1.0034985732814501</v>
      </c>
      <c r="BH131" s="59">
        <f t="shared" si="62"/>
        <v>294.33683190661475</v>
      </c>
      <c r="BI131" s="59">
        <f ca="1">AVERAGE(OFFSET($BH$3,0,0,'Données projet'!$E$11+1,1))-AVERAGE(OFFSET($H$3,0,0,'Données projet'!$E$11+1,1))</f>
        <v>328.58609979635901</v>
      </c>
      <c r="BJ131" s="59">
        <f t="shared" si="92"/>
        <v>432.3494365423407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69.25408735416552</v>
      </c>
      <c r="BQ131" s="21">
        <f>EXP(-LN(2)/25)*BQ130+(1-EXP(-LN(2)/25))/(LN(2)/25)*Calculateur!BL131*Calculateur!BN131*VLOOKUP('Données projet'!$B$11,Paramètres!$A$1:$I$89,3,0)*0.475*44/12</f>
        <v>2.6416589767010912</v>
      </c>
      <c r="BR131" s="21">
        <f>EXP(-LN(2)/2)*BR130+(1-EXP(-LN(2)/2))/(LN(2)/2)*BL131*BO131*VLOOKUP('Données projet'!$B$11,Paramètres!$A$1:$I$89,3,0)*0.475*44/12</f>
        <v>1.0392636823733689E-15</v>
      </c>
      <c r="BS131" s="22">
        <f t="shared" si="63"/>
        <v>71.895746330866615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9.7500000000003695E-2</v>
      </c>
      <c r="BY131" s="12">
        <f>IF('Données projet'!$A$114&gt;35,BY130+BX131-CG130,IF(A131&lt;'Données projet'!$A$114,$BV$205^A131,IF(A131='Données projet'!$A$114,'Données projet'!$B$114,BY130+BX131-CG130)))</f>
        <v>163.35750000000041</v>
      </c>
      <c r="BZ131" s="13">
        <f>BY131*VLOOKUP('Données projet'!$B$12,Paramètres!$A$1:$I$89,3,0)*VLOOKUP('Données projet'!$B$12,Paramètres!$A$1:$I$89,5,0)</f>
        <v>155.4509970000004</v>
      </c>
      <c r="CA131" s="13">
        <f t="shared" si="93"/>
        <v>39.81475905541555</v>
      </c>
      <c r="CB131" s="20">
        <f t="shared" si="64"/>
        <v>340.08785846318278</v>
      </c>
      <c r="CC131" s="59">
        <f t="shared" si="65"/>
        <v>633.42119179651604</v>
      </c>
      <c r="CD131" s="59">
        <f ca="1">AVERAGE(OFFSET($CC$3,0,0,'Données projet'!$E$12+1,1))-AVERAGE(OFFSET($H$3,0,0,'Données projet'!$E$12+1,1))</f>
        <v>555.3092253965317</v>
      </c>
      <c r="CE131" s="59">
        <f t="shared" si="94"/>
        <v>292.20785523952651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240.20492809098909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240.20492809098909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243</v>
      </c>
      <c r="CU131" s="17">
        <f>CT131*VLOOKUP('Données projet'!$B$13,Paramètres!$A$1:$I$89,3,0)*VLOOKUP('Données projet'!$B$13,Paramètres!$A$1:$I$89,5,0)</f>
        <v>155.4228</v>
      </c>
      <c r="CV131" s="13">
        <f t="shared" si="95"/>
        <v>39.808377687614154</v>
      </c>
      <c r="CW131" s="20">
        <f t="shared" si="67"/>
        <v>340.02763447259463</v>
      </c>
      <c r="CX131" s="59">
        <f t="shared" si="68"/>
        <v>633.36096780592788</v>
      </c>
      <c r="CY131" s="59">
        <f ca="1">AVERAGE(OFFSET($CX$3,0,0,'Données projet'!$E$13+1,1))-AVERAGE(OFFSET($H$3,0,0,'Données projet'!$E$13+1,1))</f>
        <v>269.44168853803717</v>
      </c>
      <c r="CZ131" s="59">
        <f t="shared" si="96"/>
        <v>247.65158389074043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23.606691540853962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23.606691540853962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6">
        <f t="shared" ref="H132:H195" si="110">(B132+E132+F132)*44/12+(C132+D132)*0.475*44/12</f>
        <v>256.66666666666669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259.99999999999983</v>
      </c>
      <c r="O132" s="13">
        <f>N132*VLOOKUP('Données projet'!$B$9,Paramètres!$A$1:$I$89,3,0)*VLOOKUP('Données projet'!$B$9,Paramètres!$A$1:$I$89,5,0)</f>
        <v>227.13599999999985</v>
      </c>
      <c r="P132" s="13">
        <f t="shared" si="87"/>
        <v>55.662966886685133</v>
      </c>
      <c r="Q132" s="20">
        <f t="shared" si="108"/>
        <v>492.5415339943097</v>
      </c>
      <c r="R132" s="59">
        <f t="shared" si="109"/>
        <v>785.87486732764296</v>
      </c>
      <c r="S132" s="59">
        <f ca="1">AVERAGE(OFFSET($R$3,0,0,'Données projet'!$E$9+1,1))-AVERAGE(OFFSET($H$3,0,0,'Données projet'!$E$9+1,1))</f>
        <v>381.72225529388083</v>
      </c>
      <c r="T132" s="59">
        <f t="shared" si="88"/>
        <v>360.05900046417361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36.026470523438185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36.026470523438185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304.99999999999994</v>
      </c>
      <c r="AJ132" s="13">
        <f>AI132*VLOOKUP('Données projet'!$B$10,Paramètres!$A$1:$I$89,3,0)*VLOOKUP('Données projet'!$B$10,Paramètres!$A$1:$I$89,5,0)</f>
        <v>275.96399999999994</v>
      </c>
      <c r="AK132" s="13">
        <f t="shared" si="89"/>
        <v>66.113366665488911</v>
      </c>
      <c r="AL132" s="20">
        <f t="shared" ref="AL132:AL153" si="112">(AJ132+AK132)*0.475*44/12</f>
        <v>595.7847469423931</v>
      </c>
      <c r="AM132" s="59">
        <f t="shared" ref="AM132:AM195" si="113">AL132+(AD132+AE132)*44/12</f>
        <v>889.11808027572647</v>
      </c>
      <c r="AN132" s="59">
        <f ca="1">AVERAGE(OFFSET($AM$3,0,0,'Données projet'!$E$10+1,1))-AVERAGE(OFFSET($H$3,0,0,'Données projet'!$E$10+1,1))</f>
        <v>366.43676005661194</v>
      </c>
      <c r="AO132" s="59">
        <f t="shared" si="90"/>
        <v>513.80016421153414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1.1781574986592791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1.1781574986592791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0.8600000000003547</v>
      </c>
      <c r="BE132" s="13">
        <f>BD132*VLOOKUP('Données projet'!$B$11,Paramètres!$A$1:$I$89,3,0)*VLOOKUP('Données projet'!$B$11,Paramètres!$A$1:$I$89,5,0)</f>
        <v>0.38012000000015683</v>
      </c>
      <c r="BF132" s="13">
        <f t="shared" si="91"/>
        <v>0.19605142963512551</v>
      </c>
      <c r="BG132" s="20">
        <f t="shared" ref="BG132:BG153" si="115">(BE132+BF132)*0.475*44/12</f>
        <v>1.0034985732814501</v>
      </c>
      <c r="BH132" s="59">
        <f t="shared" ref="BH132:BH195" si="116">BG132+(AY132+AZ132)*44/12</f>
        <v>294.33683190661475</v>
      </c>
      <c r="BI132" s="59">
        <f ca="1">AVERAGE(OFFSET($BH$3,0,0,'Données projet'!$E$11+1,1))-AVERAGE(OFFSET($H$3,0,0,'Données projet'!$E$11+1,1))</f>
        <v>328.58609979635901</v>
      </c>
      <c r="BJ132" s="59">
        <f t="shared" si="92"/>
        <v>432.3494365423407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67.896056941972688</v>
      </c>
      <c r="BQ132" s="21">
        <f>EXP(-LN(2)/25)*BQ131+(1-EXP(-LN(2)/25))/(LN(2)/25)*Calculateur!BL132*Calculateur!BN132*VLOOKUP('Données projet'!$B$11,Paramètres!$A$1:$I$89,3,0)*0.475*44/12</f>
        <v>2.5694226730643916</v>
      </c>
      <c r="BR132" s="21">
        <f>EXP(-LN(2)/2)*BR131+(1-EXP(-LN(2)/2))/(LN(2)/2)*BL132*BO132*VLOOKUP('Données projet'!$B$11,Paramètres!$A$1:$I$89,3,0)*0.475*44/12</f>
        <v>7.3487039724711138E-16</v>
      </c>
      <c r="BS132" s="22">
        <f t="shared" ref="BS132:BS153" si="117">SUM(BP132:BR132)</f>
        <v>70.465479615037083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9.7500000000003695E-2</v>
      </c>
      <c r="BY132" s="12">
        <f>IF('Données projet'!$A$114&gt;35,BY131+BX132-CG131,IF(A132&lt;'Données projet'!$A$114,$BV$205^A132,IF(A132='Données projet'!$A$114,'Données projet'!$B$114,BY131+BX132-CG131)))</f>
        <v>163.45500000000041</v>
      </c>
      <c r="BZ132" s="13">
        <f>BY132*VLOOKUP('Données projet'!$B$12,Paramètres!$A$1:$I$89,3,0)*VLOOKUP('Données projet'!$B$12,Paramètres!$A$1:$I$89,5,0)</f>
        <v>155.5437780000004</v>
      </c>
      <c r="CA132" s="13">
        <f t="shared" si="93"/>
        <v>39.83575571724095</v>
      </c>
      <c r="CB132" s="20">
        <f t="shared" ref="CB132:CB153" si="118">(BZ132+CA132)*0.475*44/12</f>
        <v>340.28602122419534</v>
      </c>
      <c r="CC132" s="59">
        <f t="shared" ref="CC132:CC195" si="119">CB132+(BT132+BU132)*44/12</f>
        <v>633.6193545575286</v>
      </c>
      <c r="CD132" s="59">
        <f ca="1">AVERAGE(OFFSET($CC$3,0,0,'Données projet'!$E$12+1,1))-AVERAGE(OFFSET($H$3,0,0,'Données projet'!$E$12+1,1))</f>
        <v>555.3092253965317</v>
      </c>
      <c r="CE132" s="59">
        <f t="shared" si="94"/>
        <v>292.20785523952651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235.49465596166422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235.49465596166422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243</v>
      </c>
      <c r="CU132" s="17">
        <f>CT132*VLOOKUP('Données projet'!$B$13,Paramètres!$A$1:$I$89,3,0)*VLOOKUP('Données projet'!$B$13,Paramètres!$A$1:$I$89,5,0)</f>
        <v>155.4228</v>
      </c>
      <c r="CV132" s="13">
        <f t="shared" si="95"/>
        <v>39.808377687614154</v>
      </c>
      <c r="CW132" s="20">
        <f t="shared" ref="CW132:CW153" si="121">(CU132+CV132)*0.475*44/12</f>
        <v>340.02763447259463</v>
      </c>
      <c r="CX132" s="59">
        <f t="shared" ref="CX132:CX195" si="122">CW132+(CO132+CP132)*44/12</f>
        <v>633.36096780592788</v>
      </c>
      <c r="CY132" s="59">
        <f ca="1">AVERAGE(OFFSET($CX$3,0,0,'Données projet'!$E$13+1,1))-AVERAGE(OFFSET($H$3,0,0,'Données projet'!$E$13+1,1))</f>
        <v>269.44168853803717</v>
      </c>
      <c r="CZ132" s="59">
        <f t="shared" si="96"/>
        <v>247.65158389074043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23.143778718397908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23.143778718397908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6">
        <f t="shared" si="110"/>
        <v>256.66666666666669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259.99999999999983</v>
      </c>
      <c r="O133" s="13">
        <f>N133*VLOOKUP('Données projet'!$B$9,Paramètres!$A$1:$I$89,3,0)*VLOOKUP('Données projet'!$B$9,Paramètres!$A$1:$I$89,5,0)</f>
        <v>227.13599999999985</v>
      </c>
      <c r="P133" s="13">
        <f t="shared" ref="P133:P196" si="141">EXP(-1.0587+0.8836*LN(O133)+0.284)</f>
        <v>55.662966886685133</v>
      </c>
      <c r="Q133" s="20">
        <f t="shared" si="108"/>
        <v>492.5415339943097</v>
      </c>
      <c r="R133" s="59">
        <f t="shared" si="109"/>
        <v>785.87486732764296</v>
      </c>
      <c r="S133" s="59">
        <f ca="1">AVERAGE(OFFSET($R$3,0,0,'Données projet'!$E$9+1,1))-AVERAGE(OFFSET($H$3,0,0,'Données projet'!$E$9+1,1))</f>
        <v>381.72225529388083</v>
      </c>
      <c r="T133" s="59">
        <f t="shared" ref="T133:T196" si="142">$T$3</f>
        <v>360.05900046417361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35.320013410450834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35.320013410450834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304.99999999999994</v>
      </c>
      <c r="AJ133" s="13">
        <f>AI133*VLOOKUP('Données projet'!$B$10,Paramètres!$A$1:$I$89,3,0)*VLOOKUP('Données projet'!$B$10,Paramètres!$A$1:$I$89,5,0)</f>
        <v>275.96399999999994</v>
      </c>
      <c r="AK133" s="13">
        <f t="shared" ref="AK133:AK153" si="143">EXP(-1.0587+0.8836*LN(AJ133)+0.284)</f>
        <v>66.113366665488911</v>
      </c>
      <c r="AL133" s="20">
        <f t="shared" si="112"/>
        <v>595.7847469423931</v>
      </c>
      <c r="AM133" s="59">
        <f t="shared" si="113"/>
        <v>889.11808027572647</v>
      </c>
      <c r="AN133" s="59">
        <f ca="1">AVERAGE(OFFSET($AM$3,0,0,'Données projet'!$E$10+1,1))-AVERAGE(OFFSET($H$3,0,0,'Données projet'!$E$10+1,1))</f>
        <v>366.43676005661194</v>
      </c>
      <c r="AO133" s="59">
        <f t="shared" ref="AO133:AO196" si="144">$AO$3</f>
        <v>513.80016421153414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1.1550545487156885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1.1550545487156885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0.8600000000003547</v>
      </c>
      <c r="BE133" s="13">
        <f>BD133*VLOOKUP('Données projet'!$B$11,Paramètres!$A$1:$I$89,3,0)*VLOOKUP('Données projet'!$B$11,Paramètres!$A$1:$I$89,5,0)</f>
        <v>0.38012000000015683</v>
      </c>
      <c r="BF133" s="13">
        <f t="shared" ref="BF133:BF153" si="145">EXP(-1.0587+0.8836*LN(BE133)+0.284)</f>
        <v>0.19605142963512551</v>
      </c>
      <c r="BG133" s="20">
        <f t="shared" si="115"/>
        <v>1.0034985732814501</v>
      </c>
      <c r="BH133" s="59">
        <f t="shared" si="116"/>
        <v>294.33683190661475</v>
      </c>
      <c r="BI133" s="59">
        <f ca="1">AVERAGE(OFFSET($BH$3,0,0,'Données projet'!$E$11+1,1))-AVERAGE(OFFSET($H$3,0,0,'Données projet'!$E$11+1,1))</f>
        <v>328.58609979635901</v>
      </c>
      <c r="BJ133" s="59">
        <f t="shared" ref="BJ133:BJ196" si="146">$BJ$3</f>
        <v>432.3494365423407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66.564656677846187</v>
      </c>
      <c r="BQ133" s="21">
        <f>EXP(-LN(2)/25)*BQ132+(1-EXP(-LN(2)/25))/(LN(2)/25)*Calculateur!BL133*Calculateur!BN133*VLOOKUP('Données projet'!$B$11,Paramètres!$A$1:$I$89,3,0)*0.475*44/12</f>
        <v>2.4991616749493799</v>
      </c>
      <c r="BR133" s="21">
        <f>EXP(-LN(2)/2)*BR132+(1-EXP(-LN(2)/2))/(LN(2)/2)*BL133*BO133*VLOOKUP('Données projet'!$B$11,Paramètres!$A$1:$I$89,3,0)*0.475*44/12</f>
        <v>5.1963184118668443E-16</v>
      </c>
      <c r="BS133" s="22">
        <f t="shared" si="117"/>
        <v>69.063818352795565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9.7500000000003695E-2</v>
      </c>
      <c r="BY133" s="12">
        <f>IF('Données projet'!$A$114&gt;35,BY132+BX133-CG132,IF(A133&lt;'Données projet'!$A$114,$BV$205^A133,IF(A133='Données projet'!$A$114,'Données projet'!$B$114,BY132+BX133-CG132)))</f>
        <v>163.55250000000041</v>
      </c>
      <c r="BZ133" s="13">
        <f>BY133*VLOOKUP('Données projet'!$B$12,Paramètres!$A$1:$I$89,3,0)*VLOOKUP('Données projet'!$B$12,Paramètres!$A$1:$I$89,5,0)</f>
        <v>155.63655900000037</v>
      </c>
      <c r="CA133" s="13">
        <f t="shared" ref="CA133:CA153" si="147">EXP(-1.0587+0.8836*LN(BZ133)+0.284)</f>
        <v>39.856750921277595</v>
      </c>
      <c r="CB133" s="20">
        <f t="shared" si="118"/>
        <v>340.48418144622576</v>
      </c>
      <c r="CC133" s="59">
        <f t="shared" si="119"/>
        <v>633.81751477955913</v>
      </c>
      <c r="CD133" s="59">
        <f ca="1">AVERAGE(OFFSET($CC$3,0,0,'Données projet'!$E$12+1,1))-AVERAGE(OFFSET($H$3,0,0,'Données projet'!$E$12+1,1))</f>
        <v>555.3092253965317</v>
      </c>
      <c r="CE133" s="59">
        <f t="shared" ref="CE133:CE196" si="148">$CE$3</f>
        <v>292.20785523952651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230.87674939581308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230.87674939581308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243</v>
      </c>
      <c r="CU133" s="17">
        <f>CT133*VLOOKUP('Données projet'!$B$13,Paramètres!$A$1:$I$89,3,0)*VLOOKUP('Données projet'!$B$13,Paramètres!$A$1:$I$89,5,0)</f>
        <v>155.4228</v>
      </c>
      <c r="CV133" s="13">
        <f t="shared" ref="CV133:CV153" si="149">EXP(-1.0587+0.8836*LN(CU133)+0.284)</f>
        <v>39.808377687614154</v>
      </c>
      <c r="CW133" s="20">
        <f t="shared" si="121"/>
        <v>340.02763447259463</v>
      </c>
      <c r="CX133" s="59">
        <f t="shared" si="122"/>
        <v>633.36096780592788</v>
      </c>
      <c r="CY133" s="59">
        <f ca="1">AVERAGE(OFFSET($CX$3,0,0,'Données projet'!$E$13+1,1))-AVERAGE(OFFSET($H$3,0,0,'Données projet'!$E$13+1,1))</f>
        <v>269.44168853803717</v>
      </c>
      <c r="CZ133" s="59">
        <f t="shared" ref="CZ133:CZ196" si="150">$CZ$3</f>
        <v>247.65158389074043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22.689943334041274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22.689943334041274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6">
        <f t="shared" si="110"/>
        <v>256.66666666666669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259.99999999999983</v>
      </c>
      <c r="O134" s="13">
        <f>N134*VLOOKUP('Données projet'!$B$9,Paramètres!$A$1:$I$89,3,0)*VLOOKUP('Données projet'!$B$9,Paramètres!$A$1:$I$89,5,0)</f>
        <v>227.13599999999985</v>
      </c>
      <c r="P134" s="13">
        <f t="shared" si="141"/>
        <v>55.662966886685133</v>
      </c>
      <c r="Q134" s="20">
        <f t="shared" si="108"/>
        <v>492.5415339943097</v>
      </c>
      <c r="R134" s="59">
        <f t="shared" si="109"/>
        <v>785.87486732764296</v>
      </c>
      <c r="S134" s="59">
        <f ca="1">AVERAGE(OFFSET($R$3,0,0,'Données projet'!$E$9+1,1))-AVERAGE(OFFSET($H$3,0,0,'Données projet'!$E$9+1,1))</f>
        <v>381.72225529388083</v>
      </c>
      <c r="T134" s="59">
        <f t="shared" si="142"/>
        <v>360.05900046417361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34.627409490552871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34.627409490552871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304.99999999999994</v>
      </c>
      <c r="AJ134" s="13">
        <f>AI134*VLOOKUP('Données projet'!$B$10,Paramètres!$A$1:$I$89,3,0)*VLOOKUP('Données projet'!$B$10,Paramètres!$A$1:$I$89,5,0)</f>
        <v>275.96399999999994</v>
      </c>
      <c r="AK134" s="13">
        <f t="shared" si="143"/>
        <v>66.113366665488911</v>
      </c>
      <c r="AL134" s="20">
        <f t="shared" si="112"/>
        <v>595.7847469423931</v>
      </c>
      <c r="AM134" s="59">
        <f t="shared" si="113"/>
        <v>889.11808027572647</v>
      </c>
      <c r="AN134" s="59">
        <f ca="1">AVERAGE(OFFSET($AM$3,0,0,'Données projet'!$E$10+1,1))-AVERAGE(OFFSET($H$3,0,0,'Données projet'!$E$10+1,1))</f>
        <v>366.43676005661194</v>
      </c>
      <c r="AO134" s="59">
        <f t="shared" si="144"/>
        <v>513.80016421153414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1.1324046335290836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1.1324046335290836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0.8600000000003547</v>
      </c>
      <c r="BE134" s="13">
        <f>BD134*VLOOKUP('Données projet'!$B$11,Paramètres!$A$1:$I$89,3,0)*VLOOKUP('Données projet'!$B$11,Paramètres!$A$1:$I$89,5,0)</f>
        <v>0.38012000000015683</v>
      </c>
      <c r="BF134" s="13">
        <f t="shared" si="145"/>
        <v>0.19605142963512551</v>
      </c>
      <c r="BG134" s="20">
        <f t="shared" si="115"/>
        <v>1.0034985732814501</v>
      </c>
      <c r="BH134" s="59">
        <f t="shared" si="116"/>
        <v>294.33683190661475</v>
      </c>
      <c r="BI134" s="59">
        <f ca="1">AVERAGE(OFFSET($BH$3,0,0,'Données projet'!$E$11+1,1))-AVERAGE(OFFSET($H$3,0,0,'Données projet'!$E$11+1,1))</f>
        <v>328.58609979635901</v>
      </c>
      <c r="BJ134" s="59">
        <f t="shared" si="146"/>
        <v>432.3494365423407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65.259364360825231</v>
      </c>
      <c r="BQ134" s="21">
        <f>EXP(-LN(2)/25)*BQ133+(1-EXP(-LN(2)/25))/(LN(2)/25)*Calculateur!BL134*Calculateur!BN134*VLOOKUP('Données projet'!$B$11,Paramètres!$A$1:$I$89,3,0)*0.475*44/12</f>
        <v>2.4308219675226885</v>
      </c>
      <c r="BR134" s="21">
        <f>EXP(-LN(2)/2)*BR133+(1-EXP(-LN(2)/2))/(LN(2)/2)*BL134*BO134*VLOOKUP('Données projet'!$B$11,Paramètres!$A$1:$I$89,3,0)*0.475*44/12</f>
        <v>3.6743519862355569E-16</v>
      </c>
      <c r="BS134" s="22">
        <f t="shared" si="117"/>
        <v>67.69018632834792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>
        <f>VLOOKUP(A134,'Données projet'!$A$113:$I$133,2,0)</f>
        <v>163.65</v>
      </c>
      <c r="BW134" s="12">
        <f>VLOOKUP(A134,'Données projet'!$A$113:$I$133,9,0)</f>
        <v>9.7500000000003695E-2</v>
      </c>
      <c r="BX134" s="12">
        <f t="array" ref="BX134">INDEX(BW:BW,MIN(IF(ISNUMBER(BW134:BW330),ROW(BW134:BW330),"")))</f>
        <v>9.7500000000003695E-2</v>
      </c>
      <c r="BY134" s="12">
        <f>IF('Données projet'!$A$114&gt;35,BY133+BX134-CG133,IF(A134&lt;'Données projet'!$A$114,$BV$205^A134,IF(A134='Données projet'!$A$114,'Données projet'!$B$114,BY133+BX134-CG133)))</f>
        <v>163.6500000000004</v>
      </c>
      <c r="BZ134" s="13">
        <f>BY134*VLOOKUP('Données projet'!$B$12,Paramètres!$A$1:$I$89,3,0)*VLOOKUP('Données projet'!$B$12,Paramètres!$A$1:$I$89,5,0)</f>
        <v>155.72934000000038</v>
      </c>
      <c r="CA134" s="13">
        <f t="shared" si="147"/>
        <v>39.877744668495708</v>
      </c>
      <c r="CB134" s="20">
        <f t="shared" si="118"/>
        <v>340.68233913096401</v>
      </c>
      <c r="CC134" s="59">
        <f t="shared" si="119"/>
        <v>634.01567246429727</v>
      </c>
      <c r="CD134" s="59">
        <f ca="1">AVERAGE(OFFSET($CC$3,0,0,'Données projet'!$E$12+1,1))-AVERAGE(OFFSET($H$3,0,0,'Données projet'!$E$12+1,1))</f>
        <v>555.3092253965317</v>
      </c>
      <c r="CE134" s="59">
        <f t="shared" si="148"/>
        <v>292.20785523952651</v>
      </c>
      <c r="CF134" s="15">
        <f>IF(ISNA(VLOOKUP(A134,'Données projet'!$A$113:$I$133,3,0)),0,VLOOKUP(A134,'Données projet'!$A$113:$I$133,3,0))</f>
        <v>14</v>
      </c>
      <c r="CG134" s="15">
        <f>IF(ISNA(VLOOKUP(A134,'Données projet'!$A$113:$I$133,4,0)),0,VLOOKUP(A134,'Données projet'!$A$113:$I$133,4,0))</f>
        <v>143.84</v>
      </c>
      <c r="CH134" s="16">
        <f>IF(ISNA(VLOOKUP(A134,'Données projet'!$A$113:$I$133,5,0)),0%,VLOOKUP(A134,'Données projet'!$A$113:$I$133,5,0)*VLOOKUP('Données projet'!$B$12,Paramètres!$A$1:$I$89,7,0))</f>
        <v>0.43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291.41473269397511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291.41473269397511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243</v>
      </c>
      <c r="CU134" s="17">
        <f>CT134*VLOOKUP('Données projet'!$B$13,Paramètres!$A$1:$I$89,3,0)*VLOOKUP('Données projet'!$B$13,Paramètres!$A$1:$I$89,5,0)</f>
        <v>155.4228</v>
      </c>
      <c r="CV134" s="13">
        <f t="shared" si="149"/>
        <v>39.808377687614154</v>
      </c>
      <c r="CW134" s="20">
        <f t="shared" si="121"/>
        <v>340.02763447259463</v>
      </c>
      <c r="CX134" s="59">
        <f t="shared" si="122"/>
        <v>633.36096780592788</v>
      </c>
      <c r="CY134" s="59">
        <f ca="1">AVERAGE(OFFSET($CX$3,0,0,'Données projet'!$E$13+1,1))-AVERAGE(OFFSET($H$3,0,0,'Données projet'!$E$13+1,1))</f>
        <v>269.44168853803717</v>
      </c>
      <c r="CZ134" s="59">
        <f t="shared" si="150"/>
        <v>247.65158389074043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22.245007384759621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22.245007384759621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6">
        <f t="shared" si="110"/>
        <v>256.66666666666669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259.99999999999983</v>
      </c>
      <c r="O135" s="13">
        <f>N135*VLOOKUP('Données projet'!$B$9,Paramètres!$A$1:$I$89,3,0)*VLOOKUP('Données projet'!$B$9,Paramètres!$A$1:$I$89,5,0)</f>
        <v>227.13599999999985</v>
      </c>
      <c r="P135" s="13">
        <f t="shared" si="141"/>
        <v>55.662966886685133</v>
      </c>
      <c r="Q135" s="20">
        <f t="shared" si="108"/>
        <v>492.5415339943097</v>
      </c>
      <c r="R135" s="59">
        <f t="shared" si="109"/>
        <v>785.87486732764296</v>
      </c>
      <c r="S135" s="59">
        <f ca="1">AVERAGE(OFFSET($R$3,0,0,'Données projet'!$E$9+1,1))-AVERAGE(OFFSET($H$3,0,0,'Données projet'!$E$9+1,1))</f>
        <v>381.72225529388083</v>
      </c>
      <c r="T135" s="59">
        <f t="shared" si="142"/>
        <v>360.05900046417361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33.94838711107743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33.94838711107743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304.99999999999994</v>
      </c>
      <c r="AJ135" s="13">
        <f>AI135*VLOOKUP('Données projet'!$B$10,Paramètres!$A$1:$I$89,3,0)*VLOOKUP('Données projet'!$B$10,Paramètres!$A$1:$I$89,5,0)</f>
        <v>275.96399999999994</v>
      </c>
      <c r="AK135" s="13">
        <f t="shared" si="143"/>
        <v>66.113366665488911</v>
      </c>
      <c r="AL135" s="20">
        <f t="shared" si="112"/>
        <v>595.7847469423931</v>
      </c>
      <c r="AM135" s="59">
        <f t="shared" si="113"/>
        <v>889.11808027572647</v>
      </c>
      <c r="AN135" s="59">
        <f ca="1">AVERAGE(OFFSET($AM$3,0,0,'Données projet'!$E$10+1,1))-AVERAGE(OFFSET($H$3,0,0,'Données projet'!$E$10+1,1))</f>
        <v>366.43676005661194</v>
      </c>
      <c r="AO135" s="59">
        <f t="shared" si="144"/>
        <v>513.80016421153414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1.110198869364204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1.110198869364204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0.8600000000003547</v>
      </c>
      <c r="BE135" s="13">
        <f>BD135*VLOOKUP('Données projet'!$B$11,Paramètres!$A$1:$I$89,3,0)*VLOOKUP('Données projet'!$B$11,Paramètres!$A$1:$I$89,5,0)</f>
        <v>0.38012000000015683</v>
      </c>
      <c r="BF135" s="13">
        <f t="shared" si="145"/>
        <v>0.19605142963512551</v>
      </c>
      <c r="BG135" s="20">
        <f t="shared" si="115"/>
        <v>1.0034985732814501</v>
      </c>
      <c r="BH135" s="59">
        <f t="shared" si="116"/>
        <v>294.33683190661475</v>
      </c>
      <c r="BI135" s="59">
        <f ca="1">AVERAGE(OFFSET($BH$3,0,0,'Données projet'!$E$11+1,1))-AVERAGE(OFFSET($H$3,0,0,'Données projet'!$E$11+1,1))</f>
        <v>328.58609979635901</v>
      </c>
      <c r="BJ135" s="59">
        <f t="shared" si="146"/>
        <v>432.3494365423407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63.979668029991359</v>
      </c>
      <c r="BQ135" s="21">
        <f>EXP(-LN(2)/25)*BQ134+(1-EXP(-LN(2)/25))/(LN(2)/25)*Calculateur!BL135*Calculateur!BN135*VLOOKUP('Données projet'!$B$11,Paramètres!$A$1:$I$89,3,0)*0.475*44/12</f>
        <v>2.3643510129894092</v>
      </c>
      <c r="BR135" s="21">
        <f>EXP(-LN(2)/2)*BR134+(1-EXP(-LN(2)/2))/(LN(2)/2)*BL135*BO135*VLOOKUP('Données projet'!$B$11,Paramètres!$A$1:$I$89,3,0)*0.475*44/12</f>
        <v>2.5981592059334222E-16</v>
      </c>
      <c r="BS135" s="22">
        <f t="shared" si="117"/>
        <v>66.344019042980761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19.8100000000004</v>
      </c>
      <c r="BZ135" s="13">
        <f>BY135*VLOOKUP('Données projet'!$B$12,Paramètres!$A$1:$I$89,3,0)*VLOOKUP('Données projet'!$B$12,Paramètres!$A$1:$I$89,5,0)</f>
        <v>18.851196000000382</v>
      </c>
      <c r="CA135" s="13">
        <f t="shared" si="147"/>
        <v>6.172221809210666</v>
      </c>
      <c r="CB135" s="20">
        <f t="shared" si="118"/>
        <v>43.582452684375909</v>
      </c>
      <c r="CC135" s="59">
        <f t="shared" si="119"/>
        <v>336.91578601770925</v>
      </c>
      <c r="CD135" s="59">
        <f ca="1">AVERAGE(OFFSET($CC$3,0,0,'Données projet'!$E$12+1,1))-AVERAGE(OFFSET($H$3,0,0,'Données projet'!$E$12+1,1))</f>
        <v>555.3092253965317</v>
      </c>
      <c r="CE135" s="59">
        <f t="shared" si="148"/>
        <v>292.20785523952651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285.70026753128229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285.70026753128229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243</v>
      </c>
      <c r="CU135" s="17">
        <f>CT135*VLOOKUP('Données projet'!$B$13,Paramètres!$A$1:$I$89,3,0)*VLOOKUP('Données projet'!$B$13,Paramètres!$A$1:$I$89,5,0)</f>
        <v>155.4228</v>
      </c>
      <c r="CV135" s="13">
        <f t="shared" si="149"/>
        <v>39.808377687614154</v>
      </c>
      <c r="CW135" s="20">
        <f t="shared" si="121"/>
        <v>340.02763447259463</v>
      </c>
      <c r="CX135" s="59">
        <f t="shared" si="122"/>
        <v>633.36096780592788</v>
      </c>
      <c r="CY135" s="59">
        <f ca="1">AVERAGE(OFFSET($CX$3,0,0,'Données projet'!$E$13+1,1))-AVERAGE(OFFSET($H$3,0,0,'Données projet'!$E$13+1,1))</f>
        <v>269.44168853803717</v>
      </c>
      <c r="CZ135" s="59">
        <f t="shared" si="150"/>
        <v>247.65158389074043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21.808796358059251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21.808796358059251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6">
        <f t="shared" si="110"/>
        <v>256.66666666666669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259.99999999999983</v>
      </c>
      <c r="O136" s="13">
        <f>N136*VLOOKUP('Données projet'!$B$9,Paramètres!$A$1:$I$89,3,0)*VLOOKUP('Données projet'!$B$9,Paramètres!$A$1:$I$89,5,0)</f>
        <v>227.13599999999985</v>
      </c>
      <c r="P136" s="13">
        <f t="shared" si="141"/>
        <v>55.662966886685133</v>
      </c>
      <c r="Q136" s="20">
        <f t="shared" si="108"/>
        <v>492.5415339943097</v>
      </c>
      <c r="R136" s="59">
        <f t="shared" si="109"/>
        <v>785.87486732764296</v>
      </c>
      <c r="S136" s="59">
        <f ca="1">AVERAGE(OFFSET($R$3,0,0,'Données projet'!$E$9+1,1))-AVERAGE(OFFSET($H$3,0,0,'Données projet'!$E$9+1,1))</f>
        <v>381.72225529388083</v>
      </c>
      <c r="T136" s="59">
        <f t="shared" si="142"/>
        <v>360.05900046417361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33.282679946300746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33.282679946300746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304.99999999999994</v>
      </c>
      <c r="AJ136" s="13">
        <f>AI136*VLOOKUP('Données projet'!$B$10,Paramètres!$A$1:$I$89,3,0)*VLOOKUP('Données projet'!$B$10,Paramètres!$A$1:$I$89,5,0)</f>
        <v>275.96399999999994</v>
      </c>
      <c r="AK136" s="13">
        <f t="shared" si="143"/>
        <v>66.113366665488911</v>
      </c>
      <c r="AL136" s="20">
        <f t="shared" si="112"/>
        <v>595.7847469423931</v>
      </c>
      <c r="AM136" s="59">
        <f t="shared" si="113"/>
        <v>889.11808027572647</v>
      </c>
      <c r="AN136" s="59">
        <f ca="1">AVERAGE(OFFSET($AM$3,0,0,'Données projet'!$E$10+1,1))-AVERAGE(OFFSET($H$3,0,0,'Données projet'!$E$10+1,1))</f>
        <v>366.43676005661194</v>
      </c>
      <c r="AO136" s="59">
        <f t="shared" si="144"/>
        <v>513.80016421153414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1.0884285466904189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1.0884285466904189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0.8600000000003547</v>
      </c>
      <c r="BE136" s="13">
        <f>BD136*VLOOKUP('Données projet'!$B$11,Paramètres!$A$1:$I$89,3,0)*VLOOKUP('Données projet'!$B$11,Paramètres!$A$1:$I$89,5,0)</f>
        <v>0.38012000000015683</v>
      </c>
      <c r="BF136" s="13">
        <f t="shared" si="145"/>
        <v>0.19605142963512551</v>
      </c>
      <c r="BG136" s="20">
        <f t="shared" si="115"/>
        <v>1.0034985732814501</v>
      </c>
      <c r="BH136" s="59">
        <f t="shared" si="116"/>
        <v>294.33683190661475</v>
      </c>
      <c r="BI136" s="59">
        <f ca="1">AVERAGE(OFFSET($BH$3,0,0,'Données projet'!$E$11+1,1))-AVERAGE(OFFSET($H$3,0,0,'Données projet'!$E$11+1,1))</f>
        <v>328.58609979635901</v>
      </c>
      <c r="BJ136" s="59">
        <f t="shared" si="146"/>
        <v>432.3494365423407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62.725065763667452</v>
      </c>
      <c r="BQ136" s="21">
        <f>EXP(-LN(2)/25)*BQ135+(1-EXP(-LN(2)/25))/(LN(2)/25)*Calculateur!BL136*Calculateur!BN136*VLOOKUP('Données projet'!$B$11,Paramètres!$A$1:$I$89,3,0)*0.475*44/12</f>
        <v>2.299697710203398</v>
      </c>
      <c r="BR136" s="21">
        <f>EXP(-LN(2)/2)*BR135+(1-EXP(-LN(2)/2))/(LN(2)/2)*BL136*BO136*VLOOKUP('Données projet'!$B$11,Paramètres!$A$1:$I$89,3,0)*0.475*44/12</f>
        <v>1.8371759931177785E-16</v>
      </c>
      <c r="BS136" s="22">
        <f t="shared" si="117"/>
        <v>65.024763473870848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19.8100000000004</v>
      </c>
      <c r="BZ136" s="13">
        <f>BY136*VLOOKUP('Données projet'!$B$12,Paramètres!$A$1:$I$89,3,0)*VLOOKUP('Données projet'!$B$12,Paramètres!$A$1:$I$89,5,0)</f>
        <v>18.851196000000382</v>
      </c>
      <c r="CA136" s="13">
        <f t="shared" si="147"/>
        <v>6.172221809210666</v>
      </c>
      <c r="CB136" s="20">
        <f t="shared" si="118"/>
        <v>43.582452684375909</v>
      </c>
      <c r="CC136" s="59">
        <f t="shared" si="119"/>
        <v>336.91578601770925</v>
      </c>
      <c r="CD136" s="59">
        <f ca="1">AVERAGE(OFFSET($CC$3,0,0,'Données projet'!$E$12+1,1))-AVERAGE(OFFSET($H$3,0,0,'Données projet'!$E$12+1,1))</f>
        <v>555.3092253965317</v>
      </c>
      <c r="CE136" s="59">
        <f t="shared" si="148"/>
        <v>292.20785523952651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280.09785954495032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280.09785954495032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243</v>
      </c>
      <c r="CU136" s="17">
        <f>CT136*VLOOKUP('Données projet'!$B$13,Paramètres!$A$1:$I$89,3,0)*VLOOKUP('Données projet'!$B$13,Paramètres!$A$1:$I$89,5,0)</f>
        <v>155.4228</v>
      </c>
      <c r="CV136" s="13">
        <f t="shared" si="149"/>
        <v>39.808377687614154</v>
      </c>
      <c r="CW136" s="20">
        <f t="shared" si="121"/>
        <v>340.02763447259463</v>
      </c>
      <c r="CX136" s="59">
        <f t="shared" si="122"/>
        <v>633.36096780592788</v>
      </c>
      <c r="CY136" s="59">
        <f ca="1">AVERAGE(OFFSET($CX$3,0,0,'Données projet'!$E$13+1,1))-AVERAGE(OFFSET($H$3,0,0,'Données projet'!$E$13+1,1))</f>
        <v>269.44168853803717</v>
      </c>
      <c r="CZ136" s="59">
        <f t="shared" si="150"/>
        <v>247.65158389074043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21.381139163530019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21.381139163530019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6">
        <f t="shared" si="110"/>
        <v>256.66666666666669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259.99999999999983</v>
      </c>
      <c r="O137" s="13">
        <f>N137*VLOOKUP('Données projet'!$B$9,Paramètres!$A$1:$I$89,3,0)*VLOOKUP('Données projet'!$B$9,Paramètres!$A$1:$I$89,5,0)</f>
        <v>227.13599999999985</v>
      </c>
      <c r="P137" s="13">
        <f t="shared" si="141"/>
        <v>55.662966886685133</v>
      </c>
      <c r="Q137" s="20">
        <f t="shared" si="108"/>
        <v>492.5415339943097</v>
      </c>
      <c r="R137" s="59">
        <f t="shared" si="109"/>
        <v>785.87486732764296</v>
      </c>
      <c r="S137" s="59">
        <f ca="1">AVERAGE(OFFSET($R$3,0,0,'Données projet'!$E$9+1,1))-AVERAGE(OFFSET($H$3,0,0,'Données projet'!$E$9+1,1))</f>
        <v>381.72225529388083</v>
      </c>
      <c r="T137" s="59">
        <f t="shared" si="142"/>
        <v>360.05900046417361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32.630026892984056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32.630026892984056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304.99999999999994</v>
      </c>
      <c r="AJ137" s="13">
        <f>AI137*VLOOKUP('Données projet'!$B$10,Paramètres!$A$1:$I$89,3,0)*VLOOKUP('Données projet'!$B$10,Paramètres!$A$1:$I$89,5,0)</f>
        <v>275.96399999999994</v>
      </c>
      <c r="AK137" s="13">
        <f t="shared" si="143"/>
        <v>66.113366665488911</v>
      </c>
      <c r="AL137" s="20">
        <f t="shared" si="112"/>
        <v>595.7847469423931</v>
      </c>
      <c r="AM137" s="59">
        <f t="shared" si="113"/>
        <v>889.11808027572647</v>
      </c>
      <c r="AN137" s="59">
        <f ca="1">AVERAGE(OFFSET($AM$3,0,0,'Données projet'!$E$10+1,1))-AVERAGE(OFFSET($H$3,0,0,'Données projet'!$E$10+1,1))</f>
        <v>366.43676005661194</v>
      </c>
      <c r="AO137" s="59">
        <f t="shared" si="144"/>
        <v>513.80016421153414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1.0670851267656809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1.0670851267656809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0.8600000000003547</v>
      </c>
      <c r="BE137" s="13">
        <f>BD137*VLOOKUP('Données projet'!$B$11,Paramètres!$A$1:$I$89,3,0)*VLOOKUP('Données projet'!$B$11,Paramètres!$A$1:$I$89,5,0)</f>
        <v>0.38012000000015683</v>
      </c>
      <c r="BF137" s="13">
        <f t="shared" si="145"/>
        <v>0.19605142963512551</v>
      </c>
      <c r="BG137" s="20">
        <f t="shared" si="115"/>
        <v>1.0034985732814501</v>
      </c>
      <c r="BH137" s="59">
        <f t="shared" si="116"/>
        <v>294.33683190661475</v>
      </c>
      <c r="BI137" s="59">
        <f ca="1">AVERAGE(OFFSET($BH$3,0,0,'Données projet'!$E$11+1,1))-AVERAGE(OFFSET($H$3,0,0,'Données projet'!$E$11+1,1))</f>
        <v>328.58609979635901</v>
      </c>
      <c r="BJ137" s="59">
        <f t="shared" si="146"/>
        <v>432.3494365423407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61.495065482554331</v>
      </c>
      <c r="BQ137" s="21">
        <f>EXP(-LN(2)/25)*BQ136+(1-EXP(-LN(2)/25))/(LN(2)/25)*Calculateur!BL137*Calculateur!BN137*VLOOKUP('Données projet'!$B$11,Paramètres!$A$1:$I$89,3,0)*0.475*44/12</f>
        <v>2.2368123553820394</v>
      </c>
      <c r="BR137" s="21">
        <f>EXP(-LN(2)/2)*BR136+(1-EXP(-LN(2)/2))/(LN(2)/2)*BL137*BO137*VLOOKUP('Données projet'!$B$11,Paramètres!$A$1:$I$89,3,0)*0.475*44/12</f>
        <v>1.2990796029667111E-16</v>
      </c>
      <c r="BS137" s="22">
        <f t="shared" si="117"/>
        <v>63.731877837936374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19.8100000000004</v>
      </c>
      <c r="BZ137" s="13">
        <f>BY137*VLOOKUP('Données projet'!$B$12,Paramètres!$A$1:$I$89,3,0)*VLOOKUP('Données projet'!$B$12,Paramètres!$A$1:$I$89,5,0)</f>
        <v>18.851196000000382</v>
      </c>
      <c r="CA137" s="13">
        <f t="shared" si="147"/>
        <v>6.172221809210666</v>
      </c>
      <c r="CB137" s="20">
        <f t="shared" si="118"/>
        <v>43.582452684375909</v>
      </c>
      <c r="CC137" s="59">
        <f t="shared" si="119"/>
        <v>336.91578601770925</v>
      </c>
      <c r="CD137" s="59">
        <f ca="1">AVERAGE(OFFSET($CC$3,0,0,'Données projet'!$E$12+1,1))-AVERAGE(OFFSET($H$3,0,0,'Données projet'!$E$12+1,1))</f>
        <v>555.3092253965317</v>
      </c>
      <c r="CE137" s="59">
        <f t="shared" si="148"/>
        <v>292.20785523952651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274.60531136209886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274.60531136209886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243</v>
      </c>
      <c r="CU137" s="17">
        <f>CT137*VLOOKUP('Données projet'!$B$13,Paramètres!$A$1:$I$89,3,0)*VLOOKUP('Données projet'!$B$13,Paramètres!$A$1:$I$89,5,0)</f>
        <v>155.4228</v>
      </c>
      <c r="CV137" s="13">
        <f t="shared" si="149"/>
        <v>39.808377687614154</v>
      </c>
      <c r="CW137" s="20">
        <f t="shared" si="121"/>
        <v>340.02763447259463</v>
      </c>
      <c r="CX137" s="59">
        <f t="shared" si="122"/>
        <v>633.36096780592788</v>
      </c>
      <c r="CY137" s="59">
        <f ca="1">AVERAGE(OFFSET($CX$3,0,0,'Données projet'!$E$13+1,1))-AVERAGE(OFFSET($H$3,0,0,'Données projet'!$E$13+1,1))</f>
        <v>269.44168853803717</v>
      </c>
      <c r="CZ137" s="59">
        <f t="shared" si="150"/>
        <v>247.65158389074043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20.961868065740372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20.961868065740372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6">
        <f t="shared" si="110"/>
        <v>256.66666666666669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259.99999999999983</v>
      </c>
      <c r="O138" s="13">
        <f>N138*VLOOKUP('Données projet'!$B$9,Paramètres!$A$1:$I$89,3,0)*VLOOKUP('Données projet'!$B$9,Paramètres!$A$1:$I$89,5,0)</f>
        <v>227.13599999999985</v>
      </c>
      <c r="P138" s="13">
        <f t="shared" si="141"/>
        <v>55.662966886685133</v>
      </c>
      <c r="Q138" s="20">
        <f t="shared" si="108"/>
        <v>492.5415339943097</v>
      </c>
      <c r="R138" s="59">
        <f t="shared" si="109"/>
        <v>785.87486732764296</v>
      </c>
      <c r="S138" s="59">
        <f ca="1">AVERAGE(OFFSET($R$3,0,0,'Données projet'!$E$9+1,1))-AVERAGE(OFFSET($H$3,0,0,'Données projet'!$E$9+1,1))</f>
        <v>381.72225529388083</v>
      </c>
      <c r="T138" s="59">
        <f t="shared" si="142"/>
        <v>360.05900046417361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31.99017196796385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31.99017196796385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304.99999999999994</v>
      </c>
      <c r="AJ138" s="13">
        <f>AI138*VLOOKUP('Données projet'!$B$10,Paramètres!$A$1:$I$89,3,0)*VLOOKUP('Données projet'!$B$10,Paramètres!$A$1:$I$89,5,0)</f>
        <v>275.96399999999994</v>
      </c>
      <c r="AK138" s="13">
        <f t="shared" si="143"/>
        <v>66.113366665488911</v>
      </c>
      <c r="AL138" s="20">
        <f t="shared" si="112"/>
        <v>595.7847469423931</v>
      </c>
      <c r="AM138" s="59">
        <f t="shared" si="113"/>
        <v>889.11808027572647</v>
      </c>
      <c r="AN138" s="59">
        <f ca="1">AVERAGE(OFFSET($AM$3,0,0,'Données projet'!$E$10+1,1))-AVERAGE(OFFSET($H$3,0,0,'Données projet'!$E$10+1,1))</f>
        <v>366.43676005661194</v>
      </c>
      <c r="AO138" s="59">
        <f t="shared" si="144"/>
        <v>513.80016421153414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1.0461602382874664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1.0461602382874664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0.8600000000003547</v>
      </c>
      <c r="BE138" s="13">
        <f>BD138*VLOOKUP('Données projet'!$B$11,Paramètres!$A$1:$I$89,3,0)*VLOOKUP('Données projet'!$B$11,Paramètres!$A$1:$I$89,5,0)</f>
        <v>0.38012000000015683</v>
      </c>
      <c r="BF138" s="13">
        <f t="shared" si="145"/>
        <v>0.19605142963512551</v>
      </c>
      <c r="BG138" s="20">
        <f t="shared" si="115"/>
        <v>1.0034985732814501</v>
      </c>
      <c r="BH138" s="59">
        <f t="shared" si="116"/>
        <v>294.33683190661475</v>
      </c>
      <c r="BI138" s="59">
        <f ca="1">AVERAGE(OFFSET($BH$3,0,0,'Données projet'!$E$11+1,1))-AVERAGE(OFFSET($H$3,0,0,'Données projet'!$E$11+1,1))</f>
        <v>328.58609979635901</v>
      </c>
      <c r="BJ138" s="59">
        <f t="shared" si="146"/>
        <v>432.3494365423407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60.289184756727749</v>
      </c>
      <c r="BQ138" s="21">
        <f>EXP(-LN(2)/25)*BQ137+(1-EXP(-LN(2)/25))/(LN(2)/25)*Calculateur!BL138*Calculateur!BN138*VLOOKUP('Données projet'!$B$11,Paramètres!$A$1:$I$89,3,0)*0.475*44/12</f>
        <v>2.175646603895268</v>
      </c>
      <c r="BR138" s="21">
        <f>EXP(-LN(2)/2)*BR137+(1-EXP(-LN(2)/2))/(LN(2)/2)*BL138*BO138*VLOOKUP('Données projet'!$B$11,Paramètres!$A$1:$I$89,3,0)*0.475*44/12</f>
        <v>9.1858799655888923E-17</v>
      </c>
      <c r="BS138" s="22">
        <f t="shared" si="117"/>
        <v>62.464831360623016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19.8100000000004</v>
      </c>
      <c r="BZ138" s="13">
        <f>BY138*VLOOKUP('Données projet'!$B$12,Paramètres!$A$1:$I$89,3,0)*VLOOKUP('Données projet'!$B$12,Paramètres!$A$1:$I$89,5,0)</f>
        <v>18.851196000000382</v>
      </c>
      <c r="CA138" s="13">
        <f t="shared" si="147"/>
        <v>6.172221809210666</v>
      </c>
      <c r="CB138" s="20">
        <f t="shared" si="118"/>
        <v>43.582452684375909</v>
      </c>
      <c r="CC138" s="59">
        <f t="shared" si="119"/>
        <v>336.91578601770925</v>
      </c>
      <c r="CD138" s="59">
        <f ca="1">AVERAGE(OFFSET($CC$3,0,0,'Données projet'!$E$12+1,1))-AVERAGE(OFFSET($H$3,0,0,'Données projet'!$E$12+1,1))</f>
        <v>555.3092253965317</v>
      </c>
      <c r="CE138" s="59">
        <f t="shared" si="148"/>
        <v>292.20785523952651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269.22046869898952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269.22046869898952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243</v>
      </c>
      <c r="CU138" s="17">
        <f>CT138*VLOOKUP('Données projet'!$B$13,Paramètres!$A$1:$I$89,3,0)*VLOOKUP('Données projet'!$B$13,Paramètres!$A$1:$I$89,5,0)</f>
        <v>155.4228</v>
      </c>
      <c r="CV138" s="13">
        <f t="shared" si="149"/>
        <v>39.808377687614154</v>
      </c>
      <c r="CW138" s="20">
        <f t="shared" si="121"/>
        <v>340.02763447259463</v>
      </c>
      <c r="CX138" s="59">
        <f t="shared" si="122"/>
        <v>633.36096780592788</v>
      </c>
      <c r="CY138" s="59">
        <f ca="1">AVERAGE(OFFSET($CX$3,0,0,'Données projet'!$E$13+1,1))-AVERAGE(OFFSET($H$3,0,0,'Données projet'!$E$13+1,1))</f>
        <v>269.44168853803717</v>
      </c>
      <c r="CZ138" s="59">
        <f t="shared" si="150"/>
        <v>247.65158389074043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20.550818618448261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20.550818618448261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6">
        <f t="shared" si="110"/>
        <v>256.66666666666669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259.99999999999983</v>
      </c>
      <c r="O139" s="13">
        <f>N139*VLOOKUP('Données projet'!$B$9,Paramètres!$A$1:$I$89,3,0)*VLOOKUP('Données projet'!$B$9,Paramètres!$A$1:$I$89,5,0)</f>
        <v>227.13599999999985</v>
      </c>
      <c r="P139" s="13">
        <f t="shared" si="141"/>
        <v>55.662966886685133</v>
      </c>
      <c r="Q139" s="20">
        <f t="shared" si="108"/>
        <v>492.5415339943097</v>
      </c>
      <c r="R139" s="59">
        <f t="shared" si="109"/>
        <v>785.87486732764296</v>
      </c>
      <c r="S139" s="59">
        <f ca="1">AVERAGE(OFFSET($R$3,0,0,'Données projet'!$E$9+1,1))-AVERAGE(OFFSET($H$3,0,0,'Données projet'!$E$9+1,1))</f>
        <v>381.72225529388083</v>
      </c>
      <c r="T139" s="59">
        <f t="shared" si="142"/>
        <v>360.05900046417361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31.36286420775032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31.36286420775032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304.99999999999994</v>
      </c>
      <c r="AJ139" s="13">
        <f>AI139*VLOOKUP('Données projet'!$B$10,Paramètres!$A$1:$I$89,3,0)*VLOOKUP('Données projet'!$B$10,Paramètres!$A$1:$I$89,5,0)</f>
        <v>275.96399999999994</v>
      </c>
      <c r="AK139" s="13">
        <f t="shared" si="143"/>
        <v>66.113366665488911</v>
      </c>
      <c r="AL139" s="20">
        <f t="shared" si="112"/>
        <v>595.7847469423931</v>
      </c>
      <c r="AM139" s="59">
        <f t="shared" si="113"/>
        <v>889.11808027572647</v>
      </c>
      <c r="AN139" s="59">
        <f ca="1">AVERAGE(OFFSET($AM$3,0,0,'Données projet'!$E$10+1,1))-AVERAGE(OFFSET($H$3,0,0,'Données projet'!$E$10+1,1))</f>
        <v>366.43676005661194</v>
      </c>
      <c r="AO139" s="59">
        <f t="shared" si="144"/>
        <v>513.80016421153414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1.025645674109388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1.025645674109388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0.8600000000003547</v>
      </c>
      <c r="BE139" s="13">
        <f>BD139*VLOOKUP('Données projet'!$B$11,Paramètres!$A$1:$I$89,3,0)*VLOOKUP('Données projet'!$B$11,Paramètres!$A$1:$I$89,5,0)</f>
        <v>0.38012000000015683</v>
      </c>
      <c r="BF139" s="13">
        <f t="shared" si="145"/>
        <v>0.19605142963512551</v>
      </c>
      <c r="BG139" s="20">
        <f t="shared" si="115"/>
        <v>1.0034985732814501</v>
      </c>
      <c r="BH139" s="59">
        <f t="shared" si="116"/>
        <v>294.33683190661475</v>
      </c>
      <c r="BI139" s="59">
        <f ca="1">AVERAGE(OFFSET($BH$3,0,0,'Données projet'!$E$11+1,1))-AVERAGE(OFFSET($H$3,0,0,'Données projet'!$E$11+1,1))</f>
        <v>328.58609979635901</v>
      </c>
      <c r="BJ139" s="59">
        <f t="shared" si="146"/>
        <v>432.3494365423407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59.106950616420008</v>
      </c>
      <c r="BQ139" s="21">
        <f>EXP(-LN(2)/25)*BQ138+(1-EXP(-LN(2)/25))/(LN(2)/25)*Calculateur!BL139*Calculateur!BN139*VLOOKUP('Données projet'!$B$11,Paramètres!$A$1:$I$89,3,0)*0.475*44/12</f>
        <v>2.1161534330994693</v>
      </c>
      <c r="BR139" s="21">
        <f>EXP(-LN(2)/2)*BR138+(1-EXP(-LN(2)/2))/(LN(2)/2)*BL139*BO139*VLOOKUP('Données projet'!$B$11,Paramètres!$A$1:$I$89,3,0)*0.475*44/12</f>
        <v>6.4953980148335554E-17</v>
      </c>
      <c r="BS139" s="22">
        <f t="shared" si="117"/>
        <v>61.223104049519478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19.8100000000004</v>
      </c>
      <c r="BZ139" s="13">
        <f>BY139*VLOOKUP('Données projet'!$B$12,Paramètres!$A$1:$I$89,3,0)*VLOOKUP('Données projet'!$B$12,Paramètres!$A$1:$I$89,5,0)</f>
        <v>18.851196000000382</v>
      </c>
      <c r="CA139" s="13">
        <f t="shared" si="147"/>
        <v>6.172221809210666</v>
      </c>
      <c r="CB139" s="20">
        <f t="shared" si="118"/>
        <v>43.582452684375909</v>
      </c>
      <c r="CC139" s="59">
        <f t="shared" si="119"/>
        <v>336.91578601770925</v>
      </c>
      <c r="CD139" s="59">
        <f ca="1">AVERAGE(OFFSET($CC$3,0,0,'Données projet'!$E$12+1,1))-AVERAGE(OFFSET($H$3,0,0,'Données projet'!$E$12+1,1))</f>
        <v>555.3092253965317</v>
      </c>
      <c r="CE139" s="59">
        <f t="shared" si="148"/>
        <v>292.20785523952651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263.941219516074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263.941219516074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243</v>
      </c>
      <c r="CU139" s="17">
        <f>CT139*VLOOKUP('Données projet'!$B$13,Paramètres!$A$1:$I$89,3,0)*VLOOKUP('Données projet'!$B$13,Paramètres!$A$1:$I$89,5,0)</f>
        <v>155.4228</v>
      </c>
      <c r="CV139" s="13">
        <f t="shared" si="149"/>
        <v>39.808377687614154</v>
      </c>
      <c r="CW139" s="20">
        <f t="shared" si="121"/>
        <v>340.02763447259463</v>
      </c>
      <c r="CX139" s="59">
        <f t="shared" si="122"/>
        <v>633.36096780592788</v>
      </c>
      <c r="CY139" s="59">
        <f ca="1">AVERAGE(OFFSET($CX$3,0,0,'Données projet'!$E$13+1,1))-AVERAGE(OFFSET($H$3,0,0,'Données projet'!$E$13+1,1))</f>
        <v>269.44168853803717</v>
      </c>
      <c r="CZ139" s="59">
        <f t="shared" si="150"/>
        <v>247.65158389074043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20.147829600102142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20.147829600102142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6">
        <f t="shared" si="110"/>
        <v>256.66666666666669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259.99999999999983</v>
      </c>
      <c r="O140" s="13">
        <f>N140*VLOOKUP('Données projet'!$B$9,Paramètres!$A$1:$I$89,3,0)*VLOOKUP('Données projet'!$B$9,Paramètres!$A$1:$I$89,5,0)</f>
        <v>227.13599999999985</v>
      </c>
      <c r="P140" s="13">
        <f t="shared" si="141"/>
        <v>55.662966886685133</v>
      </c>
      <c r="Q140" s="20">
        <f t="shared" si="108"/>
        <v>492.5415339943097</v>
      </c>
      <c r="R140" s="59">
        <f t="shared" si="109"/>
        <v>785.87486732764296</v>
      </c>
      <c r="S140" s="59">
        <f ca="1">AVERAGE(OFFSET($R$3,0,0,'Données projet'!$E$9+1,1))-AVERAGE(OFFSET($H$3,0,0,'Données projet'!$E$9+1,1))</f>
        <v>381.72225529388083</v>
      </c>
      <c r="T140" s="59">
        <f t="shared" si="142"/>
        <v>360.05900046417361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30.747857570094627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30.747857570094627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304.99999999999994</v>
      </c>
      <c r="AJ140" s="13">
        <f>AI140*VLOOKUP('Données projet'!$B$10,Paramètres!$A$1:$I$89,3,0)*VLOOKUP('Données projet'!$B$10,Paramètres!$A$1:$I$89,5,0)</f>
        <v>275.96399999999994</v>
      </c>
      <c r="AK140" s="13">
        <f t="shared" si="143"/>
        <v>66.113366665488911</v>
      </c>
      <c r="AL140" s="20">
        <f t="shared" si="112"/>
        <v>595.7847469423931</v>
      </c>
      <c r="AM140" s="59">
        <f t="shared" si="113"/>
        <v>889.11808027572647</v>
      </c>
      <c r="AN140" s="59">
        <f ca="1">AVERAGE(OFFSET($AM$3,0,0,'Données projet'!$E$10+1,1))-AVERAGE(OFFSET($H$3,0,0,'Données projet'!$E$10+1,1))</f>
        <v>366.43676005661194</v>
      </c>
      <c r="AO140" s="59">
        <f t="shared" si="144"/>
        <v>513.80016421153414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1.0055333880221931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1.0055333880221931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0.8600000000003547</v>
      </c>
      <c r="BE140" s="13">
        <f>BD140*VLOOKUP('Données projet'!$B$11,Paramètres!$A$1:$I$89,3,0)*VLOOKUP('Données projet'!$B$11,Paramètres!$A$1:$I$89,5,0)</f>
        <v>0.38012000000015683</v>
      </c>
      <c r="BF140" s="13">
        <f t="shared" si="145"/>
        <v>0.19605142963512551</v>
      </c>
      <c r="BG140" s="20">
        <f t="shared" si="115"/>
        <v>1.0034985732814501</v>
      </c>
      <c r="BH140" s="59">
        <f t="shared" si="116"/>
        <v>294.33683190661475</v>
      </c>
      <c r="BI140" s="59">
        <f ca="1">AVERAGE(OFFSET($BH$3,0,0,'Données projet'!$E$11+1,1))-AVERAGE(OFFSET($H$3,0,0,'Données projet'!$E$11+1,1))</f>
        <v>328.58609979635901</v>
      </c>
      <c r="BJ140" s="59">
        <f t="shared" si="146"/>
        <v>432.3494365423407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57.947899366512083</v>
      </c>
      <c r="BQ140" s="21">
        <f>EXP(-LN(2)/25)*BQ139+(1-EXP(-LN(2)/25))/(LN(2)/25)*Calculateur!BL140*Calculateur!BN140*VLOOKUP('Données projet'!$B$11,Paramètres!$A$1:$I$89,3,0)*0.475*44/12</f>
        <v>2.058287106187692</v>
      </c>
      <c r="BR140" s="21">
        <f>EXP(-LN(2)/2)*BR139+(1-EXP(-LN(2)/2))/(LN(2)/2)*BL140*BO140*VLOOKUP('Données projet'!$B$11,Paramètres!$A$1:$I$89,3,0)*0.475*44/12</f>
        <v>4.5929399827944461E-17</v>
      </c>
      <c r="BS140" s="22">
        <f t="shared" si="117"/>
        <v>60.006186472699774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19.8100000000004</v>
      </c>
      <c r="BZ140" s="13">
        <f>BY140*VLOOKUP('Données projet'!$B$12,Paramètres!$A$1:$I$89,3,0)*VLOOKUP('Données projet'!$B$12,Paramètres!$A$1:$I$89,5,0)</f>
        <v>18.851196000000382</v>
      </c>
      <c r="CA140" s="13">
        <f t="shared" si="147"/>
        <v>6.172221809210666</v>
      </c>
      <c r="CB140" s="20">
        <f t="shared" si="118"/>
        <v>43.582452684375909</v>
      </c>
      <c r="CC140" s="59">
        <f t="shared" si="119"/>
        <v>336.91578601770925</v>
      </c>
      <c r="CD140" s="59">
        <f ca="1">AVERAGE(OFFSET($CC$3,0,0,'Données projet'!$E$12+1,1))-AVERAGE(OFFSET($H$3,0,0,'Données projet'!$E$12+1,1))</f>
        <v>555.3092253965317</v>
      </c>
      <c r="CE140" s="59">
        <f t="shared" si="148"/>
        <v>292.20785523952651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258.76549318961145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258.76549318961145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243</v>
      </c>
      <c r="CU140" s="17">
        <f>CT140*VLOOKUP('Données projet'!$B$13,Paramètres!$A$1:$I$89,3,0)*VLOOKUP('Données projet'!$B$13,Paramètres!$A$1:$I$89,5,0)</f>
        <v>155.4228</v>
      </c>
      <c r="CV140" s="13">
        <f t="shared" si="149"/>
        <v>39.808377687614154</v>
      </c>
      <c r="CW140" s="20">
        <f t="shared" si="121"/>
        <v>340.02763447259463</v>
      </c>
      <c r="CX140" s="59">
        <f t="shared" si="122"/>
        <v>633.36096780592788</v>
      </c>
      <c r="CY140" s="59">
        <f ca="1">AVERAGE(OFFSET($CX$3,0,0,'Données projet'!$E$13+1,1))-AVERAGE(OFFSET($H$3,0,0,'Données projet'!$E$13+1,1))</f>
        <v>269.44168853803717</v>
      </c>
      <c r="CZ140" s="59">
        <f t="shared" si="150"/>
        <v>247.65158389074043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19.752742950606759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19.752742950606759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6">
        <f t="shared" si="110"/>
        <v>256.66666666666669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259.99999999999983</v>
      </c>
      <c r="O141" s="13">
        <f>N141*VLOOKUP('Données projet'!$B$9,Paramètres!$A$1:$I$89,3,0)*VLOOKUP('Données projet'!$B$9,Paramètres!$A$1:$I$89,5,0)</f>
        <v>227.13599999999985</v>
      </c>
      <c r="P141" s="13">
        <f t="shared" si="141"/>
        <v>55.662966886685133</v>
      </c>
      <c r="Q141" s="20">
        <f t="shared" si="108"/>
        <v>492.5415339943097</v>
      </c>
      <c r="R141" s="59">
        <f t="shared" si="109"/>
        <v>785.87486732764296</v>
      </c>
      <c r="S141" s="59">
        <f ca="1">AVERAGE(OFFSET($R$3,0,0,'Données projet'!$E$9+1,1))-AVERAGE(OFFSET($H$3,0,0,'Données projet'!$E$9+1,1))</f>
        <v>381.72225529388083</v>
      </c>
      <c r="T141" s="59">
        <f t="shared" si="142"/>
        <v>360.05900046417361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30.144910837486353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30.144910837486353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304.99999999999994</v>
      </c>
      <c r="AJ141" s="13">
        <f>AI141*VLOOKUP('Données projet'!$B$10,Paramètres!$A$1:$I$89,3,0)*VLOOKUP('Données projet'!$B$10,Paramètres!$A$1:$I$89,5,0)</f>
        <v>275.96399999999994</v>
      </c>
      <c r="AK141" s="13">
        <f t="shared" si="143"/>
        <v>66.113366665488911</v>
      </c>
      <c r="AL141" s="20">
        <f t="shared" si="112"/>
        <v>595.7847469423931</v>
      </c>
      <c r="AM141" s="59">
        <f t="shared" si="113"/>
        <v>889.11808027572647</v>
      </c>
      <c r="AN141" s="59">
        <f ca="1">AVERAGE(OFFSET($AM$3,0,0,'Données projet'!$E$10+1,1))-AVERAGE(OFFSET($H$3,0,0,'Données projet'!$E$10+1,1))</f>
        <v>366.43676005661194</v>
      </c>
      <c r="AO141" s="59">
        <f t="shared" si="144"/>
        <v>513.80016421153414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0.98581549159788473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0.98581549159788473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0.8600000000003547</v>
      </c>
      <c r="BE141" s="13">
        <f>BD141*VLOOKUP('Données projet'!$B$11,Paramètres!$A$1:$I$89,3,0)*VLOOKUP('Données projet'!$B$11,Paramètres!$A$1:$I$89,5,0)</f>
        <v>0.38012000000015683</v>
      </c>
      <c r="BF141" s="13">
        <f t="shared" si="145"/>
        <v>0.19605142963512551</v>
      </c>
      <c r="BG141" s="20">
        <f t="shared" si="115"/>
        <v>1.0034985732814501</v>
      </c>
      <c r="BH141" s="59">
        <f t="shared" si="116"/>
        <v>294.33683190661475</v>
      </c>
      <c r="BI141" s="59">
        <f ca="1">AVERAGE(OFFSET($BH$3,0,0,'Données projet'!$E$11+1,1))-AVERAGE(OFFSET($H$3,0,0,'Données projet'!$E$11+1,1))</f>
        <v>328.58609979635901</v>
      </c>
      <c r="BJ141" s="59">
        <f t="shared" si="146"/>
        <v>432.3494365423407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56.811576404663391</v>
      </c>
      <c r="BQ141" s="21">
        <f>EXP(-LN(2)/25)*BQ140+(1-EXP(-LN(2)/25))/(LN(2)/25)*Calculateur!BL141*Calculateur!BN141*VLOOKUP('Données projet'!$B$11,Paramètres!$A$1:$I$89,3,0)*0.475*44/12</f>
        <v>2.0020031370283751</v>
      </c>
      <c r="BR141" s="21">
        <f>EXP(-LN(2)/2)*BR140+(1-EXP(-LN(2)/2))/(LN(2)/2)*BL141*BO141*VLOOKUP('Données projet'!$B$11,Paramètres!$A$1:$I$89,3,0)*0.475*44/12</f>
        <v>3.2476990074167777E-17</v>
      </c>
      <c r="BS141" s="22">
        <f t="shared" si="117"/>
        <v>58.813579541691766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19.8100000000004</v>
      </c>
      <c r="BZ141" s="13">
        <f>BY141*VLOOKUP('Données projet'!$B$12,Paramètres!$A$1:$I$89,3,0)*VLOOKUP('Données projet'!$B$12,Paramètres!$A$1:$I$89,5,0)</f>
        <v>18.851196000000382</v>
      </c>
      <c r="CA141" s="13">
        <f t="shared" si="147"/>
        <v>6.172221809210666</v>
      </c>
      <c r="CB141" s="20">
        <f t="shared" si="118"/>
        <v>43.582452684375909</v>
      </c>
      <c r="CC141" s="59">
        <f t="shared" si="119"/>
        <v>336.91578601770925</v>
      </c>
      <c r="CD141" s="59">
        <f ca="1">AVERAGE(OFFSET($CC$3,0,0,'Données projet'!$E$12+1,1))-AVERAGE(OFFSET($H$3,0,0,'Données projet'!$E$12+1,1))</f>
        <v>555.3092253965317</v>
      </c>
      <c r="CE141" s="59">
        <f t="shared" si="148"/>
        <v>292.20785523952651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253.69125969952947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253.69125969952947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243</v>
      </c>
      <c r="CU141" s="17">
        <f>CT141*VLOOKUP('Données projet'!$B$13,Paramètres!$A$1:$I$89,3,0)*VLOOKUP('Données projet'!$B$13,Paramètres!$A$1:$I$89,5,0)</f>
        <v>155.4228</v>
      </c>
      <c r="CV141" s="13">
        <f t="shared" si="149"/>
        <v>39.808377687614154</v>
      </c>
      <c r="CW141" s="20">
        <f t="shared" si="121"/>
        <v>340.02763447259463</v>
      </c>
      <c r="CX141" s="59">
        <f t="shared" si="122"/>
        <v>633.36096780592788</v>
      </c>
      <c r="CY141" s="59">
        <f ca="1">AVERAGE(OFFSET($CX$3,0,0,'Données projet'!$E$13+1,1))-AVERAGE(OFFSET($H$3,0,0,'Données projet'!$E$13+1,1))</f>
        <v>269.44168853803717</v>
      </c>
      <c r="CZ141" s="59">
        <f t="shared" si="150"/>
        <v>247.65158389074043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19.36540370932892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19.36540370932892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6">
        <f t="shared" si="110"/>
        <v>256.66666666666669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259.99999999999983</v>
      </c>
      <c r="O142" s="13">
        <f>N142*VLOOKUP('Données projet'!$B$9,Paramètres!$A$1:$I$89,3,0)*VLOOKUP('Données projet'!$B$9,Paramètres!$A$1:$I$89,5,0)</f>
        <v>227.13599999999985</v>
      </c>
      <c r="P142" s="13">
        <f t="shared" si="141"/>
        <v>55.662966886685133</v>
      </c>
      <c r="Q142" s="20">
        <f t="shared" si="108"/>
        <v>492.5415339943097</v>
      </c>
      <c r="R142" s="59">
        <f t="shared" si="109"/>
        <v>785.87486732764296</v>
      </c>
      <c r="S142" s="59">
        <f ca="1">AVERAGE(OFFSET($R$3,0,0,'Données projet'!$E$9+1,1))-AVERAGE(OFFSET($H$3,0,0,'Données projet'!$E$9+1,1))</f>
        <v>381.72225529388083</v>
      </c>
      <c r="T142" s="59">
        <f t="shared" si="142"/>
        <v>360.05900046417361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29.553787522543335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29.553787522543335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304.99999999999994</v>
      </c>
      <c r="AJ142" s="13">
        <f>AI142*VLOOKUP('Données projet'!$B$10,Paramètres!$A$1:$I$89,3,0)*VLOOKUP('Données projet'!$B$10,Paramètres!$A$1:$I$89,5,0)</f>
        <v>275.96399999999994</v>
      </c>
      <c r="AK142" s="13">
        <f t="shared" si="143"/>
        <v>66.113366665488911</v>
      </c>
      <c r="AL142" s="20">
        <f t="shared" si="112"/>
        <v>595.7847469423931</v>
      </c>
      <c r="AM142" s="59">
        <f t="shared" si="113"/>
        <v>889.11808027572647</v>
      </c>
      <c r="AN142" s="59">
        <f ca="1">AVERAGE(OFFSET($AM$3,0,0,'Données projet'!$E$10+1,1))-AVERAGE(OFFSET($H$3,0,0,'Données projet'!$E$10+1,1))</f>
        <v>366.43676005661194</v>
      </c>
      <c r="AO142" s="59">
        <f t="shared" si="144"/>
        <v>513.80016421153414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0.96648425109572778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0.96648425109572778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0.8600000000003547</v>
      </c>
      <c r="BE142" s="13">
        <f>BD142*VLOOKUP('Données projet'!$B$11,Paramètres!$A$1:$I$89,3,0)*VLOOKUP('Données projet'!$B$11,Paramètres!$A$1:$I$89,5,0)</f>
        <v>0.38012000000015683</v>
      </c>
      <c r="BF142" s="13">
        <f t="shared" si="145"/>
        <v>0.19605142963512551</v>
      </c>
      <c r="BG142" s="20">
        <f t="shared" si="115"/>
        <v>1.0034985732814501</v>
      </c>
      <c r="BH142" s="59">
        <f t="shared" si="116"/>
        <v>294.33683190661475</v>
      </c>
      <c r="BI142" s="59">
        <f ca="1">AVERAGE(OFFSET($BH$3,0,0,'Données projet'!$E$11+1,1))-AVERAGE(OFFSET($H$3,0,0,'Données projet'!$E$11+1,1))</f>
        <v>328.58609979635901</v>
      </c>
      <c r="BJ142" s="59">
        <f t="shared" si="146"/>
        <v>432.3494365423407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55.697536043007986</v>
      </c>
      <c r="BQ142" s="21">
        <f>EXP(-LN(2)/25)*BQ141+(1-EXP(-LN(2)/25))/(LN(2)/25)*Calculateur!BL142*Calculateur!BN142*VLOOKUP('Données projet'!$B$11,Paramètres!$A$1:$I$89,3,0)*0.475*44/12</f>
        <v>1.9472582559655649</v>
      </c>
      <c r="BR142" s="21">
        <f>EXP(-LN(2)/2)*BR141+(1-EXP(-LN(2)/2))/(LN(2)/2)*BL142*BO142*VLOOKUP('Données projet'!$B$11,Paramètres!$A$1:$I$89,3,0)*0.475*44/12</f>
        <v>2.2964699913972231E-17</v>
      </c>
      <c r="BS142" s="22">
        <f t="shared" si="117"/>
        <v>57.644794298973551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19.8100000000004</v>
      </c>
      <c r="BZ142" s="13">
        <f>BY142*VLOOKUP('Données projet'!$B$12,Paramètres!$A$1:$I$89,3,0)*VLOOKUP('Données projet'!$B$12,Paramètres!$A$1:$I$89,5,0)</f>
        <v>18.851196000000382</v>
      </c>
      <c r="CA142" s="13">
        <f t="shared" si="147"/>
        <v>6.172221809210666</v>
      </c>
      <c r="CB142" s="20">
        <f t="shared" si="118"/>
        <v>43.582452684375909</v>
      </c>
      <c r="CC142" s="59">
        <f t="shared" si="119"/>
        <v>336.91578601770925</v>
      </c>
      <c r="CD142" s="59">
        <f ca="1">AVERAGE(OFFSET($CC$3,0,0,'Données projet'!$E$12+1,1))-AVERAGE(OFFSET($H$3,0,0,'Données projet'!$E$12+1,1))</f>
        <v>555.3092253965317</v>
      </c>
      <c r="CE142" s="59">
        <f t="shared" si="148"/>
        <v>292.20785523952651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248.71652883321116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248.71652883321116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243</v>
      </c>
      <c r="CU142" s="17">
        <f>CT142*VLOOKUP('Données projet'!$B$13,Paramètres!$A$1:$I$89,3,0)*VLOOKUP('Données projet'!$B$13,Paramètres!$A$1:$I$89,5,0)</f>
        <v>155.4228</v>
      </c>
      <c r="CV142" s="13">
        <f t="shared" si="149"/>
        <v>39.808377687614154</v>
      </c>
      <c r="CW142" s="20">
        <f t="shared" si="121"/>
        <v>340.02763447259463</v>
      </c>
      <c r="CX142" s="59">
        <f t="shared" si="122"/>
        <v>633.36096780592788</v>
      </c>
      <c r="CY142" s="59">
        <f ca="1">AVERAGE(OFFSET($CX$3,0,0,'Données projet'!$E$13+1,1))-AVERAGE(OFFSET($H$3,0,0,'Données projet'!$E$13+1,1))</f>
        <v>269.44168853803717</v>
      </c>
      <c r="CZ142" s="59">
        <f t="shared" si="150"/>
        <v>247.65158389074043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18.98565995431893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18.98565995431893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6">
        <f t="shared" si="110"/>
        <v>256.66666666666669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259.99999999999983</v>
      </c>
      <c r="O143" s="13">
        <f>N143*VLOOKUP('Données projet'!$B$9,Paramètres!$A$1:$I$89,3,0)*VLOOKUP('Données projet'!$B$9,Paramètres!$A$1:$I$89,5,0)</f>
        <v>227.13599999999985</v>
      </c>
      <c r="P143" s="13">
        <f t="shared" si="141"/>
        <v>55.662966886685133</v>
      </c>
      <c r="Q143" s="20">
        <f t="shared" si="108"/>
        <v>492.5415339943097</v>
      </c>
      <c r="R143" s="59">
        <f t="shared" si="109"/>
        <v>785.87486732764296</v>
      </c>
      <c r="S143" s="59">
        <f ca="1">AVERAGE(OFFSET($R$3,0,0,'Données projet'!$E$9+1,1))-AVERAGE(OFFSET($H$3,0,0,'Données projet'!$E$9+1,1))</f>
        <v>381.72225529388083</v>
      </c>
      <c r="T143" s="59">
        <f t="shared" si="142"/>
        <v>360.05900046417361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28.974255775256726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28.974255775256726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304.99999999999994</v>
      </c>
      <c r="AJ143" s="13">
        <f>AI143*VLOOKUP('Données projet'!$B$10,Paramètres!$A$1:$I$89,3,0)*VLOOKUP('Données projet'!$B$10,Paramètres!$A$1:$I$89,5,0)</f>
        <v>275.96399999999994</v>
      </c>
      <c r="AK143" s="13">
        <f t="shared" si="143"/>
        <v>66.113366665488911</v>
      </c>
      <c r="AL143" s="20">
        <f t="shared" si="112"/>
        <v>595.7847469423931</v>
      </c>
      <c r="AM143" s="59">
        <f t="shared" si="113"/>
        <v>889.11808027572647</v>
      </c>
      <c r="AN143" s="59">
        <f ca="1">AVERAGE(OFFSET($AM$3,0,0,'Données projet'!$E$10+1,1))-AVERAGE(OFFSET($H$3,0,0,'Données projet'!$E$10+1,1))</f>
        <v>366.43676005661194</v>
      </c>
      <c r="AO143" s="59">
        <f t="shared" si="144"/>
        <v>513.80016421153414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0.94753208442892567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0.94753208442892567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0.8600000000003547</v>
      </c>
      <c r="BE143" s="13">
        <f>BD143*VLOOKUP('Données projet'!$B$11,Paramètres!$A$1:$I$89,3,0)*VLOOKUP('Données projet'!$B$11,Paramètres!$A$1:$I$89,5,0)</f>
        <v>0.38012000000015683</v>
      </c>
      <c r="BF143" s="13">
        <f t="shared" si="145"/>
        <v>0.19605142963512551</v>
      </c>
      <c r="BG143" s="20">
        <f t="shared" si="115"/>
        <v>1.0034985732814501</v>
      </c>
      <c r="BH143" s="59">
        <f t="shared" si="116"/>
        <v>294.33683190661475</v>
      </c>
      <c r="BI143" s="59">
        <f ca="1">AVERAGE(OFFSET($BH$3,0,0,'Données projet'!$E$11+1,1))-AVERAGE(OFFSET($H$3,0,0,'Données projet'!$E$11+1,1))</f>
        <v>328.58609979635901</v>
      </c>
      <c r="BJ143" s="59">
        <f t="shared" si="146"/>
        <v>432.3494365423407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54.605341333347113</v>
      </c>
      <c r="BQ143" s="21">
        <f>EXP(-LN(2)/25)*BQ142+(1-EXP(-LN(2)/25))/(LN(2)/25)*Calculateur!BL143*Calculateur!BN143*VLOOKUP('Données projet'!$B$11,Paramètres!$A$1:$I$89,3,0)*0.475*44/12</f>
        <v>1.8940103765543255</v>
      </c>
      <c r="BR143" s="21">
        <f>EXP(-LN(2)/2)*BR142+(1-EXP(-LN(2)/2))/(LN(2)/2)*BL143*BO143*VLOOKUP('Données projet'!$B$11,Paramètres!$A$1:$I$89,3,0)*0.475*44/12</f>
        <v>1.6238495037083889E-17</v>
      </c>
      <c r="BS143" s="22">
        <f t="shared" si="117"/>
        <v>56.49935170990144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19.8100000000004</v>
      </c>
      <c r="BZ143" s="13">
        <f>BY143*VLOOKUP('Données projet'!$B$12,Paramètres!$A$1:$I$89,3,0)*VLOOKUP('Données projet'!$B$12,Paramètres!$A$1:$I$89,5,0)</f>
        <v>18.851196000000382</v>
      </c>
      <c r="CA143" s="13">
        <f t="shared" si="147"/>
        <v>6.172221809210666</v>
      </c>
      <c r="CB143" s="20">
        <f t="shared" si="118"/>
        <v>43.582452684375909</v>
      </c>
      <c r="CC143" s="59">
        <f t="shared" si="119"/>
        <v>336.91578601770925</v>
      </c>
      <c r="CD143" s="59">
        <f ca="1">AVERAGE(OFFSET($CC$3,0,0,'Données projet'!$E$12+1,1))-AVERAGE(OFFSET($H$3,0,0,'Données projet'!$E$12+1,1))</f>
        <v>555.3092253965317</v>
      </c>
      <c r="CE143" s="59">
        <f t="shared" si="148"/>
        <v>292.20785523952651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243.83934940489513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243.83934940489513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243</v>
      </c>
      <c r="CU143" s="17">
        <f>CT143*VLOOKUP('Données projet'!$B$13,Paramètres!$A$1:$I$89,3,0)*VLOOKUP('Données projet'!$B$13,Paramètres!$A$1:$I$89,5,0)</f>
        <v>155.4228</v>
      </c>
      <c r="CV143" s="13">
        <f t="shared" si="149"/>
        <v>39.808377687614154</v>
      </c>
      <c r="CW143" s="20">
        <f t="shared" si="121"/>
        <v>340.02763447259463</v>
      </c>
      <c r="CX143" s="59">
        <f t="shared" si="122"/>
        <v>633.36096780592788</v>
      </c>
      <c r="CY143" s="59">
        <f ca="1">AVERAGE(OFFSET($CX$3,0,0,'Données projet'!$E$13+1,1))-AVERAGE(OFFSET($H$3,0,0,'Données projet'!$E$13+1,1))</f>
        <v>269.44168853803717</v>
      </c>
      <c r="CZ143" s="59">
        <f t="shared" si="150"/>
        <v>247.65158389074043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18.613362742723869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18.613362742723869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6">
        <f t="shared" si="110"/>
        <v>256.66666666666669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259.99999999999983</v>
      </c>
      <c r="O144" s="13">
        <f>N144*VLOOKUP('Données projet'!$B$9,Paramètres!$A$1:$I$89,3,0)*VLOOKUP('Données projet'!$B$9,Paramètres!$A$1:$I$89,5,0)</f>
        <v>227.13599999999985</v>
      </c>
      <c r="P144" s="13">
        <f t="shared" si="141"/>
        <v>55.662966886685133</v>
      </c>
      <c r="Q144" s="20">
        <f t="shared" si="108"/>
        <v>492.5415339943097</v>
      </c>
      <c r="R144" s="59">
        <f t="shared" si="109"/>
        <v>785.87486732764296</v>
      </c>
      <c r="S144" s="59">
        <f ca="1">AVERAGE(OFFSET($R$3,0,0,'Données projet'!$E$9+1,1))-AVERAGE(OFFSET($H$3,0,0,'Données projet'!$E$9+1,1))</f>
        <v>381.72225529388083</v>
      </c>
      <c r="T144" s="59">
        <f t="shared" si="142"/>
        <v>360.05900046417361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28.406088292054946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28.406088292054946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304.99999999999994</v>
      </c>
      <c r="AJ144" s="13">
        <f>AI144*VLOOKUP('Données projet'!$B$10,Paramètres!$A$1:$I$89,3,0)*VLOOKUP('Données projet'!$B$10,Paramètres!$A$1:$I$89,5,0)</f>
        <v>275.96399999999994</v>
      </c>
      <c r="AK144" s="13">
        <f t="shared" si="143"/>
        <v>66.113366665488911</v>
      </c>
      <c r="AL144" s="20">
        <f t="shared" si="112"/>
        <v>595.7847469423931</v>
      </c>
      <c r="AM144" s="59">
        <f t="shared" si="113"/>
        <v>889.11808027572647</v>
      </c>
      <c r="AN144" s="59">
        <f ca="1">AVERAGE(OFFSET($AM$3,0,0,'Données projet'!$E$10+1,1))-AVERAGE(OFFSET($H$3,0,0,'Données projet'!$E$10+1,1))</f>
        <v>366.43676005661194</v>
      </c>
      <c r="AO144" s="59">
        <f t="shared" si="144"/>
        <v>513.80016421153414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0.92895155819077935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0.92895155819077935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0.8600000000003547</v>
      </c>
      <c r="BE144" s="13">
        <f>BD144*VLOOKUP('Données projet'!$B$11,Paramètres!$A$1:$I$89,3,0)*VLOOKUP('Données projet'!$B$11,Paramètres!$A$1:$I$89,5,0)</f>
        <v>0.38012000000015683</v>
      </c>
      <c r="BF144" s="13">
        <f t="shared" si="145"/>
        <v>0.19605142963512551</v>
      </c>
      <c r="BG144" s="20">
        <f t="shared" si="115"/>
        <v>1.0034985732814501</v>
      </c>
      <c r="BH144" s="59">
        <f t="shared" si="116"/>
        <v>294.33683190661475</v>
      </c>
      <c r="BI144" s="59">
        <f ca="1">AVERAGE(OFFSET($BH$3,0,0,'Données projet'!$E$11+1,1))-AVERAGE(OFFSET($H$3,0,0,'Données projet'!$E$11+1,1))</f>
        <v>328.58609979635901</v>
      </c>
      <c r="BJ144" s="59">
        <f t="shared" si="146"/>
        <v>432.3494365423407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53.534563895769701</v>
      </c>
      <c r="BQ144" s="21">
        <f>EXP(-LN(2)/25)*BQ143+(1-EXP(-LN(2)/25))/(LN(2)/25)*Calculateur!BL144*Calculateur!BN144*VLOOKUP('Données projet'!$B$11,Paramètres!$A$1:$I$89,3,0)*0.475*44/12</f>
        <v>1.8422185632057706</v>
      </c>
      <c r="BR144" s="21">
        <f>EXP(-LN(2)/2)*BR143+(1-EXP(-LN(2)/2))/(LN(2)/2)*BL144*BO144*VLOOKUP('Données projet'!$B$11,Paramètres!$A$1:$I$89,3,0)*0.475*44/12</f>
        <v>1.1482349956986115E-17</v>
      </c>
      <c r="BS144" s="22">
        <f t="shared" si="117"/>
        <v>55.37678245897547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19.8100000000004</v>
      </c>
      <c r="BZ144" s="13">
        <f>BY144*VLOOKUP('Données projet'!$B$12,Paramètres!$A$1:$I$89,3,0)*VLOOKUP('Données projet'!$B$12,Paramètres!$A$1:$I$89,5,0)</f>
        <v>18.851196000000382</v>
      </c>
      <c r="CA144" s="13">
        <f t="shared" si="147"/>
        <v>6.172221809210666</v>
      </c>
      <c r="CB144" s="20">
        <f t="shared" si="118"/>
        <v>43.582452684375909</v>
      </c>
      <c r="CC144" s="59">
        <f t="shared" si="119"/>
        <v>336.91578601770925</v>
      </c>
      <c r="CD144" s="59">
        <f ca="1">AVERAGE(OFFSET($CC$3,0,0,'Données projet'!$E$12+1,1))-AVERAGE(OFFSET($H$3,0,0,'Données projet'!$E$12+1,1))</f>
        <v>555.3092253965317</v>
      </c>
      <c r="CE144" s="59">
        <f t="shared" si="148"/>
        <v>292.20785523952651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239.05780849038268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239.05780849038268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243</v>
      </c>
      <c r="CU144" s="17">
        <f>CT144*VLOOKUP('Données projet'!$B$13,Paramètres!$A$1:$I$89,3,0)*VLOOKUP('Données projet'!$B$13,Paramètres!$A$1:$I$89,5,0)</f>
        <v>155.4228</v>
      </c>
      <c r="CV144" s="13">
        <f t="shared" si="149"/>
        <v>39.808377687614154</v>
      </c>
      <c r="CW144" s="20">
        <f t="shared" si="121"/>
        <v>340.02763447259463</v>
      </c>
      <c r="CX144" s="59">
        <f t="shared" si="122"/>
        <v>633.36096780592788</v>
      </c>
      <c r="CY144" s="59">
        <f ca="1">AVERAGE(OFFSET($CX$3,0,0,'Données projet'!$E$13+1,1))-AVERAGE(OFFSET($H$3,0,0,'Données projet'!$E$13+1,1))</f>
        <v>269.44168853803717</v>
      </c>
      <c r="CZ144" s="59">
        <f t="shared" si="150"/>
        <v>247.65158389074043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18.24836605236931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18.24836605236931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6">
        <f t="shared" si="110"/>
        <v>256.66666666666669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259.99999999999983</v>
      </c>
      <c r="O145" s="13">
        <f>N145*VLOOKUP('Données projet'!$B$9,Paramètres!$A$1:$I$89,3,0)*VLOOKUP('Données projet'!$B$9,Paramètres!$A$1:$I$89,5,0)</f>
        <v>227.13599999999985</v>
      </c>
      <c r="P145" s="13">
        <f t="shared" si="141"/>
        <v>55.662966886685133</v>
      </c>
      <c r="Q145" s="20">
        <f t="shared" si="108"/>
        <v>492.5415339943097</v>
      </c>
      <c r="R145" s="59">
        <f t="shared" si="109"/>
        <v>785.87486732764296</v>
      </c>
      <c r="S145" s="59">
        <f ca="1">AVERAGE(OFFSET($R$3,0,0,'Données projet'!$E$9+1,1))-AVERAGE(OFFSET($H$3,0,0,'Données projet'!$E$9+1,1))</f>
        <v>381.72225529388083</v>
      </c>
      <c r="T145" s="59">
        <f t="shared" si="142"/>
        <v>360.05900046417361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27.849062226650805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27.849062226650805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304.99999999999994</v>
      </c>
      <c r="AJ145" s="13">
        <f>AI145*VLOOKUP('Données projet'!$B$10,Paramètres!$A$1:$I$89,3,0)*VLOOKUP('Données projet'!$B$10,Paramètres!$A$1:$I$89,5,0)</f>
        <v>275.96399999999994</v>
      </c>
      <c r="AK145" s="13">
        <f t="shared" si="143"/>
        <v>66.113366665488911</v>
      </c>
      <c r="AL145" s="20">
        <f t="shared" si="112"/>
        <v>595.7847469423931</v>
      </c>
      <c r="AM145" s="59">
        <f t="shared" si="113"/>
        <v>889.11808027572647</v>
      </c>
      <c r="AN145" s="59">
        <f ca="1">AVERAGE(OFFSET($AM$3,0,0,'Données projet'!$E$10+1,1))-AVERAGE(OFFSET($H$3,0,0,'Données projet'!$E$10+1,1))</f>
        <v>366.43676005661194</v>
      </c>
      <c r="AO145" s="59">
        <f t="shared" si="144"/>
        <v>513.80016421153414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0.91073538473916116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0.91073538473916116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0.8600000000003547</v>
      </c>
      <c r="BE145" s="13">
        <f>BD145*VLOOKUP('Données projet'!$B$11,Paramètres!$A$1:$I$89,3,0)*VLOOKUP('Données projet'!$B$11,Paramètres!$A$1:$I$89,5,0)</f>
        <v>0.38012000000015683</v>
      </c>
      <c r="BF145" s="13">
        <f t="shared" si="145"/>
        <v>0.19605142963512551</v>
      </c>
      <c r="BG145" s="20">
        <f t="shared" si="115"/>
        <v>1.0034985732814501</v>
      </c>
      <c r="BH145" s="59">
        <f t="shared" si="116"/>
        <v>294.33683190661475</v>
      </c>
      <c r="BI145" s="59">
        <f ca="1">AVERAGE(OFFSET($BH$3,0,0,'Données projet'!$E$11+1,1))-AVERAGE(OFFSET($H$3,0,0,'Données projet'!$E$11+1,1))</f>
        <v>328.58609979635901</v>
      </c>
      <c r="BJ145" s="59">
        <f t="shared" si="146"/>
        <v>432.3494365423407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52.484783750633433</v>
      </c>
      <c r="BQ145" s="21">
        <f>EXP(-LN(2)/25)*BQ144+(1-EXP(-LN(2)/25))/(LN(2)/25)*Calculateur!BL145*Calculateur!BN145*VLOOKUP('Données projet'!$B$11,Paramètres!$A$1:$I$89,3,0)*0.475*44/12</f>
        <v>1.791842999716845</v>
      </c>
      <c r="BR145" s="21">
        <f>EXP(-LN(2)/2)*BR144+(1-EXP(-LN(2)/2))/(LN(2)/2)*BL145*BO145*VLOOKUP('Données projet'!$B$11,Paramètres!$A$1:$I$89,3,0)*0.475*44/12</f>
        <v>8.1192475185419443E-18</v>
      </c>
      <c r="BS145" s="22">
        <f t="shared" si="117"/>
        <v>54.276626750350275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19.8100000000004</v>
      </c>
      <c r="BZ145" s="13">
        <f>BY145*VLOOKUP('Données projet'!$B$12,Paramètres!$A$1:$I$89,3,0)*VLOOKUP('Données projet'!$B$12,Paramètres!$A$1:$I$89,5,0)</f>
        <v>18.851196000000382</v>
      </c>
      <c r="CA145" s="13">
        <f t="shared" si="147"/>
        <v>6.172221809210666</v>
      </c>
      <c r="CB145" s="20">
        <f t="shared" si="118"/>
        <v>43.582452684375909</v>
      </c>
      <c r="CC145" s="59">
        <f t="shared" si="119"/>
        <v>336.91578601770925</v>
      </c>
      <c r="CD145" s="59">
        <f ca="1">AVERAGE(OFFSET($CC$3,0,0,'Données projet'!$E$12+1,1))-AVERAGE(OFFSET($H$3,0,0,'Données projet'!$E$12+1,1))</f>
        <v>555.3092253965317</v>
      </c>
      <c r="CE145" s="59">
        <f t="shared" si="148"/>
        <v>292.20785523952651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234.37003067675184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234.37003067675184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243</v>
      </c>
      <c r="CU145" s="17">
        <f>CT145*VLOOKUP('Données projet'!$B$13,Paramètres!$A$1:$I$89,3,0)*VLOOKUP('Données projet'!$B$13,Paramètres!$A$1:$I$89,5,0)</f>
        <v>155.4228</v>
      </c>
      <c r="CV145" s="13">
        <f t="shared" si="149"/>
        <v>39.808377687614154</v>
      </c>
      <c r="CW145" s="20">
        <f t="shared" si="121"/>
        <v>340.02763447259463</v>
      </c>
      <c r="CX145" s="59">
        <f t="shared" si="122"/>
        <v>633.36096780592788</v>
      </c>
      <c r="CY145" s="59">
        <f ca="1">AVERAGE(OFFSET($CX$3,0,0,'Données projet'!$E$13+1,1))-AVERAGE(OFFSET($H$3,0,0,'Données projet'!$E$13+1,1))</f>
        <v>269.44168853803717</v>
      </c>
      <c r="CZ145" s="59">
        <f t="shared" si="150"/>
        <v>247.65158389074043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17.890526724486602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17.890526724486602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6">
        <f t="shared" si="110"/>
        <v>256.66666666666669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259.99999999999983</v>
      </c>
      <c r="O146" s="13">
        <f>N146*VLOOKUP('Données projet'!$B$9,Paramètres!$A$1:$I$89,3,0)*VLOOKUP('Données projet'!$B$9,Paramètres!$A$1:$I$89,5,0)</f>
        <v>227.13599999999985</v>
      </c>
      <c r="P146" s="13">
        <f t="shared" si="141"/>
        <v>55.662966886685133</v>
      </c>
      <c r="Q146" s="20">
        <f t="shared" si="108"/>
        <v>492.5415339943097</v>
      </c>
      <c r="R146" s="59">
        <f t="shared" si="109"/>
        <v>785.87486732764296</v>
      </c>
      <c r="S146" s="59">
        <f ca="1">AVERAGE(OFFSET($R$3,0,0,'Données projet'!$E$9+1,1))-AVERAGE(OFFSET($H$3,0,0,'Données projet'!$E$9+1,1))</f>
        <v>381.72225529388083</v>
      </c>
      <c r="T146" s="59">
        <f t="shared" si="142"/>
        <v>360.05900046417361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27.302959102636887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27.302959102636887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304.99999999999994</v>
      </c>
      <c r="AJ146" s="13">
        <f>AI146*VLOOKUP('Données projet'!$B$10,Paramètres!$A$1:$I$89,3,0)*VLOOKUP('Données projet'!$B$10,Paramètres!$A$1:$I$89,5,0)</f>
        <v>275.96399999999994</v>
      </c>
      <c r="AK146" s="13">
        <f t="shared" si="143"/>
        <v>66.113366665488911</v>
      </c>
      <c r="AL146" s="20">
        <f t="shared" si="112"/>
        <v>595.7847469423931</v>
      </c>
      <c r="AM146" s="59">
        <f t="shared" si="113"/>
        <v>889.11808027572647</v>
      </c>
      <c r="AN146" s="59">
        <f ca="1">AVERAGE(OFFSET($AM$3,0,0,'Données projet'!$E$10+1,1))-AVERAGE(OFFSET($H$3,0,0,'Données projet'!$E$10+1,1))</f>
        <v>366.43676005661194</v>
      </c>
      <c r="AO146" s="59">
        <f t="shared" si="144"/>
        <v>513.80016421153414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0.89287641933816042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0.89287641933816042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0.8600000000003547</v>
      </c>
      <c r="BE146" s="13">
        <f>BD146*VLOOKUP('Données projet'!$B$11,Paramètres!$A$1:$I$89,3,0)*VLOOKUP('Données projet'!$B$11,Paramètres!$A$1:$I$89,5,0)</f>
        <v>0.38012000000015683</v>
      </c>
      <c r="BF146" s="13">
        <f t="shared" si="145"/>
        <v>0.19605142963512551</v>
      </c>
      <c r="BG146" s="20">
        <f t="shared" si="115"/>
        <v>1.0034985732814501</v>
      </c>
      <c r="BH146" s="59">
        <f t="shared" si="116"/>
        <v>294.33683190661475</v>
      </c>
      <c r="BI146" s="59">
        <f ca="1">AVERAGE(OFFSET($BH$3,0,0,'Données projet'!$E$11+1,1))-AVERAGE(OFFSET($H$3,0,0,'Données projet'!$E$11+1,1))</f>
        <v>328.58609979635901</v>
      </c>
      <c r="BJ146" s="59">
        <f t="shared" si="146"/>
        <v>432.3494365423407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51.45558915384062</v>
      </c>
      <c r="BQ146" s="21">
        <f>EXP(-LN(2)/25)*BQ145+(1-EXP(-LN(2)/25))/(LN(2)/25)*Calculateur!BL146*Calculateur!BN146*VLOOKUP('Données projet'!$B$11,Paramètres!$A$1:$I$89,3,0)*0.475*44/12</f>
        <v>1.7428449586606598</v>
      </c>
      <c r="BR146" s="21">
        <f>EXP(-LN(2)/2)*BR145+(1-EXP(-LN(2)/2))/(LN(2)/2)*BL146*BO146*VLOOKUP('Données projet'!$B$11,Paramètres!$A$1:$I$89,3,0)*0.475*44/12</f>
        <v>5.7411749784930577E-18</v>
      </c>
      <c r="BS146" s="22">
        <f t="shared" si="117"/>
        <v>53.198434112501282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19.8100000000004</v>
      </c>
      <c r="BZ146" s="13">
        <f>BY146*VLOOKUP('Données projet'!$B$12,Paramètres!$A$1:$I$89,3,0)*VLOOKUP('Données projet'!$B$12,Paramètres!$A$1:$I$89,5,0)</f>
        <v>18.851196000000382</v>
      </c>
      <c r="CA146" s="13">
        <f t="shared" si="147"/>
        <v>6.172221809210666</v>
      </c>
      <c r="CB146" s="20">
        <f t="shared" si="118"/>
        <v>43.582452684375909</v>
      </c>
      <c r="CC146" s="59">
        <f t="shared" si="119"/>
        <v>336.91578601770925</v>
      </c>
      <c r="CD146" s="59">
        <f ca="1">AVERAGE(OFFSET($CC$3,0,0,'Données projet'!$E$12+1,1))-AVERAGE(OFFSET($H$3,0,0,'Données projet'!$E$12+1,1))</f>
        <v>555.3092253965317</v>
      </c>
      <c r="CE146" s="59">
        <f t="shared" si="148"/>
        <v>292.20785523952651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229.77417732678416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229.77417732678416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243</v>
      </c>
      <c r="CU146" s="17">
        <f>CT146*VLOOKUP('Données projet'!$B$13,Paramètres!$A$1:$I$89,3,0)*VLOOKUP('Données projet'!$B$13,Paramètres!$A$1:$I$89,5,0)</f>
        <v>155.4228</v>
      </c>
      <c r="CV146" s="13">
        <f t="shared" si="149"/>
        <v>39.808377687614154</v>
      </c>
      <c r="CW146" s="20">
        <f t="shared" si="121"/>
        <v>340.02763447259463</v>
      </c>
      <c r="CX146" s="59">
        <f t="shared" si="122"/>
        <v>633.36096780592788</v>
      </c>
      <c r="CY146" s="59">
        <f ca="1">AVERAGE(OFFSET($CX$3,0,0,'Données projet'!$E$13+1,1))-AVERAGE(OFFSET($H$3,0,0,'Données projet'!$E$13+1,1))</f>
        <v>269.44168853803717</v>
      </c>
      <c r="CZ146" s="59">
        <f t="shared" si="150"/>
        <v>247.65158389074043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17.539704407563235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17.539704407563235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6">
        <f t="shared" si="110"/>
        <v>256.66666666666669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259.99999999999983</v>
      </c>
      <c r="O147" s="13">
        <f>N147*VLOOKUP('Données projet'!$B$9,Paramètres!$A$1:$I$89,3,0)*VLOOKUP('Données projet'!$B$9,Paramètres!$A$1:$I$89,5,0)</f>
        <v>227.13599999999985</v>
      </c>
      <c r="P147" s="13">
        <f t="shared" si="141"/>
        <v>55.662966886685133</v>
      </c>
      <c r="Q147" s="20">
        <f t="shared" si="108"/>
        <v>492.5415339943097</v>
      </c>
      <c r="R147" s="59">
        <f t="shared" si="109"/>
        <v>785.87486732764296</v>
      </c>
      <c r="S147" s="59">
        <f ca="1">AVERAGE(OFFSET($R$3,0,0,'Données projet'!$E$9+1,1))-AVERAGE(OFFSET($H$3,0,0,'Données projet'!$E$9+1,1))</f>
        <v>381.72225529388083</v>
      </c>
      <c r="T147" s="59">
        <f t="shared" si="142"/>
        <v>360.05900046417361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26.767564727794866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26.767564727794866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304.99999999999994</v>
      </c>
      <c r="AJ147" s="13">
        <f>AI147*VLOOKUP('Données projet'!$B$10,Paramètres!$A$1:$I$89,3,0)*VLOOKUP('Données projet'!$B$10,Paramètres!$A$1:$I$89,5,0)</f>
        <v>275.96399999999994</v>
      </c>
      <c r="AK147" s="13">
        <f t="shared" si="143"/>
        <v>66.113366665488911</v>
      </c>
      <c r="AL147" s="20">
        <f t="shared" si="112"/>
        <v>595.7847469423931</v>
      </c>
      <c r="AM147" s="59">
        <f t="shared" si="113"/>
        <v>889.11808027572647</v>
      </c>
      <c r="AN147" s="59">
        <f ca="1">AVERAGE(OFFSET($AM$3,0,0,'Données projet'!$E$10+1,1))-AVERAGE(OFFSET($H$3,0,0,'Données projet'!$E$10+1,1))</f>
        <v>366.43676005661194</v>
      </c>
      <c r="AO147" s="59">
        <f t="shared" si="144"/>
        <v>513.80016421153414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0.87536765735578004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0.87536765735578004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0.8600000000003547</v>
      </c>
      <c r="BE147" s="13">
        <f>BD147*VLOOKUP('Données projet'!$B$11,Paramètres!$A$1:$I$89,3,0)*VLOOKUP('Données projet'!$B$11,Paramètres!$A$1:$I$89,5,0)</f>
        <v>0.38012000000015683</v>
      </c>
      <c r="BF147" s="13">
        <f t="shared" si="145"/>
        <v>0.19605142963512551</v>
      </c>
      <c r="BG147" s="20">
        <f t="shared" si="115"/>
        <v>1.0034985732814501</v>
      </c>
      <c r="BH147" s="59">
        <f t="shared" si="116"/>
        <v>294.33683190661475</v>
      </c>
      <c r="BI147" s="59">
        <f ca="1">AVERAGE(OFFSET($BH$3,0,0,'Données projet'!$E$11+1,1))-AVERAGE(OFFSET($H$3,0,0,'Données projet'!$E$11+1,1))</f>
        <v>328.58609979635901</v>
      </c>
      <c r="BJ147" s="59">
        <f t="shared" si="146"/>
        <v>432.3494365423407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50.446576435344198</v>
      </c>
      <c r="BQ147" s="21">
        <f>EXP(-LN(2)/25)*BQ146+(1-EXP(-LN(2)/25))/(LN(2)/25)*Calculateur!BL147*Calculateur!BN147*VLOOKUP('Données projet'!$B$11,Paramètres!$A$1:$I$89,3,0)*0.475*44/12</f>
        <v>1.6951867716138511</v>
      </c>
      <c r="BR147" s="21">
        <f>EXP(-LN(2)/2)*BR146+(1-EXP(-LN(2)/2))/(LN(2)/2)*BL147*BO147*VLOOKUP('Données projet'!$B$11,Paramètres!$A$1:$I$89,3,0)*0.475*44/12</f>
        <v>4.0596237592709721E-18</v>
      </c>
      <c r="BS147" s="22">
        <f t="shared" si="117"/>
        <v>52.141763206958046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19.8100000000004</v>
      </c>
      <c r="BZ147" s="13">
        <f>BY147*VLOOKUP('Données projet'!$B$12,Paramètres!$A$1:$I$89,3,0)*VLOOKUP('Données projet'!$B$12,Paramètres!$A$1:$I$89,5,0)</f>
        <v>18.851196000000382</v>
      </c>
      <c r="CA147" s="13">
        <f t="shared" si="147"/>
        <v>6.172221809210666</v>
      </c>
      <c r="CB147" s="20">
        <f t="shared" si="118"/>
        <v>43.582452684375909</v>
      </c>
      <c r="CC147" s="59">
        <f t="shared" si="119"/>
        <v>336.91578601770925</v>
      </c>
      <c r="CD147" s="59">
        <f ca="1">AVERAGE(OFFSET($CC$3,0,0,'Données projet'!$E$12+1,1))-AVERAGE(OFFSET($H$3,0,0,'Données projet'!$E$12+1,1))</f>
        <v>555.3092253965317</v>
      </c>
      <c r="CE147" s="59">
        <f t="shared" si="148"/>
        <v>292.20785523952651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225.26844585781558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225.26844585781558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243</v>
      </c>
      <c r="CU147" s="17">
        <f>CT147*VLOOKUP('Données projet'!$B$13,Paramètres!$A$1:$I$89,3,0)*VLOOKUP('Données projet'!$B$13,Paramètres!$A$1:$I$89,5,0)</f>
        <v>155.4228</v>
      </c>
      <c r="CV147" s="13">
        <f t="shared" si="149"/>
        <v>39.808377687614154</v>
      </c>
      <c r="CW147" s="20">
        <f t="shared" si="121"/>
        <v>340.02763447259463</v>
      </c>
      <c r="CX147" s="59">
        <f t="shared" si="122"/>
        <v>633.36096780592788</v>
      </c>
      <c r="CY147" s="59">
        <f ca="1">AVERAGE(OFFSET($CX$3,0,0,'Données projet'!$E$13+1,1))-AVERAGE(OFFSET($H$3,0,0,'Données projet'!$E$13+1,1))</f>
        <v>269.44168853803717</v>
      </c>
      <c r="CZ147" s="59">
        <f t="shared" si="150"/>
        <v>247.65158389074043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17.195761502294253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17.195761502294253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6">
        <f t="shared" si="110"/>
        <v>256.66666666666669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259.99999999999983</v>
      </c>
      <c r="O148" s="13">
        <f>N148*VLOOKUP('Données projet'!$B$9,Paramètres!$A$1:$I$89,3,0)*VLOOKUP('Données projet'!$B$9,Paramètres!$A$1:$I$89,5,0)</f>
        <v>227.13599999999985</v>
      </c>
      <c r="P148" s="13">
        <f t="shared" si="141"/>
        <v>55.662966886685133</v>
      </c>
      <c r="Q148" s="20">
        <f t="shared" si="108"/>
        <v>492.5415339943097</v>
      </c>
      <c r="R148" s="59">
        <f t="shared" si="109"/>
        <v>785.87486732764296</v>
      </c>
      <c r="S148" s="59">
        <f ca="1">AVERAGE(OFFSET($R$3,0,0,'Données projet'!$E$9+1,1))-AVERAGE(OFFSET($H$3,0,0,'Données projet'!$E$9+1,1))</f>
        <v>381.72225529388083</v>
      </c>
      <c r="T148" s="59">
        <f t="shared" si="142"/>
        <v>360.05900046417361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26.242669110085174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26.242669110085174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304.99999999999994</v>
      </c>
      <c r="AJ148" s="13">
        <f>AI148*VLOOKUP('Données projet'!$B$10,Paramètres!$A$1:$I$89,3,0)*VLOOKUP('Données projet'!$B$10,Paramètres!$A$1:$I$89,5,0)</f>
        <v>275.96399999999994</v>
      </c>
      <c r="AK148" s="13">
        <f t="shared" si="143"/>
        <v>66.113366665488911</v>
      </c>
      <c r="AL148" s="20">
        <f t="shared" si="112"/>
        <v>595.7847469423931</v>
      </c>
      <c r="AM148" s="59">
        <f t="shared" si="113"/>
        <v>889.11808027572647</v>
      </c>
      <c r="AN148" s="59">
        <f ca="1">AVERAGE(OFFSET($AM$3,0,0,'Données projet'!$E$10+1,1))-AVERAGE(OFFSET($H$3,0,0,'Données projet'!$E$10+1,1))</f>
        <v>366.43676005661194</v>
      </c>
      <c r="AO148" s="59">
        <f t="shared" si="144"/>
        <v>513.80016421153414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0.85820223151658381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0.85820223151658381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0.8600000000003547</v>
      </c>
      <c r="BE148" s="13">
        <f>BD148*VLOOKUP('Données projet'!$B$11,Paramètres!$A$1:$I$89,3,0)*VLOOKUP('Données projet'!$B$11,Paramètres!$A$1:$I$89,5,0)</f>
        <v>0.38012000000015683</v>
      </c>
      <c r="BF148" s="13">
        <f t="shared" si="145"/>
        <v>0.19605142963512551</v>
      </c>
      <c r="BG148" s="20">
        <f t="shared" si="115"/>
        <v>1.0034985732814501</v>
      </c>
      <c r="BH148" s="59">
        <f t="shared" si="116"/>
        <v>294.33683190661475</v>
      </c>
      <c r="BI148" s="59">
        <f ca="1">AVERAGE(OFFSET($BH$3,0,0,'Données projet'!$E$11+1,1))-AVERAGE(OFFSET($H$3,0,0,'Données projet'!$E$11+1,1))</f>
        <v>328.58609979635901</v>
      </c>
      <c r="BJ148" s="59">
        <f t="shared" si="146"/>
        <v>432.3494365423407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49.457349840820498</v>
      </c>
      <c r="BQ148" s="21">
        <f>EXP(-LN(2)/25)*BQ147+(1-EXP(-LN(2)/25))/(LN(2)/25)*Calculateur!BL148*Calculateur!BN148*VLOOKUP('Données projet'!$B$11,Paramètres!$A$1:$I$89,3,0)*0.475*44/12</f>
        <v>1.6488318001980724</v>
      </c>
      <c r="BR148" s="21">
        <f>EXP(-LN(2)/2)*BR147+(1-EXP(-LN(2)/2))/(LN(2)/2)*BL148*BO148*VLOOKUP('Données projet'!$B$11,Paramètres!$A$1:$I$89,3,0)*0.475*44/12</f>
        <v>2.8705874892465288E-18</v>
      </c>
      <c r="BS148" s="22">
        <f t="shared" si="117"/>
        <v>51.106181641018573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19.8100000000004</v>
      </c>
      <c r="BZ148" s="13">
        <f>BY148*VLOOKUP('Données projet'!$B$12,Paramètres!$A$1:$I$89,3,0)*VLOOKUP('Données projet'!$B$12,Paramètres!$A$1:$I$89,5,0)</f>
        <v>18.851196000000382</v>
      </c>
      <c r="CA148" s="13">
        <f t="shared" si="147"/>
        <v>6.172221809210666</v>
      </c>
      <c r="CB148" s="20">
        <f t="shared" si="118"/>
        <v>43.582452684375909</v>
      </c>
      <c r="CC148" s="59">
        <f t="shared" si="119"/>
        <v>336.91578601770925</v>
      </c>
      <c r="CD148" s="59">
        <f ca="1">AVERAGE(OFFSET($CC$3,0,0,'Données projet'!$E$12+1,1))-AVERAGE(OFFSET($H$3,0,0,'Données projet'!$E$12+1,1))</f>
        <v>555.3092253965317</v>
      </c>
      <c r="CE148" s="59">
        <f t="shared" si="148"/>
        <v>292.20785523952651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220.85106903472865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220.85106903472865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243</v>
      </c>
      <c r="CU148" s="17">
        <f>CT148*VLOOKUP('Données projet'!$B$13,Paramètres!$A$1:$I$89,3,0)*VLOOKUP('Données projet'!$B$13,Paramètres!$A$1:$I$89,5,0)</f>
        <v>155.4228</v>
      </c>
      <c r="CV148" s="13">
        <f t="shared" si="149"/>
        <v>39.808377687614154</v>
      </c>
      <c r="CW148" s="20">
        <f t="shared" si="121"/>
        <v>340.02763447259463</v>
      </c>
      <c r="CX148" s="59">
        <f t="shared" si="122"/>
        <v>633.36096780592788</v>
      </c>
      <c r="CY148" s="59">
        <f ca="1">AVERAGE(OFFSET($CX$3,0,0,'Données projet'!$E$13+1,1))-AVERAGE(OFFSET($H$3,0,0,'Données projet'!$E$13+1,1))</f>
        <v>269.44168853803717</v>
      </c>
      <c r="CZ148" s="59">
        <f t="shared" si="150"/>
        <v>247.65158389074043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16.858563107613136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16.858563107613136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6">
        <f t="shared" si="110"/>
        <v>256.66666666666669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259.99999999999983</v>
      </c>
      <c r="O149" s="13">
        <f>N149*VLOOKUP('Données projet'!$B$9,Paramètres!$A$1:$I$89,3,0)*VLOOKUP('Données projet'!$B$9,Paramètres!$A$1:$I$89,5,0)</f>
        <v>227.13599999999985</v>
      </c>
      <c r="P149" s="13">
        <f t="shared" si="141"/>
        <v>55.662966886685133</v>
      </c>
      <c r="Q149" s="20">
        <f t="shared" si="108"/>
        <v>492.5415339943097</v>
      </c>
      <c r="R149" s="59">
        <f t="shared" si="109"/>
        <v>785.87486732764296</v>
      </c>
      <c r="S149" s="59">
        <f ca="1">AVERAGE(OFFSET($R$3,0,0,'Données projet'!$E$9+1,1))-AVERAGE(OFFSET($H$3,0,0,'Données projet'!$E$9+1,1))</f>
        <v>381.72225529388083</v>
      </c>
      <c r="T149" s="59">
        <f t="shared" si="142"/>
        <v>360.05900046417361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25.728066375284055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25.728066375284055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304.99999999999994</v>
      </c>
      <c r="AJ149" s="13">
        <f>AI149*VLOOKUP('Données projet'!$B$10,Paramètres!$A$1:$I$89,3,0)*VLOOKUP('Données projet'!$B$10,Paramètres!$A$1:$I$89,5,0)</f>
        <v>275.96399999999994</v>
      </c>
      <c r="AK149" s="13">
        <f t="shared" si="143"/>
        <v>66.113366665488911</v>
      </c>
      <c r="AL149" s="20">
        <f t="shared" si="112"/>
        <v>595.7847469423931</v>
      </c>
      <c r="AM149" s="59">
        <f t="shared" si="113"/>
        <v>889.11808027572647</v>
      </c>
      <c r="AN149" s="59">
        <f ca="1">AVERAGE(OFFSET($AM$3,0,0,'Données projet'!$E$10+1,1))-AVERAGE(OFFSET($H$3,0,0,'Données projet'!$E$10+1,1))</f>
        <v>366.43676005661194</v>
      </c>
      <c r="AO149" s="59">
        <f t="shared" si="144"/>
        <v>513.80016421153414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0.84137340920821824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0.84137340920821824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0.8600000000003547</v>
      </c>
      <c r="BE149" s="13">
        <f>BD149*VLOOKUP('Données projet'!$B$11,Paramètres!$A$1:$I$89,3,0)*VLOOKUP('Données projet'!$B$11,Paramètres!$A$1:$I$89,5,0)</f>
        <v>0.38012000000015683</v>
      </c>
      <c r="BF149" s="13">
        <f t="shared" si="145"/>
        <v>0.19605142963512551</v>
      </c>
      <c r="BG149" s="20">
        <f t="shared" si="115"/>
        <v>1.0034985732814501</v>
      </c>
      <c r="BH149" s="59">
        <f t="shared" si="116"/>
        <v>294.33683190661475</v>
      </c>
      <c r="BI149" s="59">
        <f ca="1">AVERAGE(OFFSET($BH$3,0,0,'Données projet'!$E$11+1,1))-AVERAGE(OFFSET($H$3,0,0,'Données projet'!$E$11+1,1))</f>
        <v>328.58609979635901</v>
      </c>
      <c r="BJ149" s="59">
        <f t="shared" si="146"/>
        <v>432.3494365423407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48.487521376446765</v>
      </c>
      <c r="BQ149" s="21">
        <f>EXP(-LN(2)/25)*BQ148+(1-EXP(-LN(2)/25))/(LN(2)/25)*Calculateur!BL149*Calculateur!BN149*VLOOKUP('Données projet'!$B$11,Paramètres!$A$1:$I$89,3,0)*0.475*44/12</f>
        <v>1.6037444079133603</v>
      </c>
      <c r="BR149" s="21">
        <f>EXP(-LN(2)/2)*BR148+(1-EXP(-LN(2)/2))/(LN(2)/2)*BL149*BO149*VLOOKUP('Données projet'!$B$11,Paramètres!$A$1:$I$89,3,0)*0.475*44/12</f>
        <v>2.0298118796354861E-18</v>
      </c>
      <c r="BS149" s="22">
        <f t="shared" si="117"/>
        <v>50.091265784360125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19.8100000000004</v>
      </c>
      <c r="BZ149" s="13">
        <f>BY149*VLOOKUP('Données projet'!$B$12,Paramètres!$A$1:$I$89,3,0)*VLOOKUP('Données projet'!$B$12,Paramètres!$A$1:$I$89,5,0)</f>
        <v>18.851196000000382</v>
      </c>
      <c r="CA149" s="13">
        <f t="shared" si="147"/>
        <v>6.172221809210666</v>
      </c>
      <c r="CB149" s="20">
        <f t="shared" si="118"/>
        <v>43.582452684375909</v>
      </c>
      <c r="CC149" s="59">
        <f t="shared" si="119"/>
        <v>336.91578601770925</v>
      </c>
      <c r="CD149" s="59">
        <f ca="1">AVERAGE(OFFSET($CC$3,0,0,'Données projet'!$E$12+1,1))-AVERAGE(OFFSET($H$3,0,0,'Données projet'!$E$12+1,1))</f>
        <v>555.3092253965317</v>
      </c>
      <c r="CE149" s="59">
        <f t="shared" si="148"/>
        <v>292.20785523952651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216.52031427680865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216.52031427680865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243</v>
      </c>
      <c r="CU149" s="17">
        <f>CT149*VLOOKUP('Données projet'!$B$13,Paramètres!$A$1:$I$89,3,0)*VLOOKUP('Données projet'!$B$13,Paramètres!$A$1:$I$89,5,0)</f>
        <v>155.4228</v>
      </c>
      <c r="CV149" s="13">
        <f t="shared" si="149"/>
        <v>39.808377687614154</v>
      </c>
      <c r="CW149" s="20">
        <f t="shared" si="121"/>
        <v>340.02763447259463</v>
      </c>
      <c r="CX149" s="59">
        <f t="shared" si="122"/>
        <v>633.36096780592788</v>
      </c>
      <c r="CY149" s="59">
        <f ca="1">AVERAGE(OFFSET($CX$3,0,0,'Données projet'!$E$13+1,1))-AVERAGE(OFFSET($H$3,0,0,'Données projet'!$E$13+1,1))</f>
        <v>269.44168853803717</v>
      </c>
      <c r="CZ149" s="59">
        <f t="shared" si="150"/>
        <v>247.65158389074043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16.527976967781004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16.527976967781004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6">
        <f t="shared" si="110"/>
        <v>256.66666666666669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259.99999999999983</v>
      </c>
      <c r="O150" s="13">
        <f>N150*VLOOKUP('Données projet'!$B$9,Paramètres!$A$1:$I$89,3,0)*VLOOKUP('Données projet'!$B$9,Paramètres!$A$1:$I$89,5,0)</f>
        <v>227.13599999999985</v>
      </c>
      <c r="P150" s="13">
        <f t="shared" si="141"/>
        <v>55.662966886685133</v>
      </c>
      <c r="Q150" s="20">
        <f t="shared" si="108"/>
        <v>492.5415339943097</v>
      </c>
      <c r="R150" s="59">
        <f t="shared" si="109"/>
        <v>785.87486732764296</v>
      </c>
      <c r="S150" s="59">
        <f ca="1">AVERAGE(OFFSET($R$3,0,0,'Données projet'!$E$9+1,1))-AVERAGE(OFFSET($H$3,0,0,'Données projet'!$E$9+1,1))</f>
        <v>381.72225529388083</v>
      </c>
      <c r="T150" s="59">
        <f t="shared" si="142"/>
        <v>360.05900046417361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25.223554686235712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25.223554686235712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304.99999999999994</v>
      </c>
      <c r="AJ150" s="13">
        <f>AI150*VLOOKUP('Données projet'!$B$10,Paramètres!$A$1:$I$89,3,0)*VLOOKUP('Données projet'!$B$10,Paramètres!$A$1:$I$89,5,0)</f>
        <v>275.96399999999994</v>
      </c>
      <c r="AK150" s="13">
        <f t="shared" si="143"/>
        <v>66.113366665488911</v>
      </c>
      <c r="AL150" s="20">
        <f t="shared" si="112"/>
        <v>595.7847469423931</v>
      </c>
      <c r="AM150" s="59">
        <f t="shared" si="113"/>
        <v>889.11808027572647</v>
      </c>
      <c r="AN150" s="59">
        <f ca="1">AVERAGE(OFFSET($AM$3,0,0,'Données projet'!$E$10+1,1))-AVERAGE(OFFSET($H$3,0,0,'Données projet'!$E$10+1,1))</f>
        <v>366.43676005661194</v>
      </c>
      <c r="AO150" s="59">
        <f t="shared" si="144"/>
        <v>513.80016421153414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0.82487458984075168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0.82487458984075168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0.8600000000003547</v>
      </c>
      <c r="BE150" s="13">
        <f>BD150*VLOOKUP('Données projet'!$B$11,Paramètres!$A$1:$I$89,3,0)*VLOOKUP('Données projet'!$B$11,Paramètres!$A$1:$I$89,5,0)</f>
        <v>0.38012000000015683</v>
      </c>
      <c r="BF150" s="13">
        <f t="shared" si="145"/>
        <v>0.19605142963512551</v>
      </c>
      <c r="BG150" s="20">
        <f t="shared" si="115"/>
        <v>1.0034985732814501</v>
      </c>
      <c r="BH150" s="59">
        <f t="shared" si="116"/>
        <v>294.33683190661475</v>
      </c>
      <c r="BI150" s="59">
        <f ca="1">AVERAGE(OFFSET($BH$3,0,0,'Données projet'!$E$11+1,1))-AVERAGE(OFFSET($H$3,0,0,'Données projet'!$E$11+1,1))</f>
        <v>328.58609979635901</v>
      </c>
      <c r="BJ150" s="59">
        <f t="shared" si="146"/>
        <v>432.3494365423407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47.536710656722448</v>
      </c>
      <c r="BQ150" s="21">
        <f>EXP(-LN(2)/25)*BQ149+(1-EXP(-LN(2)/25))/(LN(2)/25)*Calculateur!BL150*Calculateur!BN150*VLOOKUP('Données projet'!$B$11,Paramètres!$A$1:$I$89,3,0)*0.475*44/12</f>
        <v>1.5598899327417164</v>
      </c>
      <c r="BR150" s="21">
        <f>EXP(-LN(2)/2)*BR149+(1-EXP(-LN(2)/2))/(LN(2)/2)*BL150*BO150*VLOOKUP('Données projet'!$B$11,Paramètres!$A$1:$I$89,3,0)*0.475*44/12</f>
        <v>1.4352937446232644E-18</v>
      </c>
      <c r="BS150" s="22">
        <f t="shared" si="117"/>
        <v>49.096600589464167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19.8100000000004</v>
      </c>
      <c r="BZ150" s="13">
        <f>BY150*VLOOKUP('Données projet'!$B$12,Paramètres!$A$1:$I$89,3,0)*VLOOKUP('Données projet'!$B$12,Paramètres!$A$1:$I$89,5,0)</f>
        <v>18.851196000000382</v>
      </c>
      <c r="CA150" s="13">
        <f t="shared" si="147"/>
        <v>6.172221809210666</v>
      </c>
      <c r="CB150" s="20">
        <f t="shared" si="118"/>
        <v>43.582452684375909</v>
      </c>
      <c r="CC150" s="59">
        <f t="shared" si="119"/>
        <v>336.91578601770925</v>
      </c>
      <c r="CD150" s="59">
        <f ca="1">AVERAGE(OFFSET($CC$3,0,0,'Données projet'!$E$12+1,1))-AVERAGE(OFFSET($H$3,0,0,'Données projet'!$E$12+1,1))</f>
        <v>555.3092253965317</v>
      </c>
      <c r="CE150" s="59">
        <f t="shared" si="148"/>
        <v>292.20785523952651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212.27448297819186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212.27448297819186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243</v>
      </c>
      <c r="CU150" s="17">
        <f>CT150*VLOOKUP('Données projet'!$B$13,Paramètres!$A$1:$I$89,3,0)*VLOOKUP('Données projet'!$B$13,Paramètres!$A$1:$I$89,5,0)</f>
        <v>155.4228</v>
      </c>
      <c r="CV150" s="13">
        <f t="shared" si="149"/>
        <v>39.808377687614154</v>
      </c>
      <c r="CW150" s="20">
        <f t="shared" si="121"/>
        <v>340.02763447259463</v>
      </c>
      <c r="CX150" s="59">
        <f t="shared" si="122"/>
        <v>633.36096780592788</v>
      </c>
      <c r="CY150" s="59">
        <f ca="1">AVERAGE(OFFSET($CX$3,0,0,'Données projet'!$E$13+1,1))-AVERAGE(OFFSET($H$3,0,0,'Données projet'!$E$13+1,1))</f>
        <v>269.44168853803717</v>
      </c>
      <c r="CZ150" s="59">
        <f t="shared" si="150"/>
        <v>247.65158389074043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16.203873420513347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16.203873420513347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6">
        <f t="shared" si="110"/>
        <v>256.66666666666669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259.99999999999983</v>
      </c>
      <c r="O151" s="13">
        <f>N151*VLOOKUP('Données projet'!$B$9,Paramètres!$A$1:$I$89,3,0)*VLOOKUP('Données projet'!$B$9,Paramètres!$A$1:$I$89,5,0)</f>
        <v>227.13599999999985</v>
      </c>
      <c r="P151" s="13">
        <f t="shared" si="141"/>
        <v>55.662966886685133</v>
      </c>
      <c r="Q151" s="20">
        <f t="shared" si="108"/>
        <v>492.5415339943097</v>
      </c>
      <c r="R151" s="59">
        <f t="shared" si="109"/>
        <v>785.87486732764296</v>
      </c>
      <c r="S151" s="59">
        <f ca="1">AVERAGE(OFFSET($R$3,0,0,'Données projet'!$E$9+1,1))-AVERAGE(OFFSET($H$3,0,0,'Données projet'!$E$9+1,1))</f>
        <v>381.72225529388083</v>
      </c>
      <c r="T151" s="59">
        <f t="shared" si="142"/>
        <v>360.05900046417361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24.728936163687859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24.728936163687859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304.99999999999994</v>
      </c>
      <c r="AJ151" s="13">
        <f>AI151*VLOOKUP('Données projet'!$B$10,Paramètres!$A$1:$I$89,3,0)*VLOOKUP('Données projet'!$B$10,Paramètres!$A$1:$I$89,5,0)</f>
        <v>275.96399999999994</v>
      </c>
      <c r="AK151" s="13">
        <f t="shared" si="143"/>
        <v>66.113366665488911</v>
      </c>
      <c r="AL151" s="20">
        <f t="shared" si="112"/>
        <v>595.7847469423931</v>
      </c>
      <c r="AM151" s="59">
        <f t="shared" si="113"/>
        <v>889.11808027572647</v>
      </c>
      <c r="AN151" s="59">
        <f ca="1">AVERAGE(OFFSET($AM$3,0,0,'Données projet'!$E$10+1,1))-AVERAGE(OFFSET($H$3,0,0,'Données projet'!$E$10+1,1))</f>
        <v>366.43676005661194</v>
      </c>
      <c r="AO151" s="59">
        <f t="shared" si="144"/>
        <v>513.80016421153414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0.80869930225779496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0.80869930225779496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0.8600000000003547</v>
      </c>
      <c r="BE151" s="13">
        <f>BD151*VLOOKUP('Données projet'!$B$11,Paramètres!$A$1:$I$89,3,0)*VLOOKUP('Données projet'!$B$11,Paramètres!$A$1:$I$89,5,0)</f>
        <v>0.38012000000015683</v>
      </c>
      <c r="BF151" s="13">
        <f t="shared" si="145"/>
        <v>0.19605142963512551</v>
      </c>
      <c r="BG151" s="20">
        <f t="shared" si="115"/>
        <v>1.0034985732814501</v>
      </c>
      <c r="BH151" s="59">
        <f t="shared" si="116"/>
        <v>294.33683190661475</v>
      </c>
      <c r="BI151" s="59">
        <f ca="1">AVERAGE(OFFSET($BH$3,0,0,'Données projet'!$E$11+1,1))-AVERAGE(OFFSET($H$3,0,0,'Données projet'!$E$11+1,1))</f>
        <v>328.58609979635901</v>
      </c>
      <c r="BJ151" s="59">
        <f t="shared" si="146"/>
        <v>432.3494365423407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46.604544755274652</v>
      </c>
      <c r="BQ151" s="21">
        <f>EXP(-LN(2)/25)*BQ150+(1-EXP(-LN(2)/25))/(LN(2)/25)*Calculateur!BL151*Calculateur!BN151*VLOOKUP('Données projet'!$B$11,Paramètres!$A$1:$I$89,3,0)*0.475*44/12</f>
        <v>1.5172346604998477</v>
      </c>
      <c r="BR151" s="21">
        <f>EXP(-LN(2)/2)*BR150+(1-EXP(-LN(2)/2))/(LN(2)/2)*BL151*BO151*VLOOKUP('Données projet'!$B$11,Paramètres!$A$1:$I$89,3,0)*0.475*44/12</f>
        <v>1.014905939817743E-18</v>
      </c>
      <c r="BS151" s="22">
        <f t="shared" si="117"/>
        <v>48.121779415774498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19.8100000000004</v>
      </c>
      <c r="BZ151" s="13">
        <f>BY151*VLOOKUP('Données projet'!$B$12,Paramètres!$A$1:$I$89,3,0)*VLOOKUP('Données projet'!$B$12,Paramètres!$A$1:$I$89,5,0)</f>
        <v>18.851196000000382</v>
      </c>
      <c r="CA151" s="13">
        <f t="shared" si="147"/>
        <v>6.172221809210666</v>
      </c>
      <c r="CB151" s="20">
        <f t="shared" si="118"/>
        <v>43.582452684375909</v>
      </c>
      <c r="CC151" s="59">
        <f t="shared" si="119"/>
        <v>336.91578601770925</v>
      </c>
      <c r="CD151" s="59">
        <f ca="1">AVERAGE(OFFSET($CC$3,0,0,'Données projet'!$E$12+1,1))-AVERAGE(OFFSET($H$3,0,0,'Données projet'!$E$12+1,1))</f>
        <v>555.3092253965317</v>
      </c>
      <c r="CE151" s="59">
        <f t="shared" si="148"/>
        <v>292.20785523952651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208.11190984163957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208.11190984163957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243</v>
      </c>
      <c r="CU151" s="17">
        <f>CT151*VLOOKUP('Données projet'!$B$13,Paramètres!$A$1:$I$89,3,0)*VLOOKUP('Données projet'!$B$13,Paramètres!$A$1:$I$89,5,0)</f>
        <v>155.4228</v>
      </c>
      <c r="CV151" s="13">
        <f t="shared" si="149"/>
        <v>39.808377687614154</v>
      </c>
      <c r="CW151" s="20">
        <f t="shared" si="121"/>
        <v>340.02763447259463</v>
      </c>
      <c r="CX151" s="59">
        <f t="shared" si="122"/>
        <v>633.36096780592788</v>
      </c>
      <c r="CY151" s="59">
        <f ca="1">AVERAGE(OFFSET($CX$3,0,0,'Données projet'!$E$13+1,1))-AVERAGE(OFFSET($H$3,0,0,'Données projet'!$E$13+1,1))</f>
        <v>269.44168853803717</v>
      </c>
      <c r="CZ151" s="59">
        <f t="shared" si="150"/>
        <v>247.65158389074043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15.886125346123963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15.886125346123963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6">
        <f t="shared" si="110"/>
        <v>256.66666666666669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259.99999999999983</v>
      </c>
      <c r="O152" s="13">
        <f>N152*VLOOKUP('Données projet'!$B$9,Paramètres!$A$1:$I$89,3,0)*VLOOKUP('Données projet'!$B$9,Paramètres!$A$1:$I$89,5,0)</f>
        <v>227.13599999999985</v>
      </c>
      <c r="P152" s="13">
        <f t="shared" si="141"/>
        <v>55.662966886685133</v>
      </c>
      <c r="Q152" s="20">
        <f t="shared" si="108"/>
        <v>492.5415339943097</v>
      </c>
      <c r="R152" s="59">
        <f t="shared" si="109"/>
        <v>785.87486732764296</v>
      </c>
      <c r="S152" s="59">
        <f ca="1">AVERAGE(OFFSET($R$3,0,0,'Données projet'!$E$9+1,1))-AVERAGE(OFFSET($H$3,0,0,'Données projet'!$E$9+1,1))</f>
        <v>381.72225529388083</v>
      </c>
      <c r="T152" s="59">
        <f t="shared" si="142"/>
        <v>360.05900046417361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24.24401680867966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24.24401680867966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304.99999999999994</v>
      </c>
      <c r="AJ152" s="13">
        <f>AI152*VLOOKUP('Données projet'!$B$10,Paramètres!$A$1:$I$89,3,0)*VLOOKUP('Données projet'!$B$10,Paramètres!$A$1:$I$89,5,0)</f>
        <v>275.96399999999994</v>
      </c>
      <c r="AK152" s="13">
        <f t="shared" si="143"/>
        <v>66.113366665488911</v>
      </c>
      <c r="AL152" s="20">
        <f t="shared" si="112"/>
        <v>595.7847469423931</v>
      </c>
      <c r="AM152" s="59">
        <f t="shared" si="113"/>
        <v>889.11808027572647</v>
      </c>
      <c r="AN152" s="59">
        <f ca="1">AVERAGE(OFFSET($AM$3,0,0,'Données projet'!$E$10+1,1))-AVERAGE(OFFSET($H$3,0,0,'Données projet'!$E$10+1,1))</f>
        <v>366.43676005661194</v>
      </c>
      <c r="AO152" s="59">
        <f t="shared" si="144"/>
        <v>513.80016421153414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0.79284120219838883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0.79284120219838883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0.8600000000003547</v>
      </c>
      <c r="BE152" s="13">
        <f>BD152*VLOOKUP('Données projet'!$B$11,Paramètres!$A$1:$I$89,3,0)*VLOOKUP('Données projet'!$B$11,Paramètres!$A$1:$I$89,5,0)</f>
        <v>0.38012000000015683</v>
      </c>
      <c r="BF152" s="13">
        <f t="shared" si="145"/>
        <v>0.19605142963512551</v>
      </c>
      <c r="BG152" s="20">
        <f t="shared" si="115"/>
        <v>1.0034985732814501</v>
      </c>
      <c r="BH152" s="59">
        <f t="shared" si="116"/>
        <v>294.33683190661475</v>
      </c>
      <c r="BI152" s="59">
        <f ca="1">AVERAGE(OFFSET($BH$3,0,0,'Données projet'!$E$11+1,1))-AVERAGE(OFFSET($H$3,0,0,'Données projet'!$E$11+1,1))</f>
        <v>328.58609979635901</v>
      </c>
      <c r="BJ152" s="59">
        <f t="shared" si="146"/>
        <v>432.3494365423407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45.690658058589186</v>
      </c>
      <c r="BQ152" s="21">
        <f>EXP(-LN(2)/25)*BQ151+(1-EXP(-LN(2)/25))/(LN(2)/25)*Calculateur!BL152*Calculateur!BN152*VLOOKUP('Données projet'!$B$11,Paramètres!$A$1:$I$89,3,0)*0.475*44/12</f>
        <v>1.4757457989205762</v>
      </c>
      <c r="BR152" s="21">
        <f>EXP(-LN(2)/2)*BR151+(1-EXP(-LN(2)/2))/(LN(2)/2)*BL152*BO152*VLOOKUP('Données projet'!$B$11,Paramètres!$A$1:$I$89,3,0)*0.475*44/12</f>
        <v>7.1764687231163221E-19</v>
      </c>
      <c r="BS152" s="22">
        <f t="shared" si="117"/>
        <v>47.166403857509763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19.8100000000004</v>
      </c>
      <c r="BZ152" s="13">
        <f>BY152*VLOOKUP('Données projet'!$B$12,Paramètres!$A$1:$I$89,3,0)*VLOOKUP('Données projet'!$B$12,Paramètres!$A$1:$I$89,5,0)</f>
        <v>18.851196000000382</v>
      </c>
      <c r="CA152" s="13">
        <f t="shared" si="147"/>
        <v>6.172221809210666</v>
      </c>
      <c r="CB152" s="20">
        <f t="shared" si="118"/>
        <v>43.582452684375909</v>
      </c>
      <c r="CC152" s="59">
        <f t="shared" si="119"/>
        <v>336.91578601770925</v>
      </c>
      <c r="CD152" s="59">
        <f ca="1">AVERAGE(OFFSET($CC$3,0,0,'Données projet'!$E$12+1,1))-AVERAGE(OFFSET($H$3,0,0,'Données projet'!$E$12+1,1))</f>
        <v>555.3092253965317</v>
      </c>
      <c r="CE152" s="59">
        <f t="shared" si="148"/>
        <v>292.20785523952651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204.03096222537616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204.03096222537616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243</v>
      </c>
      <c r="CU152" s="17">
        <f>CT152*VLOOKUP('Données projet'!$B$13,Paramètres!$A$1:$I$89,3,0)*VLOOKUP('Données projet'!$B$13,Paramètres!$A$1:$I$89,5,0)</f>
        <v>155.4228</v>
      </c>
      <c r="CV152" s="13">
        <f t="shared" si="149"/>
        <v>39.808377687614154</v>
      </c>
      <c r="CW152" s="20">
        <f t="shared" si="121"/>
        <v>340.02763447259463</v>
      </c>
      <c r="CX152" s="59">
        <f t="shared" si="122"/>
        <v>633.36096780592788</v>
      </c>
      <c r="CY152" s="59">
        <f ca="1">AVERAGE(OFFSET($CX$3,0,0,'Données projet'!$E$13+1,1))-AVERAGE(OFFSET($H$3,0,0,'Données projet'!$E$13+1,1))</f>
        <v>269.44168853803717</v>
      </c>
      <c r="CZ152" s="59">
        <f t="shared" si="150"/>
        <v>247.65158389074043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15.574608117666166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15.574608117666166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6">
        <f t="shared" si="110"/>
        <v>256.66666666666669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259.99999999999983</v>
      </c>
      <c r="O153" s="13">
        <f>N153*VLOOKUP('Données projet'!$B$9,Paramètres!$A$1:$I$89,3,0)*VLOOKUP('Données projet'!$B$9,Paramètres!$A$1:$I$89,5,0)</f>
        <v>227.13599999999985</v>
      </c>
      <c r="P153" s="13">
        <f t="shared" si="141"/>
        <v>55.662966886685133</v>
      </c>
      <c r="Q153" s="20">
        <f t="shared" si="108"/>
        <v>492.5415339943097</v>
      </c>
      <c r="R153" s="59">
        <f t="shared" si="109"/>
        <v>785.87486732764296</v>
      </c>
      <c r="S153" s="59">
        <f ca="1">AVERAGE(OFFSET($R$3,0,0,'Données projet'!$E$9+1,1))-AVERAGE(OFFSET($H$3,0,0,'Données projet'!$E$9+1,1))</f>
        <v>381.72225529388083</v>
      </c>
      <c r="T153" s="59">
        <f t="shared" si="142"/>
        <v>360.05900046417361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23.768606426451573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23.768606426451573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304.99999999999994</v>
      </c>
      <c r="AJ153" s="13">
        <f>AI153*VLOOKUP('Données projet'!$B$10,Paramètres!$A$1:$I$89,3,0)*VLOOKUP('Données projet'!$B$10,Paramètres!$A$1:$I$89,5,0)</f>
        <v>275.96399999999994</v>
      </c>
      <c r="AK153" s="13">
        <f t="shared" si="143"/>
        <v>66.113366665488911</v>
      </c>
      <c r="AL153" s="20">
        <f t="shared" si="112"/>
        <v>595.7847469423931</v>
      </c>
      <c r="AM153" s="59">
        <f t="shared" si="113"/>
        <v>889.11808027572647</v>
      </c>
      <c r="AN153" s="59">
        <f ca="1">AVERAGE(OFFSET($AM$3,0,0,'Données projet'!$E$10+1,1))-AVERAGE(OFFSET($H$3,0,0,'Données projet'!$E$10+1,1))</f>
        <v>366.43676005661194</v>
      </c>
      <c r="AO153" s="59">
        <f t="shared" si="144"/>
        <v>513.80016421153414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0.77729406980866167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0.77729406980866167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0.8600000000003547</v>
      </c>
      <c r="BE153" s="13">
        <f>BD153*VLOOKUP('Données projet'!$B$11,Paramètres!$A$1:$I$89,3,0)*VLOOKUP('Données projet'!$B$11,Paramètres!$A$1:$I$89,5,0)</f>
        <v>0.38012000000015683</v>
      </c>
      <c r="BF153" s="13">
        <f t="shared" si="145"/>
        <v>0.19605142963512551</v>
      </c>
      <c r="BG153" s="20">
        <f t="shared" si="115"/>
        <v>1.0034985732814501</v>
      </c>
      <c r="BH153" s="59">
        <f t="shared" si="116"/>
        <v>294.33683190661475</v>
      </c>
      <c r="BI153" s="59">
        <f ca="1">AVERAGE(OFFSET($BH$3,0,0,'Données projet'!$E$11+1,1))-AVERAGE(OFFSET($H$3,0,0,'Données projet'!$E$11+1,1))</f>
        <v>328.58609979635901</v>
      </c>
      <c r="BJ153" s="59">
        <f t="shared" si="146"/>
        <v>432.3494365423407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44.794692122609874</v>
      </c>
      <c r="BQ153" s="21">
        <f>EXP(-LN(2)/25)*BQ152+(1-EXP(-LN(2)/25))/(LN(2)/25)*Calculateur!BL153*Calculateur!BN153*VLOOKUP('Données projet'!$B$11,Paramètres!$A$1:$I$89,3,0)*0.475*44/12</f>
        <v>1.4353914524429943</v>
      </c>
      <c r="BR153" s="21">
        <f>EXP(-LN(2)/2)*BR152+(1-EXP(-LN(2)/2))/(LN(2)/2)*BL153*BO153*VLOOKUP('Données projet'!$B$11,Paramètres!$A$1:$I$89,3,0)*0.475*44/12</f>
        <v>5.0745296990887152E-19</v>
      </c>
      <c r="BS153" s="22">
        <f t="shared" si="117"/>
        <v>46.230083575052866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19.8100000000004</v>
      </c>
      <c r="BZ153" s="13">
        <f>BY153*VLOOKUP('Données projet'!$B$12,Paramètres!$A$1:$I$89,3,0)*VLOOKUP('Données projet'!$B$12,Paramètres!$A$1:$I$89,5,0)</f>
        <v>18.851196000000382</v>
      </c>
      <c r="CA153" s="13">
        <f t="shared" si="147"/>
        <v>6.172221809210666</v>
      </c>
      <c r="CB153" s="20">
        <f t="shared" si="118"/>
        <v>43.582452684375909</v>
      </c>
      <c r="CC153" s="59">
        <f t="shared" si="119"/>
        <v>336.91578601770925</v>
      </c>
      <c r="CD153" s="59">
        <f ca="1">AVERAGE(OFFSET($CC$3,0,0,'Données projet'!$E$12+1,1))-AVERAGE(OFFSET($H$3,0,0,'Données projet'!$E$12+1,1))</f>
        <v>555.3092253965317</v>
      </c>
      <c r="CE153" s="59">
        <f t="shared" si="148"/>
        <v>292.20785523952651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200.03003950273541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200.03003950273541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243</v>
      </c>
      <c r="CU153" s="17">
        <f>CT153*VLOOKUP('Données projet'!$B$13,Paramètres!$A$1:$I$89,3,0)*VLOOKUP('Données projet'!$B$13,Paramètres!$A$1:$I$89,5,0)</f>
        <v>155.4228</v>
      </c>
      <c r="CV153" s="13">
        <f t="shared" si="149"/>
        <v>39.808377687614154</v>
      </c>
      <c r="CW153" s="20">
        <f t="shared" si="121"/>
        <v>340.02763447259463</v>
      </c>
      <c r="CX153" s="59">
        <f t="shared" si="122"/>
        <v>633.36096780592788</v>
      </c>
      <c r="CY153" s="59">
        <f ca="1">AVERAGE(OFFSET($CX$3,0,0,'Données projet'!$E$13+1,1))-AVERAGE(OFFSET($H$3,0,0,'Données projet'!$E$13+1,1))</f>
        <v>269.44168853803717</v>
      </c>
      <c r="CZ153" s="59">
        <f t="shared" si="150"/>
        <v>247.65158389074043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15.269199552051679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15.269199552051679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6">
        <f t="shared" si="110"/>
        <v>256.66666666666669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259.99999999999983</v>
      </c>
      <c r="O154" s="13">
        <f>N154*VLOOKUP('Données projet'!$B$9,Paramètres!$A$1:$I$89,3,0)*VLOOKUP('Données projet'!$B$9,Paramètres!$A$1:$I$89,5,0)</f>
        <v>227.13599999999985</v>
      </c>
      <c r="P154" s="13">
        <f t="shared" si="141"/>
        <v>55.662966886685133</v>
      </c>
      <c r="Q154" s="20">
        <f t="shared" ref="Q154:Q203" si="162">(O154+P154)*0.475*44/12</f>
        <v>492.5415339943097</v>
      </c>
      <c r="R154" s="59">
        <f t="shared" si="109"/>
        <v>785.87486732764296</v>
      </c>
      <c r="S154" s="59">
        <f ca="1">AVERAGE(OFFSET($R$3,0,0,'Données projet'!$E$9+1,1))-AVERAGE(OFFSET($H$3,0,0,'Données projet'!$E$9+1,1))</f>
        <v>381.72225529388083</v>
      </c>
      <c r="T154" s="59">
        <f t="shared" si="142"/>
        <v>360.05900046417361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23.302518551847278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23.302518551847278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304.99999999999994</v>
      </c>
      <c r="AJ154" s="13">
        <f>AI154*VLOOKUP('Données projet'!$B$10,Paramètres!$A$1:$I$89,3,0)*VLOOKUP('Données projet'!$B$10,Paramètres!$A$1:$I$89,5,0)</f>
        <v>275.96399999999994</v>
      </c>
      <c r="AK154" s="13">
        <f t="shared" ref="AK154:AK203" si="164">EXP(-1.0587+0.8836*LN(AJ154)+0.284)</f>
        <v>66.113366665488911</v>
      </c>
      <c r="AL154" s="20">
        <f t="shared" ref="AL154:AL203" si="165">(AJ154+AK154)*0.475*44/12</f>
        <v>595.7847469423931</v>
      </c>
      <c r="AM154" s="59">
        <f t="shared" si="113"/>
        <v>889.11808027572647</v>
      </c>
      <c r="AN154" s="59">
        <f ca="1">AVERAGE(OFFSET($AM$3,0,0,'Données projet'!$E$10+1,1))-AVERAGE(OFFSET($H$3,0,0,'Données projet'!$E$10+1,1))</f>
        <v>366.43676005661194</v>
      </c>
      <c r="AO154" s="59">
        <f t="shared" si="144"/>
        <v>513.80016421153414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0.76205180720228261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0.76205180720228261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0.8600000000003547</v>
      </c>
      <c r="BE154" s="13">
        <f>BD154*VLOOKUP('Données projet'!$B$11,Paramètres!$A$1:$I$89,3,0)*VLOOKUP('Données projet'!$B$11,Paramètres!$A$1:$I$89,5,0)</f>
        <v>0.38012000000015683</v>
      </c>
      <c r="BF154" s="13">
        <f t="shared" ref="BF154:BF203" si="167">EXP(-1.0587+0.8836*LN(BE154)+0.284)</f>
        <v>0.19605142963512551</v>
      </c>
      <c r="BG154" s="20">
        <f t="shared" ref="BG154:BG203" si="168">(BE154+BF154)*0.475*44/12</f>
        <v>1.0034985732814501</v>
      </c>
      <c r="BH154" s="59">
        <f t="shared" si="116"/>
        <v>294.33683190661475</v>
      </c>
      <c r="BI154" s="59">
        <f ca="1">AVERAGE(OFFSET($BH$3,0,0,'Données projet'!$E$11+1,1))-AVERAGE(OFFSET($H$3,0,0,'Données projet'!$E$11+1,1))</f>
        <v>328.58609979635901</v>
      </c>
      <c r="BJ154" s="59">
        <f t="shared" si="146"/>
        <v>432.3494365423407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43.91629553214986</v>
      </c>
      <c r="BQ154" s="21">
        <f>EXP(-LN(2)/25)*BQ153+(1-EXP(-LN(2)/25))/(LN(2)/25)*Calculateur!BL154*Calculateur!BN154*VLOOKUP('Données projet'!$B$11,Paramètres!$A$1:$I$89,3,0)*0.475*44/12</f>
        <v>1.3961405976919847</v>
      </c>
      <c r="BR154" s="21">
        <f>EXP(-LN(2)/2)*BR153+(1-EXP(-LN(2)/2))/(LN(2)/2)*BL154*BO154*VLOOKUP('Données projet'!$B$11,Paramètres!$A$1:$I$89,3,0)*0.475*44/12</f>
        <v>3.5882343615581611E-19</v>
      </c>
      <c r="BS154" s="22">
        <f t="shared" ref="BS154:BS203" si="169">SUM(BP154:BR154)</f>
        <v>45.312436129841842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19.8100000000004</v>
      </c>
      <c r="BZ154" s="13">
        <f>BY154*VLOOKUP('Données projet'!$B$12,Paramètres!$A$1:$I$89,3,0)*VLOOKUP('Données projet'!$B$12,Paramètres!$A$1:$I$89,5,0)</f>
        <v>18.851196000000382</v>
      </c>
      <c r="CA154" s="13">
        <f t="shared" ref="CA154:CA203" si="170">EXP(-1.0587+0.8836*LN(BZ154)+0.284)</f>
        <v>6.172221809210666</v>
      </c>
      <c r="CB154" s="20">
        <f t="shared" ref="CB154:CB203" si="171">(BZ154+CA154)*0.475*44/12</f>
        <v>43.582452684375909</v>
      </c>
      <c r="CC154" s="59">
        <f t="shared" si="119"/>
        <v>336.91578601770925</v>
      </c>
      <c r="CD154" s="59">
        <f ca="1">AVERAGE(OFFSET($CC$3,0,0,'Données projet'!$E$12+1,1))-AVERAGE(OFFSET($H$3,0,0,'Données projet'!$E$12+1,1))</f>
        <v>555.3092253965317</v>
      </c>
      <c r="CE154" s="59">
        <f t="shared" si="148"/>
        <v>292.20785523952651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196.10757243436373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196.10757243436373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243</v>
      </c>
      <c r="CU154" s="17">
        <f>CT154*VLOOKUP('Données projet'!$B$13,Paramètres!$A$1:$I$89,3,0)*VLOOKUP('Données projet'!$B$13,Paramètres!$A$1:$I$89,5,0)</f>
        <v>155.4228</v>
      </c>
      <c r="CV154" s="13">
        <f t="shared" ref="CV154:CV203" si="173">EXP(-1.0587+0.8836*LN(CU154)+0.284)</f>
        <v>39.808377687614154</v>
      </c>
      <c r="CW154" s="20">
        <f t="shared" ref="CW154:CW203" si="174">(CU154+CV154)*0.475*44/12</f>
        <v>340.02763447259463</v>
      </c>
      <c r="CX154" s="59">
        <f t="shared" si="122"/>
        <v>633.36096780592788</v>
      </c>
      <c r="CY154" s="59">
        <f ca="1">AVERAGE(OFFSET($CX$3,0,0,'Données projet'!$E$13+1,1))-AVERAGE(OFFSET($H$3,0,0,'Données projet'!$E$13+1,1))</f>
        <v>269.44168853803717</v>
      </c>
      <c r="CZ154" s="59">
        <f t="shared" si="150"/>
        <v>247.65158389074043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14.969779862128062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14.969779862128062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6">
        <f t="shared" si="110"/>
        <v>256.66666666666669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259.99999999999983</v>
      </c>
      <c r="O155" s="13">
        <f>N155*VLOOKUP('Données projet'!$B$9,Paramètres!$A$1:$I$89,3,0)*VLOOKUP('Données projet'!$B$9,Paramètres!$A$1:$I$89,5,0)</f>
        <v>227.13599999999985</v>
      </c>
      <c r="P155" s="13">
        <f t="shared" si="141"/>
        <v>55.662966886685133</v>
      </c>
      <c r="Q155" s="20">
        <f t="shared" si="162"/>
        <v>492.5415339943097</v>
      </c>
      <c r="R155" s="59">
        <f t="shared" si="109"/>
        <v>785.87486732764296</v>
      </c>
      <c r="S155" s="59">
        <f ca="1">AVERAGE(OFFSET($R$3,0,0,'Données projet'!$E$9+1,1))-AVERAGE(OFFSET($H$3,0,0,'Données projet'!$E$9+1,1))</f>
        <v>381.72225529388083</v>
      </c>
      <c r="T155" s="59">
        <f t="shared" si="142"/>
        <v>360.05900046417361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22.84557037617844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22.84557037617844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304.99999999999994</v>
      </c>
      <c r="AJ155" s="13">
        <f>AI155*VLOOKUP('Données projet'!$B$10,Paramètres!$A$1:$I$89,3,0)*VLOOKUP('Données projet'!$B$10,Paramètres!$A$1:$I$89,5,0)</f>
        <v>275.96399999999994</v>
      </c>
      <c r="AK155" s="13">
        <f t="shared" si="164"/>
        <v>66.113366665488911</v>
      </c>
      <c r="AL155" s="20">
        <f t="shared" si="165"/>
        <v>595.7847469423931</v>
      </c>
      <c r="AM155" s="59">
        <f t="shared" si="113"/>
        <v>889.11808027572647</v>
      </c>
      <c r="AN155" s="59">
        <f ca="1">AVERAGE(OFFSET($AM$3,0,0,'Données projet'!$E$10+1,1))-AVERAGE(OFFSET($H$3,0,0,'Données projet'!$E$10+1,1))</f>
        <v>366.43676005661194</v>
      </c>
      <c r="AO155" s="59">
        <f t="shared" si="144"/>
        <v>513.80016421153414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0.74710843606875244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0.74710843606875244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0.8600000000003547</v>
      </c>
      <c r="BE155" s="13">
        <f>BD155*VLOOKUP('Données projet'!$B$11,Paramètres!$A$1:$I$89,3,0)*VLOOKUP('Données projet'!$B$11,Paramètres!$A$1:$I$89,5,0)</f>
        <v>0.38012000000015683</v>
      </c>
      <c r="BF155" s="13">
        <f t="shared" si="167"/>
        <v>0.19605142963512551</v>
      </c>
      <c r="BG155" s="20">
        <f t="shared" si="168"/>
        <v>1.0034985732814501</v>
      </c>
      <c r="BH155" s="59">
        <f t="shared" si="116"/>
        <v>294.33683190661475</v>
      </c>
      <c r="BI155" s="59">
        <f ca="1">AVERAGE(OFFSET($BH$3,0,0,'Données projet'!$E$11+1,1))-AVERAGE(OFFSET($H$3,0,0,'Données projet'!$E$11+1,1))</f>
        <v>328.58609979635901</v>
      </c>
      <c r="BJ155" s="59">
        <f t="shared" si="146"/>
        <v>432.3494365423407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43.055123763059747</v>
      </c>
      <c r="BQ155" s="21">
        <f>EXP(-LN(2)/25)*BQ154+(1-EXP(-LN(2)/25))/(LN(2)/25)*Calculateur!BL155*Calculateur!BN155*VLOOKUP('Données projet'!$B$11,Paramètres!$A$1:$I$89,3,0)*0.475*44/12</f>
        <v>1.3579630596282544</v>
      </c>
      <c r="BR155" s="21">
        <f>EXP(-LN(2)/2)*BR154+(1-EXP(-LN(2)/2))/(LN(2)/2)*BL155*BO155*VLOOKUP('Données projet'!$B$11,Paramètres!$A$1:$I$89,3,0)*0.475*44/12</f>
        <v>2.5372648495443576E-19</v>
      </c>
      <c r="BS155" s="22">
        <f t="shared" si="169"/>
        <v>44.413086822688001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19.8100000000004</v>
      </c>
      <c r="BZ155" s="13">
        <f>BY155*VLOOKUP('Données projet'!$B$12,Paramètres!$A$1:$I$89,3,0)*VLOOKUP('Données projet'!$B$12,Paramètres!$A$1:$I$89,5,0)</f>
        <v>18.851196000000382</v>
      </c>
      <c r="CA155" s="13">
        <f t="shared" si="170"/>
        <v>6.172221809210666</v>
      </c>
      <c r="CB155" s="20">
        <f t="shared" si="171"/>
        <v>43.582452684375909</v>
      </c>
      <c r="CC155" s="59">
        <f t="shared" si="119"/>
        <v>336.91578601770925</v>
      </c>
      <c r="CD155" s="59">
        <f ca="1">AVERAGE(OFFSET($CC$3,0,0,'Données projet'!$E$12+1,1))-AVERAGE(OFFSET($H$3,0,0,'Données projet'!$E$12+1,1))</f>
        <v>555.3092253965317</v>
      </c>
      <c r="CE155" s="59">
        <f t="shared" si="148"/>
        <v>292.20785523952651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192.26202255273415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192.26202255273415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243</v>
      </c>
      <c r="CU155" s="17">
        <f>CT155*VLOOKUP('Données projet'!$B$13,Paramètres!$A$1:$I$89,3,0)*VLOOKUP('Données projet'!$B$13,Paramètres!$A$1:$I$89,5,0)</f>
        <v>155.4228</v>
      </c>
      <c r="CV155" s="13">
        <f t="shared" si="173"/>
        <v>39.808377687614154</v>
      </c>
      <c r="CW155" s="20">
        <f t="shared" si="174"/>
        <v>340.02763447259463</v>
      </c>
      <c r="CX155" s="59">
        <f t="shared" si="122"/>
        <v>633.36096780592788</v>
      </c>
      <c r="CY155" s="59">
        <f ca="1">AVERAGE(OFFSET($CX$3,0,0,'Données projet'!$E$13+1,1))-AVERAGE(OFFSET($H$3,0,0,'Données projet'!$E$13+1,1))</f>
        <v>269.44168853803717</v>
      </c>
      <c r="CZ155" s="59">
        <f t="shared" si="150"/>
        <v>247.65158389074043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14.676231609695868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14.676231609695868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6">
        <f t="shared" si="110"/>
        <v>256.66666666666669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259.99999999999983</v>
      </c>
      <c r="O156" s="13">
        <f>N156*VLOOKUP('Données projet'!$B$9,Paramètres!$A$1:$I$89,3,0)*VLOOKUP('Données projet'!$B$9,Paramètres!$A$1:$I$89,5,0)</f>
        <v>227.13599999999985</v>
      </c>
      <c r="P156" s="13">
        <f t="shared" si="141"/>
        <v>55.662966886685133</v>
      </c>
      <c r="Q156" s="20">
        <f t="shared" si="162"/>
        <v>492.5415339943097</v>
      </c>
      <c r="R156" s="59">
        <f t="shared" si="109"/>
        <v>785.87486732764296</v>
      </c>
      <c r="S156" s="59">
        <f ca="1">AVERAGE(OFFSET($R$3,0,0,'Données projet'!$E$9+1,1))-AVERAGE(OFFSET($H$3,0,0,'Données projet'!$E$9+1,1))</f>
        <v>381.72225529388083</v>
      </c>
      <c r="T156" s="59">
        <f t="shared" si="142"/>
        <v>360.05900046417361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22.397582675523601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22.397582675523601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304.99999999999994</v>
      </c>
      <c r="AJ156" s="13">
        <f>AI156*VLOOKUP('Données projet'!$B$10,Paramètres!$A$1:$I$89,3,0)*VLOOKUP('Données projet'!$B$10,Paramètres!$A$1:$I$89,5,0)</f>
        <v>275.96399999999994</v>
      </c>
      <c r="AK156" s="13">
        <f t="shared" si="164"/>
        <v>66.113366665488911</v>
      </c>
      <c r="AL156" s="20">
        <f t="shared" si="165"/>
        <v>595.7847469423931</v>
      </c>
      <c r="AM156" s="59">
        <f t="shared" si="113"/>
        <v>889.11808027572647</v>
      </c>
      <c r="AN156" s="59">
        <f ca="1">AVERAGE(OFFSET($AM$3,0,0,'Données projet'!$E$10+1,1))-AVERAGE(OFFSET($H$3,0,0,'Données projet'!$E$10+1,1))</f>
        <v>366.43676005661194</v>
      </c>
      <c r="AO156" s="59">
        <f t="shared" si="144"/>
        <v>513.80016421153414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0.73245809532859441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0.73245809532859441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0.8600000000003547</v>
      </c>
      <c r="BE156" s="13">
        <f>BD156*VLOOKUP('Données projet'!$B$11,Paramètres!$A$1:$I$89,3,0)*VLOOKUP('Données projet'!$B$11,Paramètres!$A$1:$I$89,5,0)</f>
        <v>0.38012000000015683</v>
      </c>
      <c r="BF156" s="13">
        <f t="shared" si="167"/>
        <v>0.19605142963512551</v>
      </c>
      <c r="BG156" s="20">
        <f t="shared" si="168"/>
        <v>1.0034985732814501</v>
      </c>
      <c r="BH156" s="59">
        <f t="shared" si="116"/>
        <v>294.33683190661475</v>
      </c>
      <c r="BI156" s="59">
        <f ca="1">AVERAGE(OFFSET($BH$3,0,0,'Données projet'!$E$11+1,1))-AVERAGE(OFFSET($H$3,0,0,'Données projet'!$E$11+1,1))</f>
        <v>328.58609979635901</v>
      </c>
      <c r="BJ156" s="59">
        <f t="shared" si="146"/>
        <v>432.3494365423407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42.210839047098581</v>
      </c>
      <c r="BQ156" s="21">
        <f>EXP(-LN(2)/25)*BQ155+(1-EXP(-LN(2)/25))/(LN(2)/25)*Calculateur!BL156*Calculateur!BN156*VLOOKUP('Données projet'!$B$11,Paramètres!$A$1:$I$89,3,0)*0.475*44/12</f>
        <v>1.320829488350546</v>
      </c>
      <c r="BR156" s="21">
        <f>EXP(-LN(2)/2)*BR155+(1-EXP(-LN(2)/2))/(LN(2)/2)*BL156*BO156*VLOOKUP('Données projet'!$B$11,Paramètres!$A$1:$I$89,3,0)*0.475*44/12</f>
        <v>1.7941171807790805E-19</v>
      </c>
      <c r="BS156" s="22">
        <f t="shared" si="169"/>
        <v>43.531668535449128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19.8100000000004</v>
      </c>
      <c r="BZ156" s="13">
        <f>BY156*VLOOKUP('Données projet'!$B$12,Paramètres!$A$1:$I$89,3,0)*VLOOKUP('Données projet'!$B$12,Paramètres!$A$1:$I$89,5,0)</f>
        <v>18.851196000000382</v>
      </c>
      <c r="CA156" s="13">
        <f t="shared" si="170"/>
        <v>6.172221809210666</v>
      </c>
      <c r="CB156" s="20">
        <f t="shared" si="171"/>
        <v>43.582452684375909</v>
      </c>
      <c r="CC156" s="59">
        <f t="shared" si="119"/>
        <v>336.91578601770925</v>
      </c>
      <c r="CD156" s="59">
        <f ca="1">AVERAGE(OFFSET($CC$3,0,0,'Données projet'!$E$12+1,1))-AVERAGE(OFFSET($H$3,0,0,'Données projet'!$E$12+1,1))</f>
        <v>555.3092253965317</v>
      </c>
      <c r="CE156" s="59">
        <f t="shared" si="148"/>
        <v>292.20785523952651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188.49188155872952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188.49188155872952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243</v>
      </c>
      <c r="CU156" s="17">
        <f>CT156*VLOOKUP('Données projet'!$B$13,Paramètres!$A$1:$I$89,3,0)*VLOOKUP('Données projet'!$B$13,Paramètres!$A$1:$I$89,5,0)</f>
        <v>155.4228</v>
      </c>
      <c r="CV156" s="13">
        <f t="shared" si="173"/>
        <v>39.808377687614154</v>
      </c>
      <c r="CW156" s="20">
        <f t="shared" si="174"/>
        <v>340.02763447259463</v>
      </c>
      <c r="CX156" s="59">
        <f t="shared" si="122"/>
        <v>633.36096780592788</v>
      </c>
      <c r="CY156" s="59">
        <f ca="1">AVERAGE(OFFSET($CX$3,0,0,'Données projet'!$E$13+1,1))-AVERAGE(OFFSET($H$3,0,0,'Données projet'!$E$13+1,1))</f>
        <v>269.44168853803717</v>
      </c>
      <c r="CZ156" s="59">
        <f t="shared" si="150"/>
        <v>247.65158389074043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14.388439659447116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14.388439659447116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6">
        <f t="shared" si="110"/>
        <v>256.66666666666669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259.99999999999983</v>
      </c>
      <c r="O157" s="13">
        <f>N157*VLOOKUP('Données projet'!$B$9,Paramètres!$A$1:$I$89,3,0)*VLOOKUP('Données projet'!$B$9,Paramètres!$A$1:$I$89,5,0)</f>
        <v>227.13599999999985</v>
      </c>
      <c r="P157" s="13">
        <f t="shared" si="141"/>
        <v>55.662966886685133</v>
      </c>
      <c r="Q157" s="20">
        <f t="shared" si="162"/>
        <v>492.5415339943097</v>
      </c>
      <c r="R157" s="59">
        <f t="shared" si="109"/>
        <v>785.87486732764296</v>
      </c>
      <c r="S157" s="59">
        <f ca="1">AVERAGE(OFFSET($R$3,0,0,'Données projet'!$E$9+1,1))-AVERAGE(OFFSET($H$3,0,0,'Données projet'!$E$9+1,1))</f>
        <v>381.72225529388083</v>
      </c>
      <c r="T157" s="59">
        <f t="shared" si="142"/>
        <v>360.05900046417361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21.958379740433088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21.958379740433088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304.99999999999994</v>
      </c>
      <c r="AJ157" s="13">
        <f>AI157*VLOOKUP('Données projet'!$B$10,Paramètres!$A$1:$I$89,3,0)*VLOOKUP('Données projet'!$B$10,Paramètres!$A$1:$I$89,5,0)</f>
        <v>275.96399999999994</v>
      </c>
      <c r="AK157" s="13">
        <f t="shared" si="164"/>
        <v>66.113366665488911</v>
      </c>
      <c r="AL157" s="20">
        <f t="shared" si="165"/>
        <v>595.7847469423931</v>
      </c>
      <c r="AM157" s="59">
        <f t="shared" si="113"/>
        <v>889.11808027572647</v>
      </c>
      <c r="AN157" s="59">
        <f ca="1">AVERAGE(OFFSET($AM$3,0,0,'Données projet'!$E$10+1,1))-AVERAGE(OFFSET($H$3,0,0,'Données projet'!$E$10+1,1))</f>
        <v>366.43676005661194</v>
      </c>
      <c r="AO157" s="59">
        <f t="shared" si="144"/>
        <v>513.80016421153414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0.71809503883452541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0.71809503883452541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0.8600000000003547</v>
      </c>
      <c r="BE157" s="13">
        <f>BD157*VLOOKUP('Données projet'!$B$11,Paramètres!$A$1:$I$89,3,0)*VLOOKUP('Données projet'!$B$11,Paramètres!$A$1:$I$89,5,0)</f>
        <v>0.38012000000015683</v>
      </c>
      <c r="BF157" s="13">
        <f t="shared" si="167"/>
        <v>0.19605142963512551</v>
      </c>
      <c r="BG157" s="20">
        <f t="shared" si="168"/>
        <v>1.0034985732814501</v>
      </c>
      <c r="BH157" s="59">
        <f t="shared" si="116"/>
        <v>294.33683190661475</v>
      </c>
      <c r="BI157" s="59">
        <f ca="1">AVERAGE(OFFSET($BH$3,0,0,'Données projet'!$E$11+1,1))-AVERAGE(OFFSET($H$3,0,0,'Données projet'!$E$11+1,1))</f>
        <v>328.58609979635901</v>
      </c>
      <c r="BJ157" s="59">
        <f t="shared" si="146"/>
        <v>432.3494365423407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41.383110239454581</v>
      </c>
      <c r="BQ157" s="21">
        <f>EXP(-LN(2)/25)*BQ156+(1-EXP(-LN(2)/25))/(LN(2)/25)*Calculateur!BL157*Calculateur!BN157*VLOOKUP('Données projet'!$B$11,Paramètres!$A$1:$I$89,3,0)*0.475*44/12</f>
        <v>1.2847113365321963</v>
      </c>
      <c r="BR157" s="21">
        <f>EXP(-LN(2)/2)*BR156+(1-EXP(-LN(2)/2))/(LN(2)/2)*BL157*BO157*VLOOKUP('Données projet'!$B$11,Paramètres!$A$1:$I$89,3,0)*0.475*44/12</f>
        <v>1.2686324247721788E-19</v>
      </c>
      <c r="BS157" s="22">
        <f t="shared" si="169"/>
        <v>42.667821575986778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19.8100000000004</v>
      </c>
      <c r="BZ157" s="13">
        <f>BY157*VLOOKUP('Données projet'!$B$12,Paramètres!$A$1:$I$89,3,0)*VLOOKUP('Données projet'!$B$12,Paramètres!$A$1:$I$89,5,0)</f>
        <v>18.851196000000382</v>
      </c>
      <c r="CA157" s="13">
        <f t="shared" si="170"/>
        <v>6.172221809210666</v>
      </c>
      <c r="CB157" s="20">
        <f t="shared" si="171"/>
        <v>43.582452684375909</v>
      </c>
      <c r="CC157" s="59">
        <f t="shared" si="119"/>
        <v>336.91578601770925</v>
      </c>
      <c r="CD157" s="59">
        <f ca="1">AVERAGE(OFFSET($CC$3,0,0,'Données projet'!$E$12+1,1))-AVERAGE(OFFSET($H$3,0,0,'Données projet'!$E$12+1,1))</f>
        <v>555.3092253965317</v>
      </c>
      <c r="CE157" s="59">
        <f t="shared" si="148"/>
        <v>292.20785523952651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184.79567073005836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184.79567073005836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243</v>
      </c>
      <c r="CU157" s="17">
        <f>CT157*VLOOKUP('Données projet'!$B$13,Paramètres!$A$1:$I$89,3,0)*VLOOKUP('Données projet'!$B$13,Paramètres!$A$1:$I$89,5,0)</f>
        <v>155.4228</v>
      </c>
      <c r="CV157" s="13">
        <f t="shared" si="173"/>
        <v>39.808377687614154</v>
      </c>
      <c r="CW157" s="20">
        <f t="shared" si="174"/>
        <v>340.02763447259463</v>
      </c>
      <c r="CX157" s="59">
        <f t="shared" si="122"/>
        <v>633.36096780592788</v>
      </c>
      <c r="CY157" s="59">
        <f ca="1">AVERAGE(OFFSET($CX$3,0,0,'Données projet'!$E$13+1,1))-AVERAGE(OFFSET($H$3,0,0,'Données projet'!$E$13+1,1))</f>
        <v>269.44168853803717</v>
      </c>
      <c r="CZ157" s="59">
        <f t="shared" si="150"/>
        <v>247.65158389074043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14.106291133806984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14.106291133806984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6">
        <f t="shared" si="110"/>
        <v>256.66666666666669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259.99999999999983</v>
      </c>
      <c r="O158" s="13">
        <f>N158*VLOOKUP('Données projet'!$B$9,Paramètres!$A$1:$I$89,3,0)*VLOOKUP('Données projet'!$B$9,Paramètres!$A$1:$I$89,5,0)</f>
        <v>227.13599999999985</v>
      </c>
      <c r="P158" s="13">
        <f t="shared" si="141"/>
        <v>55.662966886685133</v>
      </c>
      <c r="Q158" s="20">
        <f t="shared" si="162"/>
        <v>492.5415339943097</v>
      </c>
      <c r="R158" s="59">
        <f t="shared" si="109"/>
        <v>785.87486732764296</v>
      </c>
      <c r="S158" s="59">
        <f ca="1">AVERAGE(OFFSET($R$3,0,0,'Données projet'!$E$9+1,1))-AVERAGE(OFFSET($H$3,0,0,'Données projet'!$E$9+1,1))</f>
        <v>381.72225529388083</v>
      </c>
      <c r="T158" s="59">
        <f t="shared" si="142"/>
        <v>360.05900046417361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21.527789307012359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21.527789307012359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304.99999999999994</v>
      </c>
      <c r="AJ158" s="13">
        <f>AI158*VLOOKUP('Données projet'!$B$10,Paramètres!$A$1:$I$89,3,0)*VLOOKUP('Données projet'!$B$10,Paramètres!$A$1:$I$89,5,0)</f>
        <v>275.96399999999994</v>
      </c>
      <c r="AK158" s="13">
        <f t="shared" si="164"/>
        <v>66.113366665488911</v>
      </c>
      <c r="AL158" s="20">
        <f t="shared" si="165"/>
        <v>595.7847469423931</v>
      </c>
      <c r="AM158" s="59">
        <f t="shared" si="113"/>
        <v>889.11808027572647</v>
      </c>
      <c r="AN158" s="59">
        <f ca="1">AVERAGE(OFFSET($AM$3,0,0,'Données projet'!$E$10+1,1))-AVERAGE(OFFSET($H$3,0,0,'Données projet'!$E$10+1,1))</f>
        <v>366.43676005661194</v>
      </c>
      <c r="AO158" s="59">
        <f t="shared" si="144"/>
        <v>513.80016421153414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0.70401363311770571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0.70401363311770571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0.8600000000003547</v>
      </c>
      <c r="BE158" s="13">
        <f>BD158*VLOOKUP('Données projet'!$B$11,Paramètres!$A$1:$I$89,3,0)*VLOOKUP('Données projet'!$B$11,Paramètres!$A$1:$I$89,5,0)</f>
        <v>0.38012000000015683</v>
      </c>
      <c r="BF158" s="13">
        <f t="shared" si="167"/>
        <v>0.19605142963512551</v>
      </c>
      <c r="BG158" s="20">
        <f t="shared" si="168"/>
        <v>1.0034985732814501</v>
      </c>
      <c r="BH158" s="59">
        <f t="shared" si="116"/>
        <v>294.33683190661475</v>
      </c>
      <c r="BI158" s="59">
        <f ca="1">AVERAGE(OFFSET($BH$3,0,0,'Données projet'!$E$11+1,1))-AVERAGE(OFFSET($H$3,0,0,'Données projet'!$E$11+1,1))</f>
        <v>328.58609979635901</v>
      </c>
      <c r="BJ158" s="59">
        <f t="shared" si="146"/>
        <v>432.3494365423407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40.571612688863759</v>
      </c>
      <c r="BQ158" s="21">
        <f>EXP(-LN(2)/25)*BQ157+(1-EXP(-LN(2)/25))/(LN(2)/25)*Calculateur!BL158*Calculateur!BN158*VLOOKUP('Données projet'!$B$11,Paramètres!$A$1:$I$89,3,0)*0.475*44/12</f>
        <v>1.2495808374746904</v>
      </c>
      <c r="BR158" s="21">
        <f>EXP(-LN(2)/2)*BR157+(1-EXP(-LN(2)/2))/(LN(2)/2)*BL158*BO158*VLOOKUP('Données projet'!$B$11,Paramètres!$A$1:$I$89,3,0)*0.475*44/12</f>
        <v>8.9705859038954026E-20</v>
      </c>
      <c r="BS158" s="22">
        <f t="shared" si="169"/>
        <v>41.821193526338448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19.8100000000004</v>
      </c>
      <c r="BZ158" s="13">
        <f>BY158*VLOOKUP('Données projet'!$B$12,Paramètres!$A$1:$I$89,3,0)*VLOOKUP('Données projet'!$B$12,Paramètres!$A$1:$I$89,5,0)</f>
        <v>18.851196000000382</v>
      </c>
      <c r="CA158" s="13">
        <f t="shared" si="170"/>
        <v>6.172221809210666</v>
      </c>
      <c r="CB158" s="20">
        <f t="shared" si="171"/>
        <v>43.582452684375909</v>
      </c>
      <c r="CC158" s="59">
        <f t="shared" si="119"/>
        <v>336.91578601770925</v>
      </c>
      <c r="CD158" s="59">
        <f ca="1">AVERAGE(OFFSET($CC$3,0,0,'Données projet'!$E$12+1,1))-AVERAGE(OFFSET($H$3,0,0,'Données projet'!$E$12+1,1))</f>
        <v>555.3092253965317</v>
      </c>
      <c r="CE158" s="59">
        <f t="shared" si="148"/>
        <v>292.20785523952651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181.17194034127147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181.17194034127147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243</v>
      </c>
      <c r="CU158" s="17">
        <f>CT158*VLOOKUP('Données projet'!$B$13,Paramètres!$A$1:$I$89,3,0)*VLOOKUP('Données projet'!$B$13,Paramètres!$A$1:$I$89,5,0)</f>
        <v>155.4228</v>
      </c>
      <c r="CV158" s="13">
        <f t="shared" si="173"/>
        <v>39.808377687614154</v>
      </c>
      <c r="CW158" s="20">
        <f t="shared" si="174"/>
        <v>340.02763447259463</v>
      </c>
      <c r="CX158" s="59">
        <f t="shared" si="122"/>
        <v>633.36096780592788</v>
      </c>
      <c r="CY158" s="59">
        <f ca="1">AVERAGE(OFFSET($CX$3,0,0,'Données projet'!$E$13+1,1))-AVERAGE(OFFSET($H$3,0,0,'Données projet'!$E$13+1,1))</f>
        <v>269.44168853803717</v>
      </c>
      <c r="CZ158" s="59">
        <f t="shared" si="150"/>
        <v>247.65158389074043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13.829675368661047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13.829675368661047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6">
        <f t="shared" si="110"/>
        <v>256.66666666666669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259.99999999999983</v>
      </c>
      <c r="O159" s="13">
        <f>N159*VLOOKUP('Données projet'!$B$9,Paramètres!$A$1:$I$89,3,0)*VLOOKUP('Données projet'!$B$9,Paramètres!$A$1:$I$89,5,0)</f>
        <v>227.13599999999985</v>
      </c>
      <c r="P159" s="13">
        <f t="shared" si="141"/>
        <v>55.662966886685133</v>
      </c>
      <c r="Q159" s="20">
        <f t="shared" si="162"/>
        <v>492.5415339943097</v>
      </c>
      <c r="R159" s="59">
        <f t="shared" si="109"/>
        <v>785.87486732764296</v>
      </c>
      <c r="S159" s="59">
        <f ca="1">AVERAGE(OFFSET($R$3,0,0,'Données projet'!$E$9+1,1))-AVERAGE(OFFSET($H$3,0,0,'Données projet'!$E$9+1,1))</f>
        <v>381.72225529388083</v>
      </c>
      <c r="T159" s="59">
        <f t="shared" si="142"/>
        <v>360.05900046417361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21.105642489356779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21.105642489356779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304.99999999999994</v>
      </c>
      <c r="AJ159" s="13">
        <f>AI159*VLOOKUP('Données projet'!$B$10,Paramètres!$A$1:$I$89,3,0)*VLOOKUP('Données projet'!$B$10,Paramètres!$A$1:$I$89,5,0)</f>
        <v>275.96399999999994</v>
      </c>
      <c r="AK159" s="13">
        <f t="shared" si="164"/>
        <v>66.113366665488911</v>
      </c>
      <c r="AL159" s="20">
        <f t="shared" si="165"/>
        <v>595.7847469423931</v>
      </c>
      <c r="AM159" s="59">
        <f t="shared" si="113"/>
        <v>889.11808027572647</v>
      </c>
      <c r="AN159" s="59">
        <f ca="1">AVERAGE(OFFSET($AM$3,0,0,'Données projet'!$E$10+1,1))-AVERAGE(OFFSET($H$3,0,0,'Données projet'!$E$10+1,1))</f>
        <v>366.43676005661194</v>
      </c>
      <c r="AO159" s="59">
        <f t="shared" si="144"/>
        <v>513.80016421153414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0.69020835517818335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0.69020835517818335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0.8600000000003547</v>
      </c>
      <c r="BE159" s="13">
        <f>BD159*VLOOKUP('Données projet'!$B$11,Paramètres!$A$1:$I$89,3,0)*VLOOKUP('Données projet'!$B$11,Paramètres!$A$1:$I$89,5,0)</f>
        <v>0.38012000000015683</v>
      </c>
      <c r="BF159" s="13">
        <f t="shared" si="167"/>
        <v>0.19605142963512551</v>
      </c>
      <c r="BG159" s="20">
        <f t="shared" si="168"/>
        <v>1.0034985732814501</v>
      </c>
      <c r="BH159" s="59">
        <f t="shared" si="116"/>
        <v>294.33683190661475</v>
      </c>
      <c r="BI159" s="59">
        <f ca="1">AVERAGE(OFFSET($BH$3,0,0,'Données projet'!$E$11+1,1))-AVERAGE(OFFSET($H$3,0,0,'Données projet'!$E$11+1,1))</f>
        <v>328.58609979635901</v>
      </c>
      <c r="BJ159" s="59">
        <f t="shared" si="146"/>
        <v>432.3494365423407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39.776028110275391</v>
      </c>
      <c r="BQ159" s="21">
        <f>EXP(-LN(2)/25)*BQ158+(1-EXP(-LN(2)/25))/(LN(2)/25)*Calculateur!BL159*Calculateur!BN159*VLOOKUP('Données projet'!$B$11,Paramètres!$A$1:$I$89,3,0)*0.475*44/12</f>
        <v>1.2154109837613447</v>
      </c>
      <c r="BR159" s="21">
        <f>EXP(-LN(2)/2)*BR158+(1-EXP(-LN(2)/2))/(LN(2)/2)*BL159*BO159*VLOOKUP('Données projet'!$B$11,Paramètres!$A$1:$I$89,3,0)*0.475*44/12</f>
        <v>6.343162123860894E-20</v>
      </c>
      <c r="BS159" s="22">
        <f t="shared" si="169"/>
        <v>40.991439094036735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19.8100000000004</v>
      </c>
      <c r="BZ159" s="13">
        <f>BY159*VLOOKUP('Données projet'!$B$12,Paramètres!$A$1:$I$89,3,0)*VLOOKUP('Données projet'!$B$12,Paramètres!$A$1:$I$89,5,0)</f>
        <v>18.851196000000382</v>
      </c>
      <c r="CA159" s="13">
        <f t="shared" si="170"/>
        <v>6.172221809210666</v>
      </c>
      <c r="CB159" s="20">
        <f t="shared" si="171"/>
        <v>43.582452684375909</v>
      </c>
      <c r="CC159" s="59">
        <f t="shared" si="119"/>
        <v>336.91578601770925</v>
      </c>
      <c r="CD159" s="59">
        <f ca="1">AVERAGE(OFFSET($CC$3,0,0,'Données projet'!$E$12+1,1))-AVERAGE(OFFSET($H$3,0,0,'Données projet'!$E$12+1,1))</f>
        <v>555.3092253965317</v>
      </c>
      <c r="CE159" s="59">
        <f t="shared" si="148"/>
        <v>292.20785523952651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177.61926909515137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177.61926909515137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243</v>
      </c>
      <c r="CU159" s="17">
        <f>CT159*VLOOKUP('Données projet'!$B$13,Paramètres!$A$1:$I$89,3,0)*VLOOKUP('Données projet'!$B$13,Paramètres!$A$1:$I$89,5,0)</f>
        <v>155.4228</v>
      </c>
      <c r="CV159" s="13">
        <f t="shared" si="173"/>
        <v>39.808377687614154</v>
      </c>
      <c r="CW159" s="20">
        <f t="shared" si="174"/>
        <v>340.02763447259463</v>
      </c>
      <c r="CX159" s="59">
        <f t="shared" si="122"/>
        <v>633.36096780592788</v>
      </c>
      <c r="CY159" s="59">
        <f ca="1">AVERAGE(OFFSET($CX$3,0,0,'Données projet'!$E$13+1,1))-AVERAGE(OFFSET($H$3,0,0,'Données projet'!$E$13+1,1))</f>
        <v>269.44168853803717</v>
      </c>
      <c r="CZ159" s="59">
        <f t="shared" si="150"/>
        <v>247.65158389074043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13.558483869950665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13.558483869950665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6">
        <f t="shared" si="110"/>
        <v>256.66666666666669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259.99999999999983</v>
      </c>
      <c r="O160" s="13">
        <f>N160*VLOOKUP('Données projet'!$B$9,Paramètres!$A$1:$I$89,3,0)*VLOOKUP('Données projet'!$B$9,Paramètres!$A$1:$I$89,5,0)</f>
        <v>227.13599999999985</v>
      </c>
      <c r="P160" s="13">
        <f t="shared" si="141"/>
        <v>55.662966886685133</v>
      </c>
      <c r="Q160" s="20">
        <f t="shared" si="162"/>
        <v>492.5415339943097</v>
      </c>
      <c r="R160" s="59">
        <f t="shared" si="109"/>
        <v>785.87486732764296</v>
      </c>
      <c r="S160" s="59">
        <f ca="1">AVERAGE(OFFSET($R$3,0,0,'Données projet'!$E$9+1,1))-AVERAGE(OFFSET($H$3,0,0,'Données projet'!$E$9+1,1))</f>
        <v>381.72225529388083</v>
      </c>
      <c r="T160" s="59">
        <f t="shared" si="142"/>
        <v>360.05900046417361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20.691773713311292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20.691773713311292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304.99999999999994</v>
      </c>
      <c r="AJ160" s="13">
        <f>AI160*VLOOKUP('Données projet'!$B$10,Paramètres!$A$1:$I$89,3,0)*VLOOKUP('Données projet'!$B$10,Paramètres!$A$1:$I$89,5,0)</f>
        <v>275.96399999999994</v>
      </c>
      <c r="AK160" s="13">
        <f t="shared" si="164"/>
        <v>66.113366665488911</v>
      </c>
      <c r="AL160" s="20">
        <f t="shared" si="165"/>
        <v>595.7847469423931</v>
      </c>
      <c r="AM160" s="59">
        <f t="shared" si="113"/>
        <v>889.11808027572647</v>
      </c>
      <c r="AN160" s="59">
        <f ca="1">AVERAGE(OFFSET($AM$3,0,0,'Données projet'!$E$10+1,1))-AVERAGE(OFFSET($H$3,0,0,'Données projet'!$E$10+1,1))</f>
        <v>366.43676005661194</v>
      </c>
      <c r="AO160" s="59">
        <f t="shared" si="144"/>
        <v>513.80016421153414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0.67667379031866692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0.67667379031866692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0.8600000000003547</v>
      </c>
      <c r="BE160" s="13">
        <f>BD160*VLOOKUP('Données projet'!$B$11,Paramètres!$A$1:$I$89,3,0)*VLOOKUP('Données projet'!$B$11,Paramètres!$A$1:$I$89,5,0)</f>
        <v>0.38012000000015683</v>
      </c>
      <c r="BF160" s="13">
        <f t="shared" si="167"/>
        <v>0.19605142963512551</v>
      </c>
      <c r="BG160" s="20">
        <f t="shared" si="168"/>
        <v>1.0034985732814501</v>
      </c>
      <c r="BH160" s="59">
        <f t="shared" si="116"/>
        <v>294.33683190661475</v>
      </c>
      <c r="BI160" s="59">
        <f ca="1">AVERAGE(OFFSET($BH$3,0,0,'Données projet'!$E$11+1,1))-AVERAGE(OFFSET($H$3,0,0,'Données projet'!$E$11+1,1))</f>
        <v>328.58609979635901</v>
      </c>
      <c r="BJ160" s="59">
        <f t="shared" si="146"/>
        <v>432.3494365423407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38.996044460014467</v>
      </c>
      <c r="BQ160" s="21">
        <f>EXP(-LN(2)/25)*BQ159+(1-EXP(-LN(2)/25))/(LN(2)/25)*Calculateur!BL160*Calculateur!BN160*VLOOKUP('Données projet'!$B$11,Paramètres!$A$1:$I$89,3,0)*0.475*44/12</f>
        <v>1.182175506494705</v>
      </c>
      <c r="BR160" s="21">
        <f>EXP(-LN(2)/2)*BR159+(1-EXP(-LN(2)/2))/(LN(2)/2)*BL160*BO160*VLOOKUP('Données projet'!$B$11,Paramètres!$A$1:$I$89,3,0)*0.475*44/12</f>
        <v>4.4852929519477013E-20</v>
      </c>
      <c r="BS160" s="22">
        <f t="shared" si="169"/>
        <v>40.178219966509175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19.8100000000004</v>
      </c>
      <c r="BZ160" s="13">
        <f>BY160*VLOOKUP('Données projet'!$B$12,Paramètres!$A$1:$I$89,3,0)*VLOOKUP('Données projet'!$B$12,Paramètres!$A$1:$I$89,5,0)</f>
        <v>18.851196000000382</v>
      </c>
      <c r="CA160" s="13">
        <f t="shared" si="170"/>
        <v>6.172221809210666</v>
      </c>
      <c r="CB160" s="20">
        <f t="shared" si="171"/>
        <v>43.582452684375909</v>
      </c>
      <c r="CC160" s="59">
        <f t="shared" si="119"/>
        <v>336.91578601770925</v>
      </c>
      <c r="CD160" s="59">
        <f ca="1">AVERAGE(OFFSET($CC$3,0,0,'Données projet'!$E$12+1,1))-AVERAGE(OFFSET($H$3,0,0,'Données projet'!$E$12+1,1))</f>
        <v>555.3092253965317</v>
      </c>
      <c r="CE160" s="59">
        <f t="shared" si="148"/>
        <v>292.20785523952651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174.13626356525219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174.13626356525219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243</v>
      </c>
      <c r="CU160" s="17">
        <f>CT160*VLOOKUP('Données projet'!$B$13,Paramètres!$A$1:$I$89,3,0)*VLOOKUP('Données projet'!$B$13,Paramètres!$A$1:$I$89,5,0)</f>
        <v>155.4228</v>
      </c>
      <c r="CV160" s="13">
        <f t="shared" si="173"/>
        <v>39.808377687614154</v>
      </c>
      <c r="CW160" s="20">
        <f t="shared" si="174"/>
        <v>340.02763447259463</v>
      </c>
      <c r="CX160" s="59">
        <f t="shared" si="122"/>
        <v>633.36096780592788</v>
      </c>
      <c r="CY160" s="59">
        <f ca="1">AVERAGE(OFFSET($CX$3,0,0,'Données projet'!$E$13+1,1))-AVERAGE(OFFSET($H$3,0,0,'Données projet'!$E$13+1,1))</f>
        <v>269.44168853803717</v>
      </c>
      <c r="CZ160" s="59">
        <f t="shared" si="150"/>
        <v>247.65158389074043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13.292610271119512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13.292610271119512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6">
        <f t="shared" si="110"/>
        <v>256.66666666666669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259.99999999999983</v>
      </c>
      <c r="O161" s="13">
        <f>N161*VLOOKUP('Données projet'!$B$9,Paramètres!$A$1:$I$89,3,0)*VLOOKUP('Données projet'!$B$9,Paramètres!$A$1:$I$89,5,0)</f>
        <v>227.13599999999985</v>
      </c>
      <c r="P161" s="13">
        <f t="shared" si="141"/>
        <v>55.662966886685133</v>
      </c>
      <c r="Q161" s="20">
        <f t="shared" si="162"/>
        <v>492.5415339943097</v>
      </c>
      <c r="R161" s="59">
        <f t="shared" si="109"/>
        <v>785.87486732764296</v>
      </c>
      <c r="S161" s="59">
        <f ca="1">AVERAGE(OFFSET($R$3,0,0,'Données projet'!$E$9+1,1))-AVERAGE(OFFSET($H$3,0,0,'Données projet'!$E$9+1,1))</f>
        <v>381.72225529388083</v>
      </c>
      <c r="T161" s="59">
        <f t="shared" si="142"/>
        <v>360.05900046417361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20.286020651529029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20.286020651529029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304.99999999999994</v>
      </c>
      <c r="AJ161" s="13">
        <f>AI161*VLOOKUP('Données projet'!$B$10,Paramètres!$A$1:$I$89,3,0)*VLOOKUP('Données projet'!$B$10,Paramètres!$A$1:$I$89,5,0)</f>
        <v>275.96399999999994</v>
      </c>
      <c r="AK161" s="13">
        <f t="shared" si="164"/>
        <v>66.113366665488911</v>
      </c>
      <c r="AL161" s="20">
        <f t="shared" si="165"/>
        <v>595.7847469423931</v>
      </c>
      <c r="AM161" s="59">
        <f t="shared" si="113"/>
        <v>889.11808027572647</v>
      </c>
      <c r="AN161" s="59">
        <f ca="1">AVERAGE(OFFSET($AM$3,0,0,'Données projet'!$E$10+1,1))-AVERAGE(OFFSET($H$3,0,0,'Données projet'!$E$10+1,1))</f>
        <v>366.43676005661194</v>
      </c>
      <c r="AO161" s="59">
        <f t="shared" si="144"/>
        <v>513.80016421153414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0.66340463002077621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0.66340463002077621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0.8600000000003547</v>
      </c>
      <c r="BE161" s="13">
        <f>BD161*VLOOKUP('Données projet'!$B$11,Paramètres!$A$1:$I$89,3,0)*VLOOKUP('Données projet'!$B$11,Paramètres!$A$1:$I$89,5,0)</f>
        <v>0.38012000000015683</v>
      </c>
      <c r="BF161" s="13">
        <f t="shared" si="167"/>
        <v>0.19605142963512551</v>
      </c>
      <c r="BG161" s="20">
        <f t="shared" si="168"/>
        <v>1.0034985732814501</v>
      </c>
      <c r="BH161" s="59">
        <f t="shared" si="116"/>
        <v>294.33683190661475</v>
      </c>
      <c r="BI161" s="59">
        <f ca="1">AVERAGE(OFFSET($BH$3,0,0,'Données projet'!$E$11+1,1))-AVERAGE(OFFSET($H$3,0,0,'Données projet'!$E$11+1,1))</f>
        <v>328.58609979635901</v>
      </c>
      <c r="BJ161" s="59">
        <f t="shared" si="146"/>
        <v>432.3494365423407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38.231355813392106</v>
      </c>
      <c r="BQ161" s="21">
        <f>EXP(-LN(2)/25)*BQ160+(1-EXP(-LN(2)/25))/(LN(2)/25)*Calculateur!BL161*Calculateur!BN161*VLOOKUP('Données projet'!$B$11,Paramètres!$A$1:$I$89,3,0)*0.475*44/12</f>
        <v>1.1498488551016994</v>
      </c>
      <c r="BR161" s="21">
        <f>EXP(-LN(2)/2)*BR160+(1-EXP(-LN(2)/2))/(LN(2)/2)*BL161*BO161*VLOOKUP('Données projet'!$B$11,Paramètres!$A$1:$I$89,3,0)*0.475*44/12</f>
        <v>3.171581061930447E-20</v>
      </c>
      <c r="BS161" s="22">
        <f t="shared" si="169"/>
        <v>39.381204668493808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19.8100000000004</v>
      </c>
      <c r="BZ161" s="13">
        <f>BY161*VLOOKUP('Données projet'!$B$12,Paramètres!$A$1:$I$89,3,0)*VLOOKUP('Données projet'!$B$12,Paramètres!$A$1:$I$89,5,0)</f>
        <v>18.851196000000382</v>
      </c>
      <c r="CA161" s="13">
        <f t="shared" si="170"/>
        <v>6.172221809210666</v>
      </c>
      <c r="CB161" s="20">
        <f t="shared" si="171"/>
        <v>43.582452684375909</v>
      </c>
      <c r="CC161" s="59">
        <f t="shared" si="119"/>
        <v>336.91578601770925</v>
      </c>
      <c r="CD161" s="59">
        <f ca="1">AVERAGE(OFFSET($CC$3,0,0,'Données projet'!$E$12+1,1))-AVERAGE(OFFSET($H$3,0,0,'Données projet'!$E$12+1,1))</f>
        <v>555.3092253965317</v>
      </c>
      <c r="CE161" s="59">
        <f t="shared" si="148"/>
        <v>292.20785523952651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170.72155764937074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170.72155764937074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243</v>
      </c>
      <c r="CU161" s="17">
        <f>CT161*VLOOKUP('Données projet'!$B$13,Paramètres!$A$1:$I$89,3,0)*VLOOKUP('Données projet'!$B$13,Paramètres!$A$1:$I$89,5,0)</f>
        <v>155.4228</v>
      </c>
      <c r="CV161" s="13">
        <f t="shared" si="173"/>
        <v>39.808377687614154</v>
      </c>
      <c r="CW161" s="20">
        <f t="shared" si="174"/>
        <v>340.02763447259463</v>
      </c>
      <c r="CX161" s="59">
        <f t="shared" si="122"/>
        <v>633.36096780592788</v>
      </c>
      <c r="CY161" s="59">
        <f ca="1">AVERAGE(OFFSET($CX$3,0,0,'Données projet'!$E$13+1,1))-AVERAGE(OFFSET($H$3,0,0,'Données projet'!$E$13+1,1))</f>
        <v>269.44168853803717</v>
      </c>
      <c r="CZ161" s="59">
        <f t="shared" si="150"/>
        <v>247.65158389074043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13.031950291394557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13.031950291394557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6">
        <f t="shared" si="110"/>
        <v>256.66666666666669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259.99999999999983</v>
      </c>
      <c r="O162" s="13">
        <f>N162*VLOOKUP('Données projet'!$B$9,Paramètres!$A$1:$I$89,3,0)*VLOOKUP('Données projet'!$B$9,Paramètres!$A$1:$I$89,5,0)</f>
        <v>227.13599999999985</v>
      </c>
      <c r="P162" s="13">
        <f t="shared" si="141"/>
        <v>55.662966886685133</v>
      </c>
      <c r="Q162" s="20">
        <f t="shared" si="162"/>
        <v>492.5415339943097</v>
      </c>
      <c r="R162" s="59">
        <f t="shared" si="109"/>
        <v>785.87486732764296</v>
      </c>
      <c r="S162" s="59">
        <f ca="1">AVERAGE(OFFSET($R$3,0,0,'Données projet'!$E$9+1,1))-AVERAGE(OFFSET($H$3,0,0,'Données projet'!$E$9+1,1))</f>
        <v>381.72225529388083</v>
      </c>
      <c r="T162" s="59">
        <f t="shared" si="142"/>
        <v>360.05900046417361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19.888224159803386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19.888224159803386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304.99999999999994</v>
      </c>
      <c r="AJ162" s="13">
        <f>AI162*VLOOKUP('Données projet'!$B$10,Paramètres!$A$1:$I$89,3,0)*VLOOKUP('Données projet'!$B$10,Paramètres!$A$1:$I$89,5,0)</f>
        <v>275.96399999999994</v>
      </c>
      <c r="AK162" s="13">
        <f t="shared" si="164"/>
        <v>66.113366665488911</v>
      </c>
      <c r="AL162" s="20">
        <f t="shared" si="165"/>
        <v>595.7847469423931</v>
      </c>
      <c r="AM162" s="59">
        <f t="shared" si="113"/>
        <v>889.11808027572647</v>
      </c>
      <c r="AN162" s="59">
        <f ca="1">AVERAGE(OFFSET($AM$3,0,0,'Données projet'!$E$10+1,1))-AVERAGE(OFFSET($H$3,0,0,'Données projet'!$E$10+1,1))</f>
        <v>366.43676005661194</v>
      </c>
      <c r="AO162" s="59">
        <f t="shared" si="144"/>
        <v>513.80016421153414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0.65039566986293851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0.65039566986293851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0.8600000000003547</v>
      </c>
      <c r="BE162" s="13">
        <f>BD162*VLOOKUP('Données projet'!$B$11,Paramètres!$A$1:$I$89,3,0)*VLOOKUP('Données projet'!$B$11,Paramètres!$A$1:$I$89,5,0)</f>
        <v>0.38012000000015683</v>
      </c>
      <c r="BF162" s="13">
        <f t="shared" si="167"/>
        <v>0.19605142963512551</v>
      </c>
      <c r="BG162" s="20">
        <f t="shared" si="168"/>
        <v>1.0034985732814501</v>
      </c>
      <c r="BH162" s="59">
        <f t="shared" si="116"/>
        <v>294.33683190661475</v>
      </c>
      <c r="BI162" s="59">
        <f ca="1">AVERAGE(OFFSET($BH$3,0,0,'Données projet'!$E$11+1,1))-AVERAGE(OFFSET($H$3,0,0,'Données projet'!$E$11+1,1))</f>
        <v>328.58609979635901</v>
      </c>
      <c r="BJ162" s="59">
        <f t="shared" si="146"/>
        <v>432.3494365423407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37.481662244715992</v>
      </c>
      <c r="BQ162" s="21">
        <f>EXP(-LN(2)/25)*BQ161+(1-EXP(-LN(2)/25))/(LN(2)/25)*Calculateur!BL162*Calculateur!BN162*VLOOKUP('Données projet'!$B$11,Paramètres!$A$1:$I$89,3,0)*0.475*44/12</f>
        <v>1.1184061776910201</v>
      </c>
      <c r="BR162" s="21">
        <f>EXP(-LN(2)/2)*BR161+(1-EXP(-LN(2)/2))/(LN(2)/2)*BL162*BO162*VLOOKUP('Données projet'!$B$11,Paramètres!$A$1:$I$89,3,0)*0.475*44/12</f>
        <v>2.2426464759738507E-20</v>
      </c>
      <c r="BS162" s="22">
        <f t="shared" si="169"/>
        <v>38.600068422407013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19.8100000000004</v>
      </c>
      <c r="BZ162" s="13">
        <f>BY162*VLOOKUP('Données projet'!$B$12,Paramètres!$A$1:$I$89,3,0)*VLOOKUP('Données projet'!$B$12,Paramètres!$A$1:$I$89,5,0)</f>
        <v>18.851196000000382</v>
      </c>
      <c r="CA162" s="13">
        <f t="shared" si="170"/>
        <v>6.172221809210666</v>
      </c>
      <c r="CB162" s="20">
        <f t="shared" si="171"/>
        <v>43.582452684375909</v>
      </c>
      <c r="CC162" s="59">
        <f t="shared" si="119"/>
        <v>336.91578601770925</v>
      </c>
      <c r="CD162" s="59">
        <f ca="1">AVERAGE(OFFSET($CC$3,0,0,'Données projet'!$E$12+1,1))-AVERAGE(OFFSET($H$3,0,0,'Données projet'!$E$12+1,1))</f>
        <v>555.3092253965317</v>
      </c>
      <c r="CE162" s="59">
        <f t="shared" si="148"/>
        <v>292.20785523952651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167.37381203373477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167.37381203373477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243</v>
      </c>
      <c r="CU162" s="17">
        <f>CT162*VLOOKUP('Données projet'!$B$13,Paramètres!$A$1:$I$89,3,0)*VLOOKUP('Données projet'!$B$13,Paramètres!$A$1:$I$89,5,0)</f>
        <v>155.4228</v>
      </c>
      <c r="CV162" s="13">
        <f t="shared" si="173"/>
        <v>39.808377687614154</v>
      </c>
      <c r="CW162" s="20">
        <f t="shared" si="174"/>
        <v>340.02763447259463</v>
      </c>
      <c r="CX162" s="59">
        <f t="shared" si="122"/>
        <v>633.36096780592788</v>
      </c>
      <c r="CY162" s="59">
        <f ca="1">AVERAGE(OFFSET($CX$3,0,0,'Données projet'!$E$13+1,1))-AVERAGE(OFFSET($H$3,0,0,'Données projet'!$E$13+1,1))</f>
        <v>269.44168853803717</v>
      </c>
      <c r="CZ162" s="59">
        <f t="shared" si="150"/>
        <v>247.65158389074043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12.776401694885118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12.776401694885118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6">
        <f t="shared" si="110"/>
        <v>256.66666666666669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259.99999999999983</v>
      </c>
      <c r="O163" s="13">
        <f>N163*VLOOKUP('Données projet'!$B$9,Paramètres!$A$1:$I$89,3,0)*VLOOKUP('Données projet'!$B$9,Paramètres!$A$1:$I$89,5,0)</f>
        <v>227.13599999999985</v>
      </c>
      <c r="P163" s="13">
        <f t="shared" si="141"/>
        <v>55.662966886685133</v>
      </c>
      <c r="Q163" s="20">
        <f t="shared" si="162"/>
        <v>492.5415339943097</v>
      </c>
      <c r="R163" s="59">
        <f t="shared" si="109"/>
        <v>785.87486732764296</v>
      </c>
      <c r="S163" s="59">
        <f ca="1">AVERAGE(OFFSET($R$3,0,0,'Données projet'!$E$9+1,1))-AVERAGE(OFFSET($H$3,0,0,'Données projet'!$E$9+1,1))</f>
        <v>381.72225529388083</v>
      </c>
      <c r="T163" s="59">
        <f t="shared" si="142"/>
        <v>360.05900046417361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19.498228214648581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19.498228214648581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304.99999999999994</v>
      </c>
      <c r="AJ163" s="13">
        <f>AI163*VLOOKUP('Données projet'!$B$10,Paramètres!$A$1:$I$89,3,0)*VLOOKUP('Données projet'!$B$10,Paramètres!$A$1:$I$89,5,0)</f>
        <v>275.96399999999994</v>
      </c>
      <c r="AK163" s="13">
        <f t="shared" si="164"/>
        <v>66.113366665488911</v>
      </c>
      <c r="AL163" s="20">
        <f t="shared" si="165"/>
        <v>595.7847469423931</v>
      </c>
      <c r="AM163" s="59">
        <f t="shared" si="113"/>
        <v>889.11808027572647</v>
      </c>
      <c r="AN163" s="59">
        <f ca="1">AVERAGE(OFFSET($AM$3,0,0,'Données projet'!$E$10+1,1))-AVERAGE(OFFSET($H$3,0,0,'Données projet'!$E$10+1,1))</f>
        <v>366.43676005661194</v>
      </c>
      <c r="AO163" s="59">
        <f t="shared" si="144"/>
        <v>513.80016421153414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0.63764180747911381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0.63764180747911381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0.8600000000003547</v>
      </c>
      <c r="BE163" s="13">
        <f>BD163*VLOOKUP('Données projet'!$B$11,Paramètres!$A$1:$I$89,3,0)*VLOOKUP('Données projet'!$B$11,Paramètres!$A$1:$I$89,5,0)</f>
        <v>0.38012000000015683</v>
      </c>
      <c r="BF163" s="13">
        <f t="shared" si="167"/>
        <v>0.19605142963512551</v>
      </c>
      <c r="BG163" s="20">
        <f t="shared" si="168"/>
        <v>1.0034985732814501</v>
      </c>
      <c r="BH163" s="59">
        <f t="shared" si="116"/>
        <v>294.33683190661475</v>
      </c>
      <c r="BI163" s="59">
        <f ca="1">AVERAGE(OFFSET($BH$3,0,0,'Données projet'!$E$11+1,1))-AVERAGE(OFFSET($H$3,0,0,'Données projet'!$E$11+1,1))</f>
        <v>328.58609979635901</v>
      </c>
      <c r="BJ163" s="59">
        <f t="shared" si="146"/>
        <v>432.3494365423407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36.746669709653688</v>
      </c>
      <c r="BQ163" s="21">
        <f>EXP(-LN(2)/25)*BQ162+(1-EXP(-LN(2)/25))/(LN(2)/25)*Calculateur!BL163*Calculateur!BN163*VLOOKUP('Données projet'!$B$11,Paramètres!$A$1:$I$89,3,0)*0.475*44/12</f>
        <v>1.0878233019476344</v>
      </c>
      <c r="BR163" s="21">
        <f>EXP(-LN(2)/2)*BR162+(1-EXP(-LN(2)/2))/(LN(2)/2)*BL163*BO163*VLOOKUP('Données projet'!$B$11,Paramètres!$A$1:$I$89,3,0)*0.475*44/12</f>
        <v>1.5857905309652235E-20</v>
      </c>
      <c r="BS163" s="22">
        <f t="shared" si="169"/>
        <v>37.834493011601324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19.8100000000004</v>
      </c>
      <c r="BZ163" s="13">
        <f>BY163*VLOOKUP('Données projet'!$B$12,Paramètres!$A$1:$I$89,3,0)*VLOOKUP('Données projet'!$B$12,Paramètres!$A$1:$I$89,5,0)</f>
        <v>18.851196000000382</v>
      </c>
      <c r="CA163" s="13">
        <f t="shared" si="170"/>
        <v>6.172221809210666</v>
      </c>
      <c r="CB163" s="20">
        <f t="shared" si="171"/>
        <v>43.582452684375909</v>
      </c>
      <c r="CC163" s="59">
        <f t="shared" si="119"/>
        <v>336.91578601770925</v>
      </c>
      <c r="CD163" s="59">
        <f ca="1">AVERAGE(OFFSET($CC$3,0,0,'Données projet'!$E$12+1,1))-AVERAGE(OFFSET($H$3,0,0,'Données projet'!$E$12+1,1))</f>
        <v>555.3092253965317</v>
      </c>
      <c r="CE163" s="59">
        <f t="shared" si="148"/>
        <v>292.20785523952651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164.09171366769823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164.09171366769823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243</v>
      </c>
      <c r="CU163" s="17">
        <f>CT163*VLOOKUP('Données projet'!$B$13,Paramètres!$A$1:$I$89,3,0)*VLOOKUP('Données projet'!$B$13,Paramètres!$A$1:$I$89,5,0)</f>
        <v>155.4228</v>
      </c>
      <c r="CV163" s="13">
        <f t="shared" si="173"/>
        <v>39.808377687614154</v>
      </c>
      <c r="CW163" s="20">
        <f t="shared" si="174"/>
        <v>340.02763447259463</v>
      </c>
      <c r="CX163" s="59">
        <f t="shared" si="122"/>
        <v>633.36096780592788</v>
      </c>
      <c r="CY163" s="59">
        <f ca="1">AVERAGE(OFFSET($CX$3,0,0,'Données projet'!$E$13+1,1))-AVERAGE(OFFSET($H$3,0,0,'Données projet'!$E$13+1,1))</f>
        <v>269.44168853803717</v>
      </c>
      <c r="CZ163" s="59">
        <f t="shared" si="150"/>
        <v>247.65158389074043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12.525864250483977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12.525864250483977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6">
        <f t="shared" si="110"/>
        <v>256.66666666666669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259.99999999999983</v>
      </c>
      <c r="O164" s="13">
        <f>N164*VLOOKUP('Données projet'!$B$9,Paramètres!$A$1:$I$89,3,0)*VLOOKUP('Données projet'!$B$9,Paramètres!$A$1:$I$89,5,0)</f>
        <v>227.13599999999985</v>
      </c>
      <c r="P164" s="13">
        <f t="shared" si="141"/>
        <v>55.662966886685133</v>
      </c>
      <c r="Q164" s="20">
        <f t="shared" si="162"/>
        <v>492.5415339943097</v>
      </c>
      <c r="R164" s="59">
        <f t="shared" si="109"/>
        <v>785.87486732764296</v>
      </c>
      <c r="S164" s="59">
        <f ca="1">AVERAGE(OFFSET($R$3,0,0,'Données projet'!$E$9+1,1))-AVERAGE(OFFSET($H$3,0,0,'Données projet'!$E$9+1,1))</f>
        <v>381.72225529388083</v>
      </c>
      <c r="T164" s="59">
        <f t="shared" si="142"/>
        <v>360.05900046417361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19.115879852104221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19.115879852104221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304.99999999999994</v>
      </c>
      <c r="AJ164" s="13">
        <f>AI164*VLOOKUP('Données projet'!$B$10,Paramètres!$A$1:$I$89,3,0)*VLOOKUP('Données projet'!$B$10,Paramètres!$A$1:$I$89,5,0)</f>
        <v>275.96399999999994</v>
      </c>
      <c r="AK164" s="13">
        <f t="shared" si="164"/>
        <v>66.113366665488911</v>
      </c>
      <c r="AL164" s="20">
        <f t="shared" si="165"/>
        <v>595.7847469423931</v>
      </c>
      <c r="AM164" s="59">
        <f t="shared" si="113"/>
        <v>889.11808027572647</v>
      </c>
      <c r="AN164" s="59">
        <f ca="1">AVERAGE(OFFSET($AM$3,0,0,'Données projet'!$E$10+1,1))-AVERAGE(OFFSET($H$3,0,0,'Données projet'!$E$10+1,1))</f>
        <v>366.43676005661194</v>
      </c>
      <c r="AO164" s="59">
        <f t="shared" si="144"/>
        <v>513.80016421153414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0.62513804055754796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0.62513804055754796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0.8600000000003547</v>
      </c>
      <c r="BE164" s="13">
        <f>BD164*VLOOKUP('Données projet'!$B$11,Paramètres!$A$1:$I$89,3,0)*VLOOKUP('Données projet'!$B$11,Paramètres!$A$1:$I$89,5,0)</f>
        <v>0.38012000000015683</v>
      </c>
      <c r="BF164" s="13">
        <f t="shared" si="167"/>
        <v>0.19605142963512551</v>
      </c>
      <c r="BG164" s="20">
        <f t="shared" si="168"/>
        <v>1.0034985732814501</v>
      </c>
      <c r="BH164" s="59">
        <f t="shared" si="116"/>
        <v>294.33683190661475</v>
      </c>
      <c r="BI164" s="59">
        <f ca="1">AVERAGE(OFFSET($BH$3,0,0,'Données projet'!$E$11+1,1))-AVERAGE(OFFSET($H$3,0,0,'Données projet'!$E$11+1,1))</f>
        <v>328.58609979635901</v>
      </c>
      <c r="BJ164" s="59">
        <f t="shared" si="146"/>
        <v>432.3494365423407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36.026089929902774</v>
      </c>
      <c r="BQ164" s="21">
        <f>EXP(-LN(2)/25)*BQ163+(1-EXP(-LN(2)/25))/(LN(2)/25)*Calculateur!BL164*Calculateur!BN164*VLOOKUP('Données projet'!$B$11,Paramètres!$A$1:$I$89,3,0)*0.475*44/12</f>
        <v>1.0580767165497351</v>
      </c>
      <c r="BR164" s="21">
        <f>EXP(-LN(2)/2)*BR163+(1-EXP(-LN(2)/2))/(LN(2)/2)*BL164*BO164*VLOOKUP('Données projet'!$B$11,Paramètres!$A$1:$I$89,3,0)*0.475*44/12</f>
        <v>1.1213232379869253E-20</v>
      </c>
      <c r="BS164" s="22">
        <f t="shared" si="169"/>
        <v>37.084166646452509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19.8100000000004</v>
      </c>
      <c r="BZ164" s="13">
        <f>BY164*VLOOKUP('Données projet'!$B$12,Paramètres!$A$1:$I$89,3,0)*VLOOKUP('Données projet'!$B$12,Paramètres!$A$1:$I$89,5,0)</f>
        <v>18.851196000000382</v>
      </c>
      <c r="CA164" s="13">
        <f t="shared" si="170"/>
        <v>6.172221809210666</v>
      </c>
      <c r="CB164" s="20">
        <f t="shared" si="171"/>
        <v>43.582452684375909</v>
      </c>
      <c r="CC164" s="59">
        <f t="shared" si="119"/>
        <v>336.91578601770925</v>
      </c>
      <c r="CD164" s="59">
        <f ca="1">AVERAGE(OFFSET($CC$3,0,0,'Données projet'!$E$12+1,1))-AVERAGE(OFFSET($H$3,0,0,'Données projet'!$E$12+1,1))</f>
        <v>555.3092253965317</v>
      </c>
      <c r="CE164" s="59">
        <f t="shared" si="148"/>
        <v>292.20785523952651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160.87397524873734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160.87397524873734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243</v>
      </c>
      <c r="CU164" s="17">
        <f>CT164*VLOOKUP('Données projet'!$B$13,Paramètres!$A$1:$I$89,3,0)*VLOOKUP('Données projet'!$B$13,Paramètres!$A$1:$I$89,5,0)</f>
        <v>155.4228</v>
      </c>
      <c r="CV164" s="13">
        <f t="shared" si="173"/>
        <v>39.808377687614154</v>
      </c>
      <c r="CW164" s="20">
        <f t="shared" si="174"/>
        <v>340.02763447259463</v>
      </c>
      <c r="CX164" s="59">
        <f t="shared" si="122"/>
        <v>633.36096780592788</v>
      </c>
      <c r="CY164" s="59">
        <f ca="1">AVERAGE(OFFSET($CX$3,0,0,'Données projet'!$E$13+1,1))-AVERAGE(OFFSET($H$3,0,0,'Données projet'!$E$13+1,1))</f>
        <v>269.44168853803717</v>
      </c>
      <c r="CZ164" s="59">
        <f t="shared" si="150"/>
        <v>247.65158389074043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12.280239692554789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12.280239692554789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6">
        <f t="shared" si="110"/>
        <v>256.66666666666669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259.99999999999983</v>
      </c>
      <c r="O165" s="13">
        <f>N165*VLOOKUP('Données projet'!$B$9,Paramètres!$A$1:$I$89,3,0)*VLOOKUP('Données projet'!$B$9,Paramètres!$A$1:$I$89,5,0)</f>
        <v>227.13599999999985</v>
      </c>
      <c r="P165" s="13">
        <f t="shared" si="141"/>
        <v>55.662966886685133</v>
      </c>
      <c r="Q165" s="20">
        <f t="shared" si="162"/>
        <v>492.5415339943097</v>
      </c>
      <c r="R165" s="59">
        <f t="shared" si="109"/>
        <v>785.87486732764296</v>
      </c>
      <c r="S165" s="59">
        <f ca="1">AVERAGE(OFFSET($R$3,0,0,'Données projet'!$E$9+1,1))-AVERAGE(OFFSET($H$3,0,0,'Données projet'!$E$9+1,1))</f>
        <v>381.72225529388083</v>
      </c>
      <c r="T165" s="59">
        <f t="shared" si="142"/>
        <v>360.05900046417361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18.741029107739884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18.741029107739884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304.99999999999994</v>
      </c>
      <c r="AJ165" s="13">
        <f>AI165*VLOOKUP('Données projet'!$B$10,Paramètres!$A$1:$I$89,3,0)*VLOOKUP('Données projet'!$B$10,Paramètres!$A$1:$I$89,5,0)</f>
        <v>275.96399999999994</v>
      </c>
      <c r="AK165" s="13">
        <f t="shared" si="164"/>
        <v>66.113366665488911</v>
      </c>
      <c r="AL165" s="20">
        <f t="shared" si="165"/>
        <v>595.7847469423931</v>
      </c>
      <c r="AM165" s="59">
        <f t="shared" si="113"/>
        <v>889.11808027572647</v>
      </c>
      <c r="AN165" s="59">
        <f ca="1">AVERAGE(OFFSET($AM$3,0,0,'Données projet'!$E$10+1,1))-AVERAGE(OFFSET($H$3,0,0,'Données projet'!$E$10+1,1))</f>
        <v>366.43676005661194</v>
      </c>
      <c r="AO165" s="59">
        <f t="shared" si="144"/>
        <v>513.80016421153414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0.61287946487876932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0.61287946487876932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0.8600000000003547</v>
      </c>
      <c r="BE165" s="13">
        <f>BD165*VLOOKUP('Données projet'!$B$11,Paramètres!$A$1:$I$89,3,0)*VLOOKUP('Données projet'!$B$11,Paramètres!$A$1:$I$89,5,0)</f>
        <v>0.38012000000015683</v>
      </c>
      <c r="BF165" s="13">
        <f t="shared" si="167"/>
        <v>0.19605142963512551</v>
      </c>
      <c r="BG165" s="20">
        <f t="shared" si="168"/>
        <v>1.0034985732814501</v>
      </c>
      <c r="BH165" s="59">
        <f t="shared" si="116"/>
        <v>294.33683190661475</v>
      </c>
      <c r="BI165" s="59">
        <f ca="1">AVERAGE(OFFSET($BH$3,0,0,'Données projet'!$E$11+1,1))-AVERAGE(OFFSET($H$3,0,0,'Données projet'!$E$11+1,1))</f>
        <v>328.58609979635901</v>
      </c>
      <c r="BJ165" s="59">
        <f t="shared" si="146"/>
        <v>432.3494365423407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35.319640280122513</v>
      </c>
      <c r="BQ165" s="21">
        <f>EXP(-LN(2)/25)*BQ164+(1-EXP(-LN(2)/25))/(LN(2)/25)*Calculateur!BL165*Calculateur!BN165*VLOOKUP('Données projet'!$B$11,Paramètres!$A$1:$I$89,3,0)*0.475*44/12</f>
        <v>1.0291435530938464</v>
      </c>
      <c r="BR165" s="21">
        <f>EXP(-LN(2)/2)*BR164+(1-EXP(-LN(2)/2))/(LN(2)/2)*BL165*BO165*VLOOKUP('Données projet'!$B$11,Paramètres!$A$1:$I$89,3,0)*0.475*44/12</f>
        <v>7.9289526548261175E-21</v>
      </c>
      <c r="BS165" s="22">
        <f t="shared" si="169"/>
        <v>36.348783833216359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19.8100000000004</v>
      </c>
      <c r="BZ165" s="13">
        <f>BY165*VLOOKUP('Données projet'!$B$12,Paramètres!$A$1:$I$89,3,0)*VLOOKUP('Données projet'!$B$12,Paramètres!$A$1:$I$89,5,0)</f>
        <v>18.851196000000382</v>
      </c>
      <c r="CA165" s="13">
        <f t="shared" si="170"/>
        <v>6.172221809210666</v>
      </c>
      <c r="CB165" s="20">
        <f t="shared" si="171"/>
        <v>43.582452684375909</v>
      </c>
      <c r="CC165" s="59">
        <f t="shared" si="119"/>
        <v>336.91578601770925</v>
      </c>
      <c r="CD165" s="59">
        <f ca="1">AVERAGE(OFFSET($CC$3,0,0,'Données projet'!$E$12+1,1))-AVERAGE(OFFSET($H$3,0,0,'Données projet'!$E$12+1,1))</f>
        <v>555.3092253965317</v>
      </c>
      <c r="CE165" s="59">
        <f t="shared" si="148"/>
        <v>292.20785523952651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157.71933471754562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157.71933471754562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243</v>
      </c>
      <c r="CU165" s="17">
        <f>CT165*VLOOKUP('Données projet'!$B$13,Paramètres!$A$1:$I$89,3,0)*VLOOKUP('Données projet'!$B$13,Paramètres!$A$1:$I$89,5,0)</f>
        <v>155.4228</v>
      </c>
      <c r="CV165" s="13">
        <f t="shared" si="173"/>
        <v>39.808377687614154</v>
      </c>
      <c r="CW165" s="20">
        <f t="shared" si="174"/>
        <v>340.02763447259463</v>
      </c>
      <c r="CX165" s="59">
        <f t="shared" si="122"/>
        <v>633.36096780592788</v>
      </c>
      <c r="CY165" s="59">
        <f ca="1">AVERAGE(OFFSET($CX$3,0,0,'Données projet'!$E$13+1,1))-AVERAGE(OFFSET($H$3,0,0,'Données projet'!$E$13+1,1))</f>
        <v>269.44168853803717</v>
      </c>
      <c r="CZ165" s="59">
        <f t="shared" si="150"/>
        <v>247.65158389074043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12.039431682390406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12.039431682390406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6">
        <f t="shared" si="110"/>
        <v>256.66666666666669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259.99999999999983</v>
      </c>
      <c r="O166" s="13">
        <f>N166*VLOOKUP('Données projet'!$B$9,Paramètres!$A$1:$I$89,3,0)*VLOOKUP('Données projet'!$B$9,Paramètres!$A$1:$I$89,5,0)</f>
        <v>227.13599999999985</v>
      </c>
      <c r="P166" s="13">
        <f t="shared" si="141"/>
        <v>55.662966886685133</v>
      </c>
      <c r="Q166" s="20">
        <f t="shared" si="162"/>
        <v>492.5415339943097</v>
      </c>
      <c r="R166" s="59">
        <f t="shared" si="109"/>
        <v>785.87486732764296</v>
      </c>
      <c r="S166" s="59">
        <f ca="1">AVERAGE(OFFSET($R$3,0,0,'Données projet'!$E$9+1,1))-AVERAGE(OFFSET($H$3,0,0,'Données projet'!$E$9+1,1))</f>
        <v>381.72225529388083</v>
      </c>
      <c r="T166" s="59">
        <f t="shared" si="142"/>
        <v>360.05900046417361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18.373528957836154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18.373528957836154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304.99999999999994</v>
      </c>
      <c r="AJ166" s="13">
        <f>AI166*VLOOKUP('Données projet'!$B$10,Paramètres!$A$1:$I$89,3,0)*VLOOKUP('Données projet'!$B$10,Paramètres!$A$1:$I$89,5,0)</f>
        <v>275.96399999999994</v>
      </c>
      <c r="AK166" s="13">
        <f t="shared" si="164"/>
        <v>66.113366665488911</v>
      </c>
      <c r="AL166" s="20">
        <f t="shared" si="165"/>
        <v>595.7847469423931</v>
      </c>
      <c r="AM166" s="59">
        <f t="shared" si="113"/>
        <v>889.11808027572647</v>
      </c>
      <c r="AN166" s="59">
        <f ca="1">AVERAGE(OFFSET($AM$3,0,0,'Données projet'!$E$10+1,1))-AVERAGE(OFFSET($H$3,0,0,'Données projet'!$E$10+1,1))</f>
        <v>366.43676005661194</v>
      </c>
      <c r="AO166" s="59">
        <f t="shared" si="144"/>
        <v>513.80016421153414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0.60086127239205867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0.60086127239205867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0.8600000000003547</v>
      </c>
      <c r="BE166" s="13">
        <f>BD166*VLOOKUP('Données projet'!$B$11,Paramètres!$A$1:$I$89,3,0)*VLOOKUP('Données projet'!$B$11,Paramètres!$A$1:$I$89,5,0)</f>
        <v>0.38012000000015683</v>
      </c>
      <c r="BF166" s="13">
        <f t="shared" si="167"/>
        <v>0.19605142963512551</v>
      </c>
      <c r="BG166" s="20">
        <f t="shared" si="168"/>
        <v>1.0034985732814501</v>
      </c>
      <c r="BH166" s="59">
        <f t="shared" si="116"/>
        <v>294.33683190661475</v>
      </c>
      <c r="BI166" s="59">
        <f ca="1">AVERAGE(OFFSET($BH$3,0,0,'Données projet'!$E$11+1,1))-AVERAGE(OFFSET($H$3,0,0,'Données projet'!$E$11+1,1))</f>
        <v>328.58609979635901</v>
      </c>
      <c r="BJ166" s="59">
        <f t="shared" si="146"/>
        <v>432.3494365423407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34.627043677082703</v>
      </c>
      <c r="BQ166" s="21">
        <f>EXP(-LN(2)/25)*BQ165+(1-EXP(-LN(2)/25))/(LN(2)/25)*Calculateur!BL166*Calculateur!BN166*VLOOKUP('Données projet'!$B$11,Paramètres!$A$1:$I$89,3,0)*0.475*44/12</f>
        <v>1.001001568514188</v>
      </c>
      <c r="BR166" s="21">
        <f>EXP(-LN(2)/2)*BR165+(1-EXP(-LN(2)/2))/(LN(2)/2)*BL166*BO166*VLOOKUP('Données projet'!$B$11,Paramètres!$A$1:$I$89,3,0)*0.475*44/12</f>
        <v>5.6066161899346266E-21</v>
      </c>
      <c r="BS166" s="22">
        <f t="shared" si="169"/>
        <v>35.628045245596894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19.8100000000004</v>
      </c>
      <c r="BZ166" s="13">
        <f>BY166*VLOOKUP('Données projet'!$B$12,Paramètres!$A$1:$I$89,3,0)*VLOOKUP('Données projet'!$B$12,Paramètres!$A$1:$I$89,5,0)</f>
        <v>18.851196000000382</v>
      </c>
      <c r="CA166" s="13">
        <f t="shared" si="170"/>
        <v>6.172221809210666</v>
      </c>
      <c r="CB166" s="20">
        <f t="shared" si="171"/>
        <v>43.582452684375909</v>
      </c>
      <c r="CC166" s="59">
        <f t="shared" si="119"/>
        <v>336.91578601770925</v>
      </c>
      <c r="CD166" s="59">
        <f ca="1">AVERAGE(OFFSET($CC$3,0,0,'Données projet'!$E$12+1,1))-AVERAGE(OFFSET($H$3,0,0,'Données projet'!$E$12+1,1))</f>
        <v>555.3092253965317</v>
      </c>
      <c r="CE166" s="59">
        <f t="shared" si="148"/>
        <v>292.20785523952651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154.62655476302984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154.62655476302984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243</v>
      </c>
      <c r="CU166" s="17">
        <f>CT166*VLOOKUP('Données projet'!$B$13,Paramètres!$A$1:$I$89,3,0)*VLOOKUP('Données projet'!$B$13,Paramètres!$A$1:$I$89,5,0)</f>
        <v>155.4228</v>
      </c>
      <c r="CV166" s="13">
        <f t="shared" si="173"/>
        <v>39.808377687614154</v>
      </c>
      <c r="CW166" s="20">
        <f t="shared" si="174"/>
        <v>340.02763447259463</v>
      </c>
      <c r="CX166" s="59">
        <f t="shared" si="122"/>
        <v>633.36096780592788</v>
      </c>
      <c r="CY166" s="59">
        <f ca="1">AVERAGE(OFFSET($CX$3,0,0,'Données projet'!$E$13+1,1))-AVERAGE(OFFSET($H$3,0,0,'Données projet'!$E$13+1,1))</f>
        <v>269.44168853803717</v>
      </c>
      <c r="CZ166" s="59">
        <f t="shared" si="150"/>
        <v>247.65158389074043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11.803345770426963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11.803345770426963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6">
        <f t="shared" si="110"/>
        <v>256.66666666666669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259.99999999999983</v>
      </c>
      <c r="O167" s="13">
        <f>N167*VLOOKUP('Données projet'!$B$9,Paramètres!$A$1:$I$89,3,0)*VLOOKUP('Données projet'!$B$9,Paramètres!$A$1:$I$89,5,0)</f>
        <v>227.13599999999985</v>
      </c>
      <c r="P167" s="13">
        <f t="shared" si="141"/>
        <v>55.662966886685133</v>
      </c>
      <c r="Q167" s="20">
        <f t="shared" si="162"/>
        <v>492.5415339943097</v>
      </c>
      <c r="R167" s="59">
        <f t="shared" si="109"/>
        <v>785.87486732764296</v>
      </c>
      <c r="S167" s="59">
        <f ca="1">AVERAGE(OFFSET($R$3,0,0,'Données projet'!$E$9+1,1))-AVERAGE(OFFSET($H$3,0,0,'Données projet'!$E$9+1,1))</f>
        <v>381.72225529388083</v>
      </c>
      <c r="T167" s="59">
        <f t="shared" si="142"/>
        <v>360.05900046417361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18.013235261719078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18.013235261719078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304.99999999999994</v>
      </c>
      <c r="AJ167" s="13">
        <f>AI167*VLOOKUP('Données projet'!$B$10,Paramètres!$A$1:$I$89,3,0)*VLOOKUP('Données projet'!$B$10,Paramètres!$A$1:$I$89,5,0)</f>
        <v>275.96399999999994</v>
      </c>
      <c r="AK167" s="13">
        <f t="shared" si="164"/>
        <v>66.113366665488911</v>
      </c>
      <c r="AL167" s="20">
        <f t="shared" si="165"/>
        <v>595.7847469423931</v>
      </c>
      <c r="AM167" s="59">
        <f t="shared" si="113"/>
        <v>889.11808027572647</v>
      </c>
      <c r="AN167" s="59">
        <f ca="1">AVERAGE(OFFSET($AM$3,0,0,'Données projet'!$E$10+1,1))-AVERAGE(OFFSET($H$3,0,0,'Données projet'!$E$10+1,1))</f>
        <v>366.43676005661194</v>
      </c>
      <c r="AO167" s="59">
        <f t="shared" si="144"/>
        <v>513.80016421153414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0.58907874932963877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0.58907874932963877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0.8600000000003547</v>
      </c>
      <c r="BE167" s="13">
        <f>BD167*VLOOKUP('Données projet'!$B$11,Paramètres!$A$1:$I$89,3,0)*VLOOKUP('Données projet'!$B$11,Paramètres!$A$1:$I$89,5,0)</f>
        <v>0.38012000000015683</v>
      </c>
      <c r="BF167" s="13">
        <f t="shared" si="167"/>
        <v>0.19605142963512551</v>
      </c>
      <c r="BG167" s="20">
        <f t="shared" si="168"/>
        <v>1.0034985732814501</v>
      </c>
      <c r="BH167" s="59">
        <f t="shared" si="116"/>
        <v>294.33683190661475</v>
      </c>
      <c r="BI167" s="59">
        <f ca="1">AVERAGE(OFFSET($BH$3,0,0,'Données projet'!$E$11+1,1))-AVERAGE(OFFSET($H$3,0,0,'Données projet'!$E$11+1,1))</f>
        <v>328.58609979635901</v>
      </c>
      <c r="BJ167" s="59">
        <f t="shared" si="146"/>
        <v>432.3494365423407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33.948028470986287</v>
      </c>
      <c r="BQ167" s="21">
        <f>EXP(-LN(2)/25)*BQ166+(1-EXP(-LN(2)/25))/(LN(2)/25)*Calculateur!BL167*Calculateur!BN167*VLOOKUP('Données projet'!$B$11,Paramètres!$A$1:$I$89,3,0)*0.475*44/12</f>
        <v>0.97362912798278289</v>
      </c>
      <c r="BR167" s="21">
        <f>EXP(-LN(2)/2)*BR166+(1-EXP(-LN(2)/2))/(LN(2)/2)*BL167*BO167*VLOOKUP('Données projet'!$B$11,Paramètres!$A$1:$I$89,3,0)*0.475*44/12</f>
        <v>3.9644763274130587E-21</v>
      </c>
      <c r="BS167" s="22">
        <f t="shared" si="169"/>
        <v>34.92165759896907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19.8100000000004</v>
      </c>
      <c r="BZ167" s="13">
        <f>BY167*VLOOKUP('Données projet'!$B$12,Paramètres!$A$1:$I$89,3,0)*VLOOKUP('Données projet'!$B$12,Paramètres!$A$1:$I$89,5,0)</f>
        <v>18.851196000000382</v>
      </c>
      <c r="CA167" s="13">
        <f t="shared" si="170"/>
        <v>6.172221809210666</v>
      </c>
      <c r="CB167" s="20">
        <f t="shared" si="171"/>
        <v>43.582452684375909</v>
      </c>
      <c r="CC167" s="59">
        <f t="shared" si="119"/>
        <v>336.91578601770925</v>
      </c>
      <c r="CD167" s="59">
        <f ca="1">AVERAGE(OFFSET($CC$3,0,0,'Données projet'!$E$12+1,1))-AVERAGE(OFFSET($H$3,0,0,'Données projet'!$E$12+1,1))</f>
        <v>555.3092253965317</v>
      </c>
      <c r="CE167" s="59">
        <f t="shared" si="148"/>
        <v>292.20785523952651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151.59442233701262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151.59442233701262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243</v>
      </c>
      <c r="CU167" s="17">
        <f>CT167*VLOOKUP('Données projet'!$B$13,Paramètres!$A$1:$I$89,3,0)*VLOOKUP('Données projet'!$B$13,Paramètres!$A$1:$I$89,5,0)</f>
        <v>155.4228</v>
      </c>
      <c r="CV167" s="13">
        <f t="shared" si="173"/>
        <v>39.808377687614154</v>
      </c>
      <c r="CW167" s="20">
        <f t="shared" si="174"/>
        <v>340.02763447259463</v>
      </c>
      <c r="CX167" s="59">
        <f t="shared" si="122"/>
        <v>633.36096780592788</v>
      </c>
      <c r="CY167" s="59">
        <f ca="1">AVERAGE(OFFSET($CX$3,0,0,'Données projet'!$E$13+1,1))-AVERAGE(OFFSET($H$3,0,0,'Données projet'!$E$13+1,1))</f>
        <v>269.44168853803717</v>
      </c>
      <c r="CZ167" s="59">
        <f t="shared" si="150"/>
        <v>247.65158389074043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11.571889359198936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11.571889359198936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6">
        <f t="shared" si="110"/>
        <v>256.66666666666669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259.99999999999983</v>
      </c>
      <c r="O168" s="13">
        <f>N168*VLOOKUP('Données projet'!$B$9,Paramètres!$A$1:$I$89,3,0)*VLOOKUP('Données projet'!$B$9,Paramètres!$A$1:$I$89,5,0)</f>
        <v>227.13599999999985</v>
      </c>
      <c r="P168" s="13">
        <f t="shared" si="141"/>
        <v>55.662966886685133</v>
      </c>
      <c r="Q168" s="20">
        <f t="shared" si="162"/>
        <v>492.5415339943097</v>
      </c>
      <c r="R168" s="59">
        <f t="shared" si="109"/>
        <v>785.87486732764296</v>
      </c>
      <c r="S168" s="59">
        <f ca="1">AVERAGE(OFFSET($R$3,0,0,'Données projet'!$E$9+1,1))-AVERAGE(OFFSET($H$3,0,0,'Données projet'!$E$9+1,1))</f>
        <v>381.72225529388083</v>
      </c>
      <c r="T168" s="59">
        <f t="shared" si="142"/>
        <v>360.05900046417361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17.660006705225403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17.660006705225403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304.99999999999994</v>
      </c>
      <c r="AJ168" s="13">
        <f>AI168*VLOOKUP('Données projet'!$B$10,Paramètres!$A$1:$I$89,3,0)*VLOOKUP('Données projet'!$B$10,Paramètres!$A$1:$I$89,5,0)</f>
        <v>275.96399999999994</v>
      </c>
      <c r="AK168" s="13">
        <f t="shared" si="164"/>
        <v>66.113366665488911</v>
      </c>
      <c r="AL168" s="20">
        <f t="shared" si="165"/>
        <v>595.7847469423931</v>
      </c>
      <c r="AM168" s="59">
        <f t="shared" si="113"/>
        <v>889.11808027572647</v>
      </c>
      <c r="AN168" s="59">
        <f ca="1">AVERAGE(OFFSET($AM$3,0,0,'Données projet'!$E$10+1,1))-AVERAGE(OFFSET($H$3,0,0,'Données projet'!$E$10+1,1))</f>
        <v>366.43676005661194</v>
      </c>
      <c r="AO168" s="59">
        <f t="shared" si="144"/>
        <v>513.80016421153414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0.57752727435784346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0.57752727435784346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0.8600000000003547</v>
      </c>
      <c r="BE168" s="13">
        <f>BD168*VLOOKUP('Données projet'!$B$11,Paramètres!$A$1:$I$89,3,0)*VLOOKUP('Données projet'!$B$11,Paramètres!$A$1:$I$89,5,0)</f>
        <v>0.38012000000015683</v>
      </c>
      <c r="BF168" s="13">
        <f t="shared" si="167"/>
        <v>0.19605142963512551</v>
      </c>
      <c r="BG168" s="20">
        <f t="shared" si="168"/>
        <v>1.0034985732814501</v>
      </c>
      <c r="BH168" s="59">
        <f t="shared" si="116"/>
        <v>294.33683190661475</v>
      </c>
      <c r="BI168" s="59">
        <f ca="1">AVERAGE(OFFSET($BH$3,0,0,'Données projet'!$E$11+1,1))-AVERAGE(OFFSET($H$3,0,0,'Données projet'!$E$11+1,1))</f>
        <v>328.58609979635901</v>
      </c>
      <c r="BJ168" s="59">
        <f t="shared" si="146"/>
        <v>432.3494365423407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33.282328338923044</v>
      </c>
      <c r="BQ168" s="21">
        <f>EXP(-LN(2)/25)*BQ167+(1-EXP(-LN(2)/25))/(LN(2)/25)*Calculateur!BL168*Calculateur!BN168*VLOOKUP('Données projet'!$B$11,Paramètres!$A$1:$I$89,3,0)*0.475*44/12</f>
        <v>0.94700518827716307</v>
      </c>
      <c r="BR168" s="21">
        <f>EXP(-LN(2)/2)*BR167+(1-EXP(-LN(2)/2))/(LN(2)/2)*BL168*BO168*VLOOKUP('Données projet'!$B$11,Paramètres!$A$1:$I$89,3,0)*0.475*44/12</f>
        <v>2.8033080949673133E-21</v>
      </c>
      <c r="BS168" s="22">
        <f t="shared" si="169"/>
        <v>34.229333527200204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19.8100000000004</v>
      </c>
      <c r="BZ168" s="13">
        <f>BY168*VLOOKUP('Données projet'!$B$12,Paramètres!$A$1:$I$89,3,0)*VLOOKUP('Données projet'!$B$12,Paramètres!$A$1:$I$89,5,0)</f>
        <v>18.851196000000382</v>
      </c>
      <c r="CA168" s="13">
        <f t="shared" si="170"/>
        <v>6.172221809210666</v>
      </c>
      <c r="CB168" s="20">
        <f t="shared" si="171"/>
        <v>43.582452684375909</v>
      </c>
      <c r="CC168" s="59">
        <f t="shared" si="119"/>
        <v>336.91578601770925</v>
      </c>
      <c r="CD168" s="59">
        <f ca="1">AVERAGE(OFFSET($CC$3,0,0,'Données projet'!$E$12+1,1))-AVERAGE(OFFSET($H$3,0,0,'Données projet'!$E$12+1,1))</f>
        <v>555.3092253965317</v>
      </c>
      <c r="CE168" s="59">
        <f t="shared" si="148"/>
        <v>292.20785523952651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148.62174817845141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148.62174817845141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243</v>
      </c>
      <c r="CU168" s="17">
        <f>CT168*VLOOKUP('Données projet'!$B$13,Paramètres!$A$1:$I$89,3,0)*VLOOKUP('Données projet'!$B$13,Paramètres!$A$1:$I$89,5,0)</f>
        <v>155.4228</v>
      </c>
      <c r="CV168" s="13">
        <f t="shared" si="173"/>
        <v>39.808377687614154</v>
      </c>
      <c r="CW168" s="20">
        <f t="shared" si="174"/>
        <v>340.02763447259463</v>
      </c>
      <c r="CX168" s="59">
        <f t="shared" si="122"/>
        <v>633.36096780592788</v>
      </c>
      <c r="CY168" s="59">
        <f ca="1">AVERAGE(OFFSET($CX$3,0,0,'Données projet'!$E$13+1,1))-AVERAGE(OFFSET($H$3,0,0,'Données projet'!$E$13+1,1))</f>
        <v>269.44168853803717</v>
      </c>
      <c r="CZ168" s="59">
        <f t="shared" si="150"/>
        <v>247.65158389074043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11.344971667020619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11.344971667020619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6">
        <f t="shared" si="110"/>
        <v>256.66666666666669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259.99999999999983</v>
      </c>
      <c r="O169" s="13">
        <f>N169*VLOOKUP('Données projet'!$B$9,Paramètres!$A$1:$I$89,3,0)*VLOOKUP('Données projet'!$B$9,Paramètres!$A$1:$I$89,5,0)</f>
        <v>227.13599999999985</v>
      </c>
      <c r="P169" s="13">
        <f t="shared" si="141"/>
        <v>55.662966886685133</v>
      </c>
      <c r="Q169" s="20">
        <f t="shared" si="162"/>
        <v>492.5415339943097</v>
      </c>
      <c r="R169" s="59">
        <f t="shared" si="109"/>
        <v>785.87486732764296</v>
      </c>
      <c r="S169" s="59">
        <f ca="1">AVERAGE(OFFSET($R$3,0,0,'Données projet'!$E$9+1,1))-AVERAGE(OFFSET($H$3,0,0,'Données projet'!$E$9+1,1))</f>
        <v>381.72225529388083</v>
      </c>
      <c r="T169" s="59">
        <f t="shared" si="142"/>
        <v>360.05900046417361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17.313704745276421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17.313704745276421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304.99999999999994</v>
      </c>
      <c r="AJ169" s="13">
        <f>AI169*VLOOKUP('Données projet'!$B$10,Paramètres!$A$1:$I$89,3,0)*VLOOKUP('Données projet'!$B$10,Paramètres!$A$1:$I$89,5,0)</f>
        <v>275.96399999999994</v>
      </c>
      <c r="AK169" s="13">
        <f t="shared" si="164"/>
        <v>66.113366665488911</v>
      </c>
      <c r="AL169" s="20">
        <f t="shared" si="165"/>
        <v>595.7847469423931</v>
      </c>
      <c r="AM169" s="59">
        <f t="shared" si="113"/>
        <v>889.11808027572647</v>
      </c>
      <c r="AN169" s="59">
        <f ca="1">AVERAGE(OFFSET($AM$3,0,0,'Données projet'!$E$10+1,1))-AVERAGE(OFFSET($H$3,0,0,'Données projet'!$E$10+1,1))</f>
        <v>366.43676005661194</v>
      </c>
      <c r="AO169" s="59">
        <f t="shared" si="144"/>
        <v>513.80016421153414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0.56620231676454102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0.56620231676454102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0.8600000000003547</v>
      </c>
      <c r="BE169" s="13">
        <f>BD169*VLOOKUP('Données projet'!$B$11,Paramètres!$A$1:$I$89,3,0)*VLOOKUP('Données projet'!$B$11,Paramètres!$A$1:$I$89,5,0)</f>
        <v>0.38012000000015683</v>
      </c>
      <c r="BF169" s="13">
        <f t="shared" si="167"/>
        <v>0.19605142963512551</v>
      </c>
      <c r="BG169" s="20">
        <f t="shared" si="168"/>
        <v>1.0034985732814501</v>
      </c>
      <c r="BH169" s="59">
        <f t="shared" si="116"/>
        <v>294.33683190661475</v>
      </c>
      <c r="BI169" s="59">
        <f ca="1">AVERAGE(OFFSET($BH$3,0,0,'Données projet'!$E$11+1,1))-AVERAGE(OFFSET($H$3,0,0,'Données projet'!$E$11+1,1))</f>
        <v>328.58609979635901</v>
      </c>
      <c r="BJ169" s="59">
        <f t="shared" si="146"/>
        <v>432.3494365423407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32.629682180412573</v>
      </c>
      <c r="BQ169" s="21">
        <f>EXP(-LN(2)/25)*BQ168+(1-EXP(-LN(2)/25))/(LN(2)/25)*Calculateur!BL169*Calculateur!BN169*VLOOKUP('Données projet'!$B$11,Paramètres!$A$1:$I$89,3,0)*0.475*44/12</f>
        <v>0.92110928160288563</v>
      </c>
      <c r="BR169" s="21">
        <f>EXP(-LN(2)/2)*BR168+(1-EXP(-LN(2)/2))/(LN(2)/2)*BL169*BO169*VLOOKUP('Données projet'!$B$11,Paramètres!$A$1:$I$89,3,0)*0.475*44/12</f>
        <v>1.9822381637065294E-21</v>
      </c>
      <c r="BS169" s="22">
        <f t="shared" si="169"/>
        <v>33.550791462015461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19.8100000000004</v>
      </c>
      <c r="BZ169" s="13">
        <f>BY169*VLOOKUP('Données projet'!$B$12,Paramètres!$A$1:$I$89,3,0)*VLOOKUP('Données projet'!$B$12,Paramètres!$A$1:$I$89,5,0)</f>
        <v>18.851196000000382</v>
      </c>
      <c r="CA169" s="13">
        <f t="shared" si="170"/>
        <v>6.172221809210666</v>
      </c>
      <c r="CB169" s="20">
        <f t="shared" si="171"/>
        <v>43.582452684375909</v>
      </c>
      <c r="CC169" s="59">
        <f t="shared" si="119"/>
        <v>336.91578601770925</v>
      </c>
      <c r="CD169" s="59">
        <f ca="1">AVERAGE(OFFSET($CC$3,0,0,'Données projet'!$E$12+1,1))-AVERAGE(OFFSET($H$3,0,0,'Données projet'!$E$12+1,1))</f>
        <v>555.3092253965317</v>
      </c>
      <c r="CE169" s="59">
        <f t="shared" si="148"/>
        <v>292.20785523952651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145.70736634698738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145.70736634698738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243</v>
      </c>
      <c r="CU169" s="17">
        <f>CT169*VLOOKUP('Données projet'!$B$13,Paramètres!$A$1:$I$89,3,0)*VLOOKUP('Données projet'!$B$13,Paramètres!$A$1:$I$89,5,0)</f>
        <v>155.4228</v>
      </c>
      <c r="CV169" s="13">
        <f t="shared" si="173"/>
        <v>39.808377687614154</v>
      </c>
      <c r="CW169" s="20">
        <f t="shared" si="174"/>
        <v>340.02763447259463</v>
      </c>
      <c r="CX169" s="59">
        <f t="shared" si="122"/>
        <v>633.36096780592788</v>
      </c>
      <c r="CY169" s="59">
        <f ca="1">AVERAGE(OFFSET($CX$3,0,0,'Données projet'!$E$13+1,1))-AVERAGE(OFFSET($H$3,0,0,'Données projet'!$E$13+1,1))</f>
        <v>269.44168853803717</v>
      </c>
      <c r="CZ169" s="59">
        <f t="shared" si="150"/>
        <v>247.65158389074043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11.122503692379793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11.122503692379793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6">
        <f t="shared" si="110"/>
        <v>256.66666666666669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259.99999999999983</v>
      </c>
      <c r="O170" s="13">
        <f>N170*VLOOKUP('Données projet'!$B$9,Paramètres!$A$1:$I$89,3,0)*VLOOKUP('Données projet'!$B$9,Paramètres!$A$1:$I$89,5,0)</f>
        <v>227.13599999999985</v>
      </c>
      <c r="P170" s="13">
        <f t="shared" si="141"/>
        <v>55.662966886685133</v>
      </c>
      <c r="Q170" s="20">
        <f t="shared" si="162"/>
        <v>492.5415339943097</v>
      </c>
      <c r="R170" s="59">
        <f t="shared" si="109"/>
        <v>785.87486732764296</v>
      </c>
      <c r="S170" s="59">
        <f ca="1">AVERAGE(OFFSET($R$3,0,0,'Données projet'!$E$9+1,1))-AVERAGE(OFFSET($H$3,0,0,'Données projet'!$E$9+1,1))</f>
        <v>381.72225529388083</v>
      </c>
      <c r="T170" s="59">
        <f t="shared" si="142"/>
        <v>360.05900046417361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16.974193555538701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16.974193555538701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304.99999999999994</v>
      </c>
      <c r="AJ170" s="13">
        <f>AI170*VLOOKUP('Données projet'!$B$10,Paramètres!$A$1:$I$89,3,0)*VLOOKUP('Données projet'!$B$10,Paramètres!$A$1:$I$89,5,0)</f>
        <v>275.96399999999994</v>
      </c>
      <c r="AK170" s="13">
        <f t="shared" si="164"/>
        <v>66.113366665488911</v>
      </c>
      <c r="AL170" s="20">
        <f t="shared" si="165"/>
        <v>595.7847469423931</v>
      </c>
      <c r="AM170" s="59">
        <f t="shared" si="113"/>
        <v>889.11808027572647</v>
      </c>
      <c r="AN170" s="59">
        <f ca="1">AVERAGE(OFFSET($AM$3,0,0,'Données projet'!$E$10+1,1))-AVERAGE(OFFSET($H$3,0,0,'Données projet'!$E$10+1,1))</f>
        <v>366.43676005661194</v>
      </c>
      <c r="AO170" s="59">
        <f t="shared" si="144"/>
        <v>513.80016421153414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0.55509943468210121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0.55509943468210121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0.8600000000003547</v>
      </c>
      <c r="BE170" s="13">
        <f>BD170*VLOOKUP('Données projet'!$B$11,Paramètres!$A$1:$I$89,3,0)*VLOOKUP('Données projet'!$B$11,Paramètres!$A$1:$I$89,5,0)</f>
        <v>0.38012000000015683</v>
      </c>
      <c r="BF170" s="13">
        <f t="shared" si="167"/>
        <v>0.19605142963512551</v>
      </c>
      <c r="BG170" s="20">
        <f t="shared" si="168"/>
        <v>1.0034985732814501</v>
      </c>
      <c r="BH170" s="59">
        <f t="shared" si="116"/>
        <v>294.33683190661475</v>
      </c>
      <c r="BI170" s="59">
        <f ca="1">AVERAGE(OFFSET($BH$3,0,0,'Données projet'!$E$11+1,1))-AVERAGE(OFFSET($H$3,0,0,'Données projet'!$E$11+1,1))</f>
        <v>328.58609979635901</v>
      </c>
      <c r="BJ170" s="59">
        <f t="shared" si="146"/>
        <v>432.3494365423407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31.98983401499564</v>
      </c>
      <c r="BQ170" s="21">
        <f>EXP(-LN(2)/25)*BQ169+(1-EXP(-LN(2)/25))/(LN(2)/25)*Calculateur!BL170*Calculateur!BN170*VLOOKUP('Données projet'!$B$11,Paramètres!$A$1:$I$89,3,0)*0.475*44/12</f>
        <v>0.89592149985842284</v>
      </c>
      <c r="BR170" s="21">
        <f>EXP(-LN(2)/2)*BR169+(1-EXP(-LN(2)/2))/(LN(2)/2)*BL170*BO170*VLOOKUP('Données projet'!$B$11,Paramètres!$A$1:$I$89,3,0)*0.475*44/12</f>
        <v>1.4016540474836567E-21</v>
      </c>
      <c r="BS170" s="22">
        <f t="shared" si="169"/>
        <v>32.885755514854061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19.8100000000004</v>
      </c>
      <c r="BZ170" s="13">
        <f>BY170*VLOOKUP('Données projet'!$B$12,Paramètres!$A$1:$I$89,3,0)*VLOOKUP('Données projet'!$B$12,Paramètres!$A$1:$I$89,5,0)</f>
        <v>18.851196000000382</v>
      </c>
      <c r="CA170" s="13">
        <f t="shared" si="170"/>
        <v>6.172221809210666</v>
      </c>
      <c r="CB170" s="20">
        <f t="shared" si="171"/>
        <v>43.582452684375909</v>
      </c>
      <c r="CC170" s="59">
        <f t="shared" si="119"/>
        <v>336.91578601770925</v>
      </c>
      <c r="CD170" s="59">
        <f ca="1">AVERAGE(OFFSET($CC$3,0,0,'Données projet'!$E$12+1,1))-AVERAGE(OFFSET($H$3,0,0,'Données projet'!$E$12+1,1))</f>
        <v>555.3092253965317</v>
      </c>
      <c r="CE170" s="59">
        <f t="shared" si="148"/>
        <v>292.20785523952651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142.85013376564098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142.85013376564098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243</v>
      </c>
      <c r="CU170" s="17">
        <f>CT170*VLOOKUP('Données projet'!$B$13,Paramètres!$A$1:$I$89,3,0)*VLOOKUP('Données projet'!$B$13,Paramètres!$A$1:$I$89,5,0)</f>
        <v>155.4228</v>
      </c>
      <c r="CV170" s="13">
        <f t="shared" si="173"/>
        <v>39.808377687614154</v>
      </c>
      <c r="CW170" s="20">
        <f t="shared" si="174"/>
        <v>340.02763447259463</v>
      </c>
      <c r="CX170" s="59">
        <f t="shared" si="122"/>
        <v>633.36096780592788</v>
      </c>
      <c r="CY170" s="59">
        <f ca="1">AVERAGE(OFFSET($CX$3,0,0,'Données projet'!$E$13+1,1))-AVERAGE(OFFSET($H$3,0,0,'Données projet'!$E$13+1,1))</f>
        <v>269.44168853803717</v>
      </c>
      <c r="CZ170" s="59">
        <f t="shared" si="150"/>
        <v>247.65158389074043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10.904398179029608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10.904398179029608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6">
        <f t="shared" si="110"/>
        <v>256.66666666666669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259.99999999999983</v>
      </c>
      <c r="O171" s="13">
        <f>N171*VLOOKUP('Données projet'!$B$9,Paramètres!$A$1:$I$89,3,0)*VLOOKUP('Données projet'!$B$9,Paramètres!$A$1:$I$89,5,0)</f>
        <v>227.13599999999985</v>
      </c>
      <c r="P171" s="13">
        <f t="shared" si="141"/>
        <v>55.662966886685133</v>
      </c>
      <c r="Q171" s="20">
        <f t="shared" si="162"/>
        <v>492.5415339943097</v>
      </c>
      <c r="R171" s="59">
        <f t="shared" si="109"/>
        <v>785.87486732764296</v>
      </c>
      <c r="S171" s="59">
        <f ca="1">AVERAGE(OFFSET($R$3,0,0,'Données projet'!$E$9+1,1))-AVERAGE(OFFSET($H$3,0,0,'Données projet'!$E$9+1,1))</f>
        <v>381.72225529388083</v>
      </c>
      <c r="T171" s="59">
        <f t="shared" si="142"/>
        <v>360.05900046417361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16.641339973150359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16.641339973150359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304.99999999999994</v>
      </c>
      <c r="AJ171" s="13">
        <f>AI171*VLOOKUP('Données projet'!$B$10,Paramètres!$A$1:$I$89,3,0)*VLOOKUP('Données projet'!$B$10,Paramètres!$A$1:$I$89,5,0)</f>
        <v>275.96399999999994</v>
      </c>
      <c r="AK171" s="13">
        <f t="shared" si="164"/>
        <v>66.113366665488911</v>
      </c>
      <c r="AL171" s="20">
        <f t="shared" si="165"/>
        <v>595.7847469423931</v>
      </c>
      <c r="AM171" s="59">
        <f t="shared" si="113"/>
        <v>889.11808027572647</v>
      </c>
      <c r="AN171" s="59">
        <f ca="1">AVERAGE(OFFSET($AM$3,0,0,'Données projet'!$E$10+1,1))-AVERAGE(OFFSET($H$3,0,0,'Données projet'!$E$10+1,1))</f>
        <v>366.43676005661194</v>
      </c>
      <c r="AO171" s="59">
        <f t="shared" si="144"/>
        <v>513.80016421153414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0.54421427334520867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0.54421427334520867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0.8600000000003547</v>
      </c>
      <c r="BE171" s="13">
        <f>BD171*VLOOKUP('Données projet'!$B$11,Paramètres!$A$1:$I$89,3,0)*VLOOKUP('Données projet'!$B$11,Paramètres!$A$1:$I$89,5,0)</f>
        <v>0.38012000000015683</v>
      </c>
      <c r="BF171" s="13">
        <f t="shared" si="167"/>
        <v>0.19605142963512551</v>
      </c>
      <c r="BG171" s="20">
        <f t="shared" si="168"/>
        <v>1.0034985732814501</v>
      </c>
      <c r="BH171" s="59">
        <f t="shared" si="116"/>
        <v>294.33683190661475</v>
      </c>
      <c r="BI171" s="59">
        <f ca="1">AVERAGE(OFFSET($BH$3,0,0,'Données projet'!$E$11+1,1))-AVERAGE(OFFSET($H$3,0,0,'Données projet'!$E$11+1,1))</f>
        <v>328.58609979635901</v>
      </c>
      <c r="BJ171" s="59">
        <f t="shared" si="146"/>
        <v>432.3494365423407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31.362532881833687</v>
      </c>
      <c r="BQ171" s="21">
        <f>EXP(-LN(2)/25)*BQ170+(1-EXP(-LN(2)/25))/(LN(2)/25)*Calculateur!BL171*Calculateur!BN171*VLOOKUP('Données projet'!$B$11,Paramètres!$A$1:$I$89,3,0)*0.475*44/12</f>
        <v>0.87142247933033024</v>
      </c>
      <c r="BR171" s="21">
        <f>EXP(-LN(2)/2)*BR170+(1-EXP(-LN(2)/2))/(LN(2)/2)*BL171*BO171*VLOOKUP('Données projet'!$B$11,Paramètres!$A$1:$I$89,3,0)*0.475*44/12</f>
        <v>9.9111908185326468E-22</v>
      </c>
      <c r="BS171" s="22">
        <f t="shared" si="169"/>
        <v>32.233955361164014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19.8100000000004</v>
      </c>
      <c r="BZ171" s="13">
        <f>BY171*VLOOKUP('Données projet'!$B$12,Paramètres!$A$1:$I$89,3,0)*VLOOKUP('Données projet'!$B$12,Paramètres!$A$1:$I$89,5,0)</f>
        <v>18.851196000000382</v>
      </c>
      <c r="CA171" s="13">
        <f t="shared" si="170"/>
        <v>6.172221809210666</v>
      </c>
      <c r="CB171" s="20">
        <f t="shared" si="171"/>
        <v>43.582452684375909</v>
      </c>
      <c r="CC171" s="59">
        <f t="shared" si="119"/>
        <v>336.91578601770925</v>
      </c>
      <c r="CD171" s="59">
        <f ca="1">AVERAGE(OFFSET($CC$3,0,0,'Données projet'!$E$12+1,1))-AVERAGE(OFFSET($H$3,0,0,'Données projet'!$E$12+1,1))</f>
        <v>555.3092253965317</v>
      </c>
      <c r="CE171" s="59">
        <f t="shared" si="148"/>
        <v>292.20785523952651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140.04892977247499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140.04892977247499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243</v>
      </c>
      <c r="CU171" s="17">
        <f>CT171*VLOOKUP('Données projet'!$B$13,Paramètres!$A$1:$I$89,3,0)*VLOOKUP('Données projet'!$B$13,Paramètres!$A$1:$I$89,5,0)</f>
        <v>155.4228</v>
      </c>
      <c r="CV171" s="13">
        <f t="shared" si="173"/>
        <v>39.808377687614154</v>
      </c>
      <c r="CW171" s="20">
        <f t="shared" si="174"/>
        <v>340.02763447259463</v>
      </c>
      <c r="CX171" s="59">
        <f t="shared" si="122"/>
        <v>633.36096780592788</v>
      </c>
      <c r="CY171" s="59">
        <f ca="1">AVERAGE(OFFSET($CX$3,0,0,'Données projet'!$E$13+1,1))-AVERAGE(OFFSET($H$3,0,0,'Données projet'!$E$13+1,1))</f>
        <v>269.44168853803717</v>
      </c>
      <c r="CZ171" s="59">
        <f t="shared" si="150"/>
        <v>247.65158389074043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10.690569581764992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10.690569581764992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6">
        <f t="shared" si="110"/>
        <v>256.66666666666669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259.99999999999983</v>
      </c>
      <c r="O172" s="13">
        <f>N172*VLOOKUP('Données projet'!$B$9,Paramètres!$A$1:$I$89,3,0)*VLOOKUP('Données projet'!$B$9,Paramètres!$A$1:$I$89,5,0)</f>
        <v>227.13599999999985</v>
      </c>
      <c r="P172" s="13">
        <f t="shared" si="141"/>
        <v>55.662966886685133</v>
      </c>
      <c r="Q172" s="20">
        <f t="shared" si="162"/>
        <v>492.5415339943097</v>
      </c>
      <c r="R172" s="59">
        <f t="shared" si="109"/>
        <v>785.87486732764296</v>
      </c>
      <c r="S172" s="59">
        <f ca="1">AVERAGE(OFFSET($R$3,0,0,'Données projet'!$E$9+1,1))-AVERAGE(OFFSET($H$3,0,0,'Données projet'!$E$9+1,1))</f>
        <v>381.72225529388083</v>
      </c>
      <c r="T172" s="59">
        <f t="shared" si="142"/>
        <v>360.05900046417361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16.315013446492014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16.315013446492014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304.99999999999994</v>
      </c>
      <c r="AJ172" s="13">
        <f>AI172*VLOOKUP('Données projet'!$B$10,Paramètres!$A$1:$I$89,3,0)*VLOOKUP('Données projet'!$B$10,Paramètres!$A$1:$I$89,5,0)</f>
        <v>275.96399999999994</v>
      </c>
      <c r="AK172" s="13">
        <f t="shared" si="164"/>
        <v>66.113366665488911</v>
      </c>
      <c r="AL172" s="20">
        <f t="shared" si="165"/>
        <v>595.7847469423931</v>
      </c>
      <c r="AM172" s="59">
        <f t="shared" si="113"/>
        <v>889.11808027572647</v>
      </c>
      <c r="AN172" s="59">
        <f ca="1">AVERAGE(OFFSET($AM$3,0,0,'Données projet'!$E$10+1,1))-AVERAGE(OFFSET($H$3,0,0,'Données projet'!$E$10+1,1))</f>
        <v>366.43676005661194</v>
      </c>
      <c r="AO172" s="59">
        <f t="shared" si="144"/>
        <v>513.80016421153414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0.53354256338283967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0.53354256338283967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0.8600000000003547</v>
      </c>
      <c r="BE172" s="13">
        <f>BD172*VLOOKUP('Données projet'!$B$11,Paramètres!$A$1:$I$89,3,0)*VLOOKUP('Données projet'!$B$11,Paramètres!$A$1:$I$89,5,0)</f>
        <v>0.38012000000015683</v>
      </c>
      <c r="BF172" s="13">
        <f t="shared" si="167"/>
        <v>0.19605142963512551</v>
      </c>
      <c r="BG172" s="20">
        <f t="shared" si="168"/>
        <v>1.0034985732814501</v>
      </c>
      <c r="BH172" s="59">
        <f t="shared" si="116"/>
        <v>294.33683190661475</v>
      </c>
      <c r="BI172" s="59">
        <f ca="1">AVERAGE(OFFSET($BH$3,0,0,'Données projet'!$E$11+1,1))-AVERAGE(OFFSET($H$3,0,0,'Données projet'!$E$11+1,1))</f>
        <v>328.58609979635901</v>
      </c>
      <c r="BJ172" s="59">
        <f t="shared" si="146"/>
        <v>432.3494365423407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30.74753274127713</v>
      </c>
      <c r="BQ172" s="21">
        <f>EXP(-LN(2)/25)*BQ171+(1-EXP(-LN(2)/25))/(LN(2)/25)*Calculateur!BL172*Calculateur!BN172*VLOOKUP('Données projet'!$B$11,Paramètres!$A$1:$I$89,3,0)*0.475*44/12</f>
        <v>0.84759338580692578</v>
      </c>
      <c r="BR172" s="21">
        <f>EXP(-LN(2)/2)*BR171+(1-EXP(-LN(2)/2))/(LN(2)/2)*BL172*BO172*VLOOKUP('Données projet'!$B$11,Paramètres!$A$1:$I$89,3,0)*0.475*44/12</f>
        <v>7.0082702374182833E-22</v>
      </c>
      <c r="BS172" s="22">
        <f t="shared" si="169"/>
        <v>31.595126127084058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19.8100000000004</v>
      </c>
      <c r="BZ172" s="13">
        <f>BY172*VLOOKUP('Données projet'!$B$12,Paramètres!$A$1:$I$89,3,0)*VLOOKUP('Données projet'!$B$12,Paramètres!$A$1:$I$89,5,0)</f>
        <v>18.851196000000382</v>
      </c>
      <c r="CA172" s="13">
        <f t="shared" si="170"/>
        <v>6.172221809210666</v>
      </c>
      <c r="CB172" s="20">
        <f t="shared" si="171"/>
        <v>43.582452684375909</v>
      </c>
      <c r="CC172" s="59">
        <f t="shared" si="119"/>
        <v>336.91578601770925</v>
      </c>
      <c r="CD172" s="59">
        <f ca="1">AVERAGE(OFFSET($CC$3,0,0,'Données projet'!$E$12+1,1))-AVERAGE(OFFSET($H$3,0,0,'Données projet'!$E$12+1,1))</f>
        <v>555.3092253965317</v>
      </c>
      <c r="CE172" s="59">
        <f t="shared" si="148"/>
        <v>292.20785523952651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137.30265568104926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137.30265568104926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243</v>
      </c>
      <c r="CU172" s="17">
        <f>CT172*VLOOKUP('Données projet'!$B$13,Paramètres!$A$1:$I$89,3,0)*VLOOKUP('Données projet'!$B$13,Paramètres!$A$1:$I$89,5,0)</f>
        <v>155.4228</v>
      </c>
      <c r="CV172" s="13">
        <f t="shared" si="173"/>
        <v>39.808377687614154</v>
      </c>
      <c r="CW172" s="20">
        <f t="shared" si="174"/>
        <v>340.02763447259463</v>
      </c>
      <c r="CX172" s="59">
        <f t="shared" si="122"/>
        <v>633.36096780592788</v>
      </c>
      <c r="CY172" s="59">
        <f ca="1">AVERAGE(OFFSET($CX$3,0,0,'Données projet'!$E$13+1,1))-AVERAGE(OFFSET($H$3,0,0,'Données projet'!$E$13+1,1))</f>
        <v>269.44168853803717</v>
      </c>
      <c r="CZ172" s="59">
        <f t="shared" si="150"/>
        <v>247.65158389074043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10.480934032870168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10.480934032870168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6">
        <f t="shared" si="110"/>
        <v>256.66666666666669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259.99999999999983</v>
      </c>
      <c r="O173" s="13">
        <f>N173*VLOOKUP('Données projet'!$B$9,Paramètres!$A$1:$I$89,3,0)*VLOOKUP('Données projet'!$B$9,Paramètres!$A$1:$I$89,5,0)</f>
        <v>227.13599999999985</v>
      </c>
      <c r="P173" s="13">
        <f t="shared" si="141"/>
        <v>55.662966886685133</v>
      </c>
      <c r="Q173" s="20">
        <f t="shared" si="162"/>
        <v>492.5415339943097</v>
      </c>
      <c r="R173" s="59">
        <f t="shared" si="109"/>
        <v>785.87486732764296</v>
      </c>
      <c r="S173" s="59">
        <f ca="1">AVERAGE(OFFSET($R$3,0,0,'Données projet'!$E$9+1,1))-AVERAGE(OFFSET($H$3,0,0,'Données projet'!$E$9+1,1))</f>
        <v>381.72225529388083</v>
      </c>
      <c r="T173" s="59">
        <f t="shared" si="142"/>
        <v>360.05900046417361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15.995085983981911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15.995085983981911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304.99999999999994</v>
      </c>
      <c r="AJ173" s="13">
        <f>AI173*VLOOKUP('Données projet'!$B$10,Paramètres!$A$1:$I$89,3,0)*VLOOKUP('Données projet'!$B$10,Paramètres!$A$1:$I$89,5,0)</f>
        <v>275.96399999999994</v>
      </c>
      <c r="AK173" s="13">
        <f t="shared" si="164"/>
        <v>66.113366665488911</v>
      </c>
      <c r="AL173" s="20">
        <f t="shared" si="165"/>
        <v>595.7847469423931</v>
      </c>
      <c r="AM173" s="59">
        <f t="shared" si="113"/>
        <v>889.11808027572647</v>
      </c>
      <c r="AN173" s="59">
        <f ca="1">AVERAGE(OFFSET($AM$3,0,0,'Données projet'!$E$10+1,1))-AVERAGE(OFFSET($H$3,0,0,'Données projet'!$E$10+1,1))</f>
        <v>366.43676005661194</v>
      </c>
      <c r="AO173" s="59">
        <f t="shared" si="144"/>
        <v>513.80016421153414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0.52308011914373242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0.52308011914373242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0.8600000000003547</v>
      </c>
      <c r="BE173" s="13">
        <f>BD173*VLOOKUP('Données projet'!$B$11,Paramètres!$A$1:$I$89,3,0)*VLOOKUP('Données projet'!$B$11,Paramètres!$A$1:$I$89,5,0)</f>
        <v>0.38012000000015683</v>
      </c>
      <c r="BF173" s="13">
        <f t="shared" si="167"/>
        <v>0.19605142963512551</v>
      </c>
      <c r="BG173" s="20">
        <f t="shared" si="168"/>
        <v>1.0034985732814501</v>
      </c>
      <c r="BH173" s="59">
        <f t="shared" si="116"/>
        <v>294.33683190661475</v>
      </c>
      <c r="BI173" s="59">
        <f ca="1">AVERAGE(OFFSET($BH$3,0,0,'Données projet'!$E$11+1,1))-AVERAGE(OFFSET($H$3,0,0,'Données projet'!$E$11+1,1))</f>
        <v>328.58609979635901</v>
      </c>
      <c r="BJ173" s="59">
        <f t="shared" si="146"/>
        <v>432.3494365423407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30.144592378363839</v>
      </c>
      <c r="BQ173" s="21">
        <f>EXP(-LN(2)/25)*BQ172+(1-EXP(-LN(2)/25))/(LN(2)/25)*Calculateur!BL173*Calculateur!BN173*VLOOKUP('Données projet'!$B$11,Paramètres!$A$1:$I$89,3,0)*0.475*44/12</f>
        <v>0.82441590009903642</v>
      </c>
      <c r="BR173" s="21">
        <f>EXP(-LN(2)/2)*BR172+(1-EXP(-LN(2)/2))/(LN(2)/2)*BL173*BO173*VLOOKUP('Données projet'!$B$11,Paramètres!$A$1:$I$89,3,0)*0.475*44/12</f>
        <v>4.9555954092663234E-22</v>
      </c>
      <c r="BS173" s="22">
        <f t="shared" si="169"/>
        <v>30.969008278462876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19.8100000000004</v>
      </c>
      <c r="BZ173" s="13">
        <f>BY173*VLOOKUP('Données projet'!$B$12,Paramètres!$A$1:$I$89,3,0)*VLOOKUP('Données projet'!$B$12,Paramètres!$A$1:$I$89,5,0)</f>
        <v>18.851196000000382</v>
      </c>
      <c r="CA173" s="13">
        <f t="shared" si="170"/>
        <v>6.172221809210666</v>
      </c>
      <c r="CB173" s="20">
        <f t="shared" si="171"/>
        <v>43.582452684375909</v>
      </c>
      <c r="CC173" s="59">
        <f t="shared" si="119"/>
        <v>336.91578601770925</v>
      </c>
      <c r="CD173" s="59">
        <f ca="1">AVERAGE(OFFSET($CC$3,0,0,'Données projet'!$E$12+1,1))-AVERAGE(OFFSET($H$3,0,0,'Données projet'!$E$12+1,1))</f>
        <v>555.3092253965317</v>
      </c>
      <c r="CE173" s="59">
        <f t="shared" si="148"/>
        <v>292.20785523952651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134.61023434949459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134.61023434949459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243</v>
      </c>
      <c r="CU173" s="17">
        <f>CT173*VLOOKUP('Données projet'!$B$13,Paramètres!$A$1:$I$89,3,0)*VLOOKUP('Données projet'!$B$13,Paramètres!$A$1:$I$89,5,0)</f>
        <v>155.4228</v>
      </c>
      <c r="CV173" s="13">
        <f t="shared" si="173"/>
        <v>39.808377687614154</v>
      </c>
      <c r="CW173" s="20">
        <f t="shared" si="174"/>
        <v>340.02763447259463</v>
      </c>
      <c r="CX173" s="59">
        <f t="shared" si="122"/>
        <v>633.36096780592788</v>
      </c>
      <c r="CY173" s="59">
        <f ca="1">AVERAGE(OFFSET($CX$3,0,0,'Données projet'!$E$13+1,1))-AVERAGE(OFFSET($H$3,0,0,'Données projet'!$E$13+1,1))</f>
        <v>269.44168853803717</v>
      </c>
      <c r="CZ173" s="59">
        <f t="shared" si="150"/>
        <v>247.65158389074043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10.275409309224115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10.275409309224115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6">
        <f t="shared" si="110"/>
        <v>256.66666666666669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259.99999999999983</v>
      </c>
      <c r="O174" s="13">
        <f>N174*VLOOKUP('Données projet'!$B$9,Paramètres!$A$1:$I$89,3,0)*VLOOKUP('Données projet'!$B$9,Paramètres!$A$1:$I$89,5,0)</f>
        <v>227.13599999999985</v>
      </c>
      <c r="P174" s="13">
        <f t="shared" si="141"/>
        <v>55.662966886685133</v>
      </c>
      <c r="Q174" s="20">
        <f t="shared" si="162"/>
        <v>492.5415339943097</v>
      </c>
      <c r="R174" s="59">
        <f t="shared" si="109"/>
        <v>785.87486732764296</v>
      </c>
      <c r="S174" s="59">
        <f ca="1">AVERAGE(OFFSET($R$3,0,0,'Données projet'!$E$9+1,1))-AVERAGE(OFFSET($H$3,0,0,'Données projet'!$E$9+1,1))</f>
        <v>381.72225529388083</v>
      </c>
      <c r="T174" s="59">
        <f t="shared" si="142"/>
        <v>360.05900046417361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15.681432103875146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15.681432103875146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304.99999999999994</v>
      </c>
      <c r="AJ174" s="13">
        <f>AI174*VLOOKUP('Données projet'!$B$10,Paramètres!$A$1:$I$89,3,0)*VLOOKUP('Données projet'!$B$10,Paramètres!$A$1:$I$89,5,0)</f>
        <v>275.96399999999994</v>
      </c>
      <c r="AK174" s="13">
        <f t="shared" si="164"/>
        <v>66.113366665488911</v>
      </c>
      <c r="AL174" s="20">
        <f t="shared" si="165"/>
        <v>595.7847469423931</v>
      </c>
      <c r="AM174" s="59">
        <f t="shared" si="113"/>
        <v>889.11808027572647</v>
      </c>
      <c r="AN174" s="59">
        <f ca="1">AVERAGE(OFFSET($AM$3,0,0,'Données projet'!$E$10+1,1))-AVERAGE(OFFSET($H$3,0,0,'Données projet'!$E$10+1,1))</f>
        <v>366.43676005661194</v>
      </c>
      <c r="AO174" s="59">
        <f t="shared" si="144"/>
        <v>513.80016421153414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0.51282283705469323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0.51282283705469323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0.8600000000003547</v>
      </c>
      <c r="BE174" s="13">
        <f>BD174*VLOOKUP('Données projet'!$B$11,Paramètres!$A$1:$I$89,3,0)*VLOOKUP('Données projet'!$B$11,Paramètres!$A$1:$I$89,5,0)</f>
        <v>0.38012000000015683</v>
      </c>
      <c r="BF174" s="13">
        <f t="shared" si="167"/>
        <v>0.19605142963512551</v>
      </c>
      <c r="BG174" s="20">
        <f t="shared" si="168"/>
        <v>1.0034985732814501</v>
      </c>
      <c r="BH174" s="59">
        <f t="shared" si="116"/>
        <v>294.33683190661475</v>
      </c>
      <c r="BI174" s="59">
        <f ca="1">AVERAGE(OFFSET($BH$3,0,0,'Données projet'!$E$11+1,1))-AVERAGE(OFFSET($H$3,0,0,'Données projet'!$E$11+1,1))</f>
        <v>328.58609979635901</v>
      </c>
      <c r="BJ174" s="59">
        <f t="shared" si="146"/>
        <v>432.3494365423407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29.553475308209972</v>
      </c>
      <c r="BQ174" s="21">
        <f>EXP(-LN(2)/25)*BQ173+(1-EXP(-LN(2)/25))/(LN(2)/25)*Calculateur!BL174*Calculateur!BN174*VLOOKUP('Données projet'!$B$11,Paramètres!$A$1:$I$89,3,0)*0.475*44/12</f>
        <v>0.80187220395668035</v>
      </c>
      <c r="BR174" s="21">
        <f>EXP(-LN(2)/2)*BR173+(1-EXP(-LN(2)/2))/(LN(2)/2)*BL174*BO174*VLOOKUP('Données projet'!$B$11,Paramètres!$A$1:$I$89,3,0)*0.475*44/12</f>
        <v>3.5041351187091417E-22</v>
      </c>
      <c r="BS174" s="22">
        <f t="shared" si="169"/>
        <v>30.355347512166652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19.8100000000004</v>
      </c>
      <c r="BZ174" s="13">
        <f>BY174*VLOOKUP('Données projet'!$B$12,Paramètres!$A$1:$I$89,3,0)*VLOOKUP('Données projet'!$B$12,Paramètres!$A$1:$I$89,5,0)</f>
        <v>18.851196000000382</v>
      </c>
      <c r="CA174" s="13">
        <f t="shared" si="170"/>
        <v>6.172221809210666</v>
      </c>
      <c r="CB174" s="20">
        <f t="shared" si="171"/>
        <v>43.582452684375909</v>
      </c>
      <c r="CC174" s="59">
        <f t="shared" si="119"/>
        <v>336.91578601770925</v>
      </c>
      <c r="CD174" s="59">
        <f ca="1">AVERAGE(OFFSET($CC$3,0,0,'Données projet'!$E$12+1,1))-AVERAGE(OFFSET($H$3,0,0,'Données projet'!$E$12+1,1))</f>
        <v>555.3092253965317</v>
      </c>
      <c r="CE174" s="59">
        <f t="shared" si="148"/>
        <v>292.20785523952651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131.97060975803686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131.97060975803686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243</v>
      </c>
      <c r="CU174" s="17">
        <f>CT174*VLOOKUP('Données projet'!$B$13,Paramètres!$A$1:$I$89,3,0)*VLOOKUP('Données projet'!$B$13,Paramètres!$A$1:$I$89,5,0)</f>
        <v>155.4228</v>
      </c>
      <c r="CV174" s="13">
        <f t="shared" si="173"/>
        <v>39.808377687614154</v>
      </c>
      <c r="CW174" s="20">
        <f t="shared" si="174"/>
        <v>340.02763447259463</v>
      </c>
      <c r="CX174" s="59">
        <f t="shared" si="122"/>
        <v>633.36096780592788</v>
      </c>
      <c r="CY174" s="59">
        <f ca="1">AVERAGE(OFFSET($CX$3,0,0,'Données projet'!$E$13+1,1))-AVERAGE(OFFSET($H$3,0,0,'Données projet'!$E$13+1,1))</f>
        <v>269.44168853803717</v>
      </c>
      <c r="CZ174" s="59">
        <f t="shared" si="150"/>
        <v>247.65158389074043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10.073914800051055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10.073914800051055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6">
        <f t="shared" si="110"/>
        <v>256.66666666666669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259.99999999999983</v>
      </c>
      <c r="O175" s="13">
        <f>N175*VLOOKUP('Données projet'!$B$9,Paramètres!$A$1:$I$89,3,0)*VLOOKUP('Données projet'!$B$9,Paramètres!$A$1:$I$89,5,0)</f>
        <v>227.13599999999985</v>
      </c>
      <c r="P175" s="13">
        <f t="shared" si="141"/>
        <v>55.662966886685133</v>
      </c>
      <c r="Q175" s="20">
        <f t="shared" si="162"/>
        <v>492.5415339943097</v>
      </c>
      <c r="R175" s="59">
        <f t="shared" si="109"/>
        <v>785.87486732764296</v>
      </c>
      <c r="S175" s="59">
        <f ca="1">AVERAGE(OFFSET($R$3,0,0,'Données projet'!$E$9+1,1))-AVERAGE(OFFSET($H$3,0,0,'Données projet'!$E$9+1,1))</f>
        <v>381.72225529388083</v>
      </c>
      <c r="T175" s="59">
        <f t="shared" si="142"/>
        <v>360.05900046417361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15.373928785047299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15.373928785047299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304.99999999999994</v>
      </c>
      <c r="AJ175" s="13">
        <f>AI175*VLOOKUP('Données projet'!$B$10,Paramètres!$A$1:$I$89,3,0)*VLOOKUP('Données projet'!$B$10,Paramètres!$A$1:$I$89,5,0)</f>
        <v>275.96399999999994</v>
      </c>
      <c r="AK175" s="13">
        <f t="shared" si="164"/>
        <v>66.113366665488911</v>
      </c>
      <c r="AL175" s="20">
        <f t="shared" si="165"/>
        <v>595.7847469423931</v>
      </c>
      <c r="AM175" s="59">
        <f t="shared" si="113"/>
        <v>889.11808027572647</v>
      </c>
      <c r="AN175" s="59">
        <f ca="1">AVERAGE(OFFSET($AM$3,0,0,'Données projet'!$E$10+1,1))-AVERAGE(OFFSET($H$3,0,0,'Données projet'!$E$10+1,1))</f>
        <v>366.43676005661194</v>
      </c>
      <c r="AO175" s="59">
        <f t="shared" si="144"/>
        <v>513.80016421153414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0.50276669401109575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0.50276669401109575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0.8600000000003547</v>
      </c>
      <c r="BE175" s="13">
        <f>BD175*VLOOKUP('Données projet'!$B$11,Paramètres!$A$1:$I$89,3,0)*VLOOKUP('Données projet'!$B$11,Paramètres!$A$1:$I$89,5,0)</f>
        <v>0.38012000000015683</v>
      </c>
      <c r="BF175" s="13">
        <f t="shared" si="167"/>
        <v>0.19605142963512551</v>
      </c>
      <c r="BG175" s="20">
        <f t="shared" si="168"/>
        <v>1.0034985732814501</v>
      </c>
      <c r="BH175" s="59">
        <f t="shared" si="116"/>
        <v>294.33683190661475</v>
      </c>
      <c r="BI175" s="59">
        <f ca="1">AVERAGE(OFFSET($BH$3,0,0,'Données projet'!$E$11+1,1))-AVERAGE(OFFSET($H$3,0,0,'Données projet'!$E$11+1,1))</f>
        <v>328.58609979635901</v>
      </c>
      <c r="BJ175" s="59">
        <f t="shared" si="146"/>
        <v>432.3494365423407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28.973949683256009</v>
      </c>
      <c r="BQ175" s="21">
        <f>EXP(-LN(2)/25)*BQ174+(1-EXP(-LN(2)/25))/(LN(2)/25)*Calculateur!BL175*Calculateur!BN175*VLOOKUP('Données projet'!$B$11,Paramètres!$A$1:$I$89,3,0)*0.475*44/12</f>
        <v>0.77994496637085842</v>
      </c>
      <c r="BR175" s="21">
        <f>EXP(-LN(2)/2)*BR174+(1-EXP(-LN(2)/2))/(LN(2)/2)*BL175*BO175*VLOOKUP('Données projet'!$B$11,Paramètres!$A$1:$I$89,3,0)*0.475*44/12</f>
        <v>2.4777977046331617E-22</v>
      </c>
      <c r="BS175" s="22">
        <f t="shared" si="169"/>
        <v>29.753894649626869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19.8100000000004</v>
      </c>
      <c r="BZ175" s="13">
        <f>BY175*VLOOKUP('Données projet'!$B$12,Paramètres!$A$1:$I$89,3,0)*VLOOKUP('Données projet'!$B$12,Paramètres!$A$1:$I$89,5,0)</f>
        <v>18.851196000000382</v>
      </c>
      <c r="CA175" s="13">
        <f t="shared" si="170"/>
        <v>6.172221809210666</v>
      </c>
      <c r="CB175" s="20">
        <f t="shared" si="171"/>
        <v>43.582452684375909</v>
      </c>
      <c r="CC175" s="59">
        <f t="shared" si="119"/>
        <v>336.91578601770925</v>
      </c>
      <c r="CD175" s="59">
        <f ca="1">AVERAGE(OFFSET($CC$3,0,0,'Données projet'!$E$12+1,1))-AVERAGE(OFFSET($H$3,0,0,'Données projet'!$E$12+1,1))</f>
        <v>555.3092253965317</v>
      </c>
      <c r="CE175" s="59">
        <f t="shared" si="148"/>
        <v>292.20785523952651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129.38274659480558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129.38274659480558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243</v>
      </c>
      <c r="CU175" s="17">
        <f>CT175*VLOOKUP('Données projet'!$B$13,Paramètres!$A$1:$I$89,3,0)*VLOOKUP('Données projet'!$B$13,Paramètres!$A$1:$I$89,5,0)</f>
        <v>155.4228</v>
      </c>
      <c r="CV175" s="13">
        <f t="shared" si="173"/>
        <v>39.808377687614154</v>
      </c>
      <c r="CW175" s="20">
        <f t="shared" si="174"/>
        <v>340.02763447259463</v>
      </c>
      <c r="CX175" s="59">
        <f t="shared" si="122"/>
        <v>633.36096780592788</v>
      </c>
      <c r="CY175" s="59">
        <f ca="1">AVERAGE(OFFSET($CX$3,0,0,'Données projet'!$E$13+1,1))-AVERAGE(OFFSET($H$3,0,0,'Données projet'!$E$13+1,1))</f>
        <v>269.44168853803717</v>
      </c>
      <c r="CZ175" s="59">
        <f t="shared" si="150"/>
        <v>247.65158389074043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9.8763714753033653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9.8763714753033653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6">
        <f t="shared" si="110"/>
        <v>256.66666666666669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259.99999999999983</v>
      </c>
      <c r="O176" s="13">
        <f>N176*VLOOKUP('Données projet'!$B$9,Paramètres!$A$1:$I$89,3,0)*VLOOKUP('Données projet'!$B$9,Paramètres!$A$1:$I$89,5,0)</f>
        <v>227.13599999999985</v>
      </c>
      <c r="P176" s="13">
        <f t="shared" si="141"/>
        <v>55.662966886685133</v>
      </c>
      <c r="Q176" s="20">
        <f t="shared" si="162"/>
        <v>492.5415339943097</v>
      </c>
      <c r="R176" s="59">
        <f t="shared" si="109"/>
        <v>785.87486732764296</v>
      </c>
      <c r="S176" s="59">
        <f ca="1">AVERAGE(OFFSET($R$3,0,0,'Données projet'!$E$9+1,1))-AVERAGE(OFFSET($H$3,0,0,'Données projet'!$E$9+1,1))</f>
        <v>381.72225529388083</v>
      </c>
      <c r="T176" s="59">
        <f t="shared" si="142"/>
        <v>360.05900046417361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15.072455418743163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15.072455418743163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304.99999999999994</v>
      </c>
      <c r="AJ176" s="13">
        <f>AI176*VLOOKUP('Données projet'!$B$10,Paramètres!$A$1:$I$89,3,0)*VLOOKUP('Données projet'!$B$10,Paramètres!$A$1:$I$89,5,0)</f>
        <v>275.96399999999994</v>
      </c>
      <c r="AK176" s="13">
        <f t="shared" si="164"/>
        <v>66.113366665488911</v>
      </c>
      <c r="AL176" s="20">
        <f t="shared" si="165"/>
        <v>595.7847469423931</v>
      </c>
      <c r="AM176" s="59">
        <f t="shared" si="113"/>
        <v>889.11808027572647</v>
      </c>
      <c r="AN176" s="59">
        <f ca="1">AVERAGE(OFFSET($AM$3,0,0,'Données projet'!$E$10+1,1))-AVERAGE(OFFSET($H$3,0,0,'Données projet'!$E$10+1,1))</f>
        <v>366.43676005661194</v>
      </c>
      <c r="AO176" s="59">
        <f t="shared" si="144"/>
        <v>513.80016421153414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0.49290774579894159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0.49290774579894159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0.8600000000003547</v>
      </c>
      <c r="BE176" s="13">
        <f>BD176*VLOOKUP('Données projet'!$B$11,Paramètres!$A$1:$I$89,3,0)*VLOOKUP('Données projet'!$B$11,Paramètres!$A$1:$I$89,5,0)</f>
        <v>0.38012000000015683</v>
      </c>
      <c r="BF176" s="13">
        <f t="shared" si="167"/>
        <v>0.19605142963512551</v>
      </c>
      <c r="BG176" s="20">
        <f t="shared" si="168"/>
        <v>1.0034985732814501</v>
      </c>
      <c r="BH176" s="59">
        <f t="shared" si="116"/>
        <v>294.33683190661475</v>
      </c>
      <c r="BI176" s="59">
        <f ca="1">AVERAGE(OFFSET($BH$3,0,0,'Données projet'!$E$11+1,1))-AVERAGE(OFFSET($H$3,0,0,'Données projet'!$E$11+1,1))</f>
        <v>328.58609979635901</v>
      </c>
      <c r="BJ176" s="59">
        <f t="shared" si="146"/>
        <v>432.3494365423407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28.405788202331664</v>
      </c>
      <c r="BQ176" s="21">
        <f>EXP(-LN(2)/25)*BQ175+(1-EXP(-LN(2)/25))/(LN(2)/25)*Calculateur!BL176*Calculateur!BN176*VLOOKUP('Données projet'!$B$11,Paramètres!$A$1:$I$89,3,0)*0.475*44/12</f>
        <v>0.75861733024992406</v>
      </c>
      <c r="BR176" s="21">
        <f>EXP(-LN(2)/2)*BR175+(1-EXP(-LN(2)/2))/(LN(2)/2)*BL176*BO176*VLOOKUP('Données projet'!$B$11,Paramètres!$A$1:$I$89,3,0)*0.475*44/12</f>
        <v>1.7520675593545708E-22</v>
      </c>
      <c r="BS176" s="22">
        <f t="shared" si="169"/>
        <v>29.164405532581586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19.8100000000004</v>
      </c>
      <c r="BZ176" s="13">
        <f>BY176*VLOOKUP('Données projet'!$B$12,Paramètres!$A$1:$I$89,3,0)*VLOOKUP('Données projet'!$B$12,Paramètres!$A$1:$I$89,5,0)</f>
        <v>18.851196000000382</v>
      </c>
      <c r="CA176" s="13">
        <f t="shared" si="170"/>
        <v>6.172221809210666</v>
      </c>
      <c r="CB176" s="20">
        <f t="shared" si="171"/>
        <v>43.582452684375909</v>
      </c>
      <c r="CC176" s="59">
        <f t="shared" si="119"/>
        <v>336.91578601770925</v>
      </c>
      <c r="CD176" s="59">
        <f ca="1">AVERAGE(OFFSET($CC$3,0,0,'Données projet'!$E$12+1,1))-AVERAGE(OFFSET($H$3,0,0,'Données projet'!$E$12+1,1))</f>
        <v>555.3092253965317</v>
      </c>
      <c r="CE176" s="59">
        <f t="shared" si="148"/>
        <v>292.20785523952651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126.84562984976459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126.84562984976459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243</v>
      </c>
      <c r="CU176" s="17">
        <f>CT176*VLOOKUP('Données projet'!$B$13,Paramètres!$A$1:$I$89,3,0)*VLOOKUP('Données projet'!$B$13,Paramètres!$A$1:$I$89,5,0)</f>
        <v>155.4228</v>
      </c>
      <c r="CV176" s="13">
        <f t="shared" si="173"/>
        <v>39.808377687614154</v>
      </c>
      <c r="CW176" s="20">
        <f t="shared" si="174"/>
        <v>340.02763447259463</v>
      </c>
      <c r="CX176" s="59">
        <f t="shared" si="122"/>
        <v>633.36096780592788</v>
      </c>
      <c r="CY176" s="59">
        <f ca="1">AVERAGE(OFFSET($CX$3,0,0,'Données projet'!$E$13+1,1))-AVERAGE(OFFSET($H$3,0,0,'Données projet'!$E$13+1,1))</f>
        <v>269.44168853803717</v>
      </c>
      <c r="CZ176" s="59">
        <f t="shared" si="150"/>
        <v>247.65158389074043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9.6827018546644457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9.6827018546644457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6">
        <f t="shared" si="110"/>
        <v>256.66666666666669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259.99999999999983</v>
      </c>
      <c r="O177" s="13">
        <f>N177*VLOOKUP('Données projet'!$B$9,Paramètres!$A$1:$I$89,3,0)*VLOOKUP('Données projet'!$B$9,Paramètres!$A$1:$I$89,5,0)</f>
        <v>227.13599999999985</v>
      </c>
      <c r="P177" s="13">
        <f t="shared" si="141"/>
        <v>55.662966886685133</v>
      </c>
      <c r="Q177" s="20">
        <f t="shared" si="162"/>
        <v>492.5415339943097</v>
      </c>
      <c r="R177" s="59">
        <f t="shared" si="109"/>
        <v>785.87486732764296</v>
      </c>
      <c r="S177" s="59">
        <f ca="1">AVERAGE(OFFSET($R$3,0,0,'Données projet'!$E$9+1,1))-AVERAGE(OFFSET($H$3,0,0,'Données projet'!$E$9+1,1))</f>
        <v>381.72225529388083</v>
      </c>
      <c r="T177" s="59">
        <f t="shared" si="142"/>
        <v>360.05900046417361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14.776893761271653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14.776893761271653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304.99999999999994</v>
      </c>
      <c r="AJ177" s="13">
        <f>AI177*VLOOKUP('Données projet'!$B$10,Paramètres!$A$1:$I$89,3,0)*VLOOKUP('Données projet'!$B$10,Paramètres!$A$1:$I$89,5,0)</f>
        <v>275.96399999999994</v>
      </c>
      <c r="AK177" s="13">
        <f t="shared" si="164"/>
        <v>66.113366665488911</v>
      </c>
      <c r="AL177" s="20">
        <f t="shared" si="165"/>
        <v>595.7847469423931</v>
      </c>
      <c r="AM177" s="59">
        <f t="shared" si="113"/>
        <v>889.11808027572647</v>
      </c>
      <c r="AN177" s="59">
        <f ca="1">AVERAGE(OFFSET($AM$3,0,0,'Données projet'!$E$10+1,1))-AVERAGE(OFFSET($H$3,0,0,'Données projet'!$E$10+1,1))</f>
        <v>366.43676005661194</v>
      </c>
      <c r="AO177" s="59">
        <f t="shared" si="144"/>
        <v>513.80016421153414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0.48324212554786317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0.48324212554786317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0.8600000000003547</v>
      </c>
      <c r="BE177" s="13">
        <f>BD177*VLOOKUP('Données projet'!$B$11,Paramètres!$A$1:$I$89,3,0)*VLOOKUP('Données projet'!$B$11,Paramètres!$A$1:$I$89,5,0)</f>
        <v>0.38012000000015683</v>
      </c>
      <c r="BF177" s="13">
        <f t="shared" si="167"/>
        <v>0.19605142963512551</v>
      </c>
      <c r="BG177" s="20">
        <f t="shared" si="168"/>
        <v>1.0034985732814501</v>
      </c>
      <c r="BH177" s="59">
        <f t="shared" si="116"/>
        <v>294.33683190661475</v>
      </c>
      <c r="BI177" s="59">
        <f ca="1">AVERAGE(OFFSET($BH$3,0,0,'Données projet'!$E$11+1,1))-AVERAGE(OFFSET($H$3,0,0,'Données projet'!$E$11+1,1))</f>
        <v>328.58609979635901</v>
      </c>
      <c r="BJ177" s="59">
        <f t="shared" si="146"/>
        <v>432.3494365423407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27.848768021503961</v>
      </c>
      <c r="BQ177" s="21">
        <f>EXP(-LN(2)/25)*BQ176+(1-EXP(-LN(2)/25))/(LN(2)/25)*Calculateur!BL177*Calculateur!BN177*VLOOKUP('Données projet'!$B$11,Paramètres!$A$1:$I$89,3,0)*0.475*44/12</f>
        <v>0.73787289946028833</v>
      </c>
      <c r="BR177" s="21">
        <f>EXP(-LN(2)/2)*BR176+(1-EXP(-LN(2)/2))/(LN(2)/2)*BL177*BO177*VLOOKUP('Données projet'!$B$11,Paramètres!$A$1:$I$89,3,0)*0.475*44/12</f>
        <v>1.2388988523165809E-22</v>
      </c>
      <c r="BS177" s="22">
        <f t="shared" si="169"/>
        <v>28.58664092096425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19.8100000000004</v>
      </c>
      <c r="BZ177" s="13">
        <f>BY177*VLOOKUP('Données projet'!$B$12,Paramètres!$A$1:$I$89,3,0)*VLOOKUP('Données projet'!$B$12,Paramètres!$A$1:$I$89,5,0)</f>
        <v>18.851196000000382</v>
      </c>
      <c r="CA177" s="13">
        <f t="shared" si="170"/>
        <v>6.172221809210666</v>
      </c>
      <c r="CB177" s="20">
        <f t="shared" si="171"/>
        <v>43.582452684375909</v>
      </c>
      <c r="CC177" s="59">
        <f t="shared" si="119"/>
        <v>336.91578601770925</v>
      </c>
      <c r="CD177" s="59">
        <f ca="1">AVERAGE(OFFSET($CC$3,0,0,'Données projet'!$E$12+1,1))-AVERAGE(OFFSET($H$3,0,0,'Données projet'!$E$12+1,1))</f>
        <v>555.3092253965317</v>
      </c>
      <c r="CE177" s="59">
        <f t="shared" si="148"/>
        <v>292.20785523952651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124.35826441660544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124.35826441660544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243</v>
      </c>
      <c r="CU177" s="17">
        <f>CT177*VLOOKUP('Données projet'!$B$13,Paramètres!$A$1:$I$89,3,0)*VLOOKUP('Données projet'!$B$13,Paramètres!$A$1:$I$89,5,0)</f>
        <v>155.4228</v>
      </c>
      <c r="CV177" s="13">
        <f t="shared" si="173"/>
        <v>39.808377687614154</v>
      </c>
      <c r="CW177" s="20">
        <f t="shared" si="174"/>
        <v>340.02763447259463</v>
      </c>
      <c r="CX177" s="59">
        <f t="shared" si="122"/>
        <v>633.36096780592788</v>
      </c>
      <c r="CY177" s="59">
        <f ca="1">AVERAGE(OFFSET($CX$3,0,0,'Données projet'!$E$13+1,1))-AVERAGE(OFFSET($H$3,0,0,'Données projet'!$E$13+1,1))</f>
        <v>269.44168853803717</v>
      </c>
      <c r="CZ177" s="59">
        <f t="shared" si="150"/>
        <v>247.65158389074043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9.4928299771594506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9.4928299771594506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6">
        <f t="shared" si="110"/>
        <v>256.66666666666669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259.99999999999983</v>
      </c>
      <c r="O178" s="13">
        <f>N178*VLOOKUP('Données projet'!$B$9,Paramètres!$A$1:$I$89,3,0)*VLOOKUP('Données projet'!$B$9,Paramètres!$A$1:$I$89,5,0)</f>
        <v>227.13599999999985</v>
      </c>
      <c r="P178" s="13">
        <f t="shared" si="141"/>
        <v>55.662966886685133</v>
      </c>
      <c r="Q178" s="20">
        <f t="shared" si="162"/>
        <v>492.5415339943097</v>
      </c>
      <c r="R178" s="59">
        <f t="shared" si="109"/>
        <v>785.87486732764296</v>
      </c>
      <c r="S178" s="59">
        <f ca="1">AVERAGE(OFFSET($R$3,0,0,'Données projet'!$E$9+1,1))-AVERAGE(OFFSET($H$3,0,0,'Données projet'!$E$9+1,1))</f>
        <v>381.72225529388083</v>
      </c>
      <c r="T178" s="59">
        <f t="shared" si="142"/>
        <v>360.05900046417361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14.487127887628349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14.487127887628349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304.99999999999994</v>
      </c>
      <c r="AJ178" s="13">
        <f>AI178*VLOOKUP('Données projet'!$B$10,Paramètres!$A$1:$I$89,3,0)*VLOOKUP('Données projet'!$B$10,Paramètres!$A$1:$I$89,5,0)</f>
        <v>275.96399999999994</v>
      </c>
      <c r="AK178" s="13">
        <f t="shared" si="164"/>
        <v>66.113366665488911</v>
      </c>
      <c r="AL178" s="20">
        <f t="shared" si="165"/>
        <v>595.7847469423931</v>
      </c>
      <c r="AM178" s="59">
        <f t="shared" si="113"/>
        <v>889.11808027572647</v>
      </c>
      <c r="AN178" s="59">
        <f ca="1">AVERAGE(OFFSET($AM$3,0,0,'Données projet'!$E$10+1,1))-AVERAGE(OFFSET($H$3,0,0,'Données projet'!$E$10+1,1))</f>
        <v>366.43676005661194</v>
      </c>
      <c r="AO178" s="59">
        <f t="shared" si="144"/>
        <v>513.80016421153414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0.47376604221446217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0.47376604221446217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0.8600000000003547</v>
      </c>
      <c r="BE178" s="13">
        <f>BD178*VLOOKUP('Données projet'!$B$11,Paramètres!$A$1:$I$89,3,0)*VLOOKUP('Données projet'!$B$11,Paramètres!$A$1:$I$89,5,0)</f>
        <v>0.38012000000015683</v>
      </c>
      <c r="BF178" s="13">
        <f t="shared" si="167"/>
        <v>0.19605142963512551</v>
      </c>
      <c r="BG178" s="20">
        <f t="shared" si="168"/>
        <v>1.0034985732814501</v>
      </c>
      <c r="BH178" s="59">
        <f t="shared" si="116"/>
        <v>294.33683190661475</v>
      </c>
      <c r="BI178" s="59">
        <f ca="1">AVERAGE(OFFSET($BH$3,0,0,'Données projet'!$E$11+1,1))-AVERAGE(OFFSET($H$3,0,0,'Données projet'!$E$11+1,1))</f>
        <v>328.58609979635901</v>
      </c>
      <c r="BJ178" s="59">
        <f t="shared" si="146"/>
        <v>432.3494365423407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27.302670666673528</v>
      </c>
      <c r="BQ178" s="21">
        <f>EXP(-LN(2)/25)*BQ177+(1-EXP(-LN(2)/25))/(LN(2)/25)*Calculateur!BL178*Calculateur!BN178*VLOOKUP('Données projet'!$B$11,Paramètres!$A$1:$I$89,3,0)*0.475*44/12</f>
        <v>0.71769572622149735</v>
      </c>
      <c r="BR178" s="21">
        <f>EXP(-LN(2)/2)*BR177+(1-EXP(-LN(2)/2))/(LN(2)/2)*BL178*BO178*VLOOKUP('Données projet'!$B$11,Paramètres!$A$1:$I$89,3,0)*0.475*44/12</f>
        <v>8.7603377967728541E-23</v>
      </c>
      <c r="BS178" s="22">
        <f t="shared" si="169"/>
        <v>28.020366392895024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19.8100000000004</v>
      </c>
      <c r="BZ178" s="13">
        <f>BY178*VLOOKUP('Données projet'!$B$12,Paramètres!$A$1:$I$89,3,0)*VLOOKUP('Données projet'!$B$12,Paramètres!$A$1:$I$89,5,0)</f>
        <v>18.851196000000382</v>
      </c>
      <c r="CA178" s="13">
        <f t="shared" si="170"/>
        <v>6.172221809210666</v>
      </c>
      <c r="CB178" s="20">
        <f t="shared" si="171"/>
        <v>43.582452684375909</v>
      </c>
      <c r="CC178" s="59">
        <f t="shared" si="119"/>
        <v>336.91578601770925</v>
      </c>
      <c r="CD178" s="59">
        <f ca="1">AVERAGE(OFFSET($CC$3,0,0,'Données projet'!$E$12+1,1))-AVERAGE(OFFSET($H$3,0,0,'Données projet'!$E$12+1,1))</f>
        <v>555.3092253965317</v>
      </c>
      <c r="CE178" s="59">
        <f t="shared" si="148"/>
        <v>292.20785523952651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121.91967470244742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121.91967470244742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243</v>
      </c>
      <c r="CU178" s="17">
        <f>CT178*VLOOKUP('Données projet'!$B$13,Paramètres!$A$1:$I$89,3,0)*VLOOKUP('Données projet'!$B$13,Paramètres!$A$1:$I$89,5,0)</f>
        <v>155.4228</v>
      </c>
      <c r="CV178" s="13">
        <f t="shared" si="173"/>
        <v>39.808377687614154</v>
      </c>
      <c r="CW178" s="20">
        <f t="shared" si="174"/>
        <v>340.02763447259463</v>
      </c>
      <c r="CX178" s="59">
        <f t="shared" si="122"/>
        <v>633.36096780592788</v>
      </c>
      <c r="CY178" s="59">
        <f ca="1">AVERAGE(OFFSET($CX$3,0,0,'Données projet'!$E$13+1,1))-AVERAGE(OFFSET($H$3,0,0,'Données projet'!$E$13+1,1))</f>
        <v>269.44168853803717</v>
      </c>
      <c r="CZ178" s="59">
        <f t="shared" si="150"/>
        <v>247.65158389074043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9.3066813713619201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9.3066813713619201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6">
        <f t="shared" si="110"/>
        <v>256.66666666666669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259.99999999999983</v>
      </c>
      <c r="O179" s="13">
        <f>N179*VLOOKUP('Données projet'!$B$9,Paramètres!$A$1:$I$89,3,0)*VLOOKUP('Données projet'!$B$9,Paramètres!$A$1:$I$89,5,0)</f>
        <v>227.13599999999985</v>
      </c>
      <c r="P179" s="13">
        <f t="shared" si="141"/>
        <v>55.662966886685133</v>
      </c>
      <c r="Q179" s="20">
        <f t="shared" si="162"/>
        <v>492.5415339943097</v>
      </c>
      <c r="R179" s="59">
        <f t="shared" si="109"/>
        <v>785.87486732764296</v>
      </c>
      <c r="S179" s="59">
        <f ca="1">AVERAGE(OFFSET($R$3,0,0,'Données projet'!$E$9+1,1))-AVERAGE(OFFSET($H$3,0,0,'Données projet'!$E$9+1,1))</f>
        <v>381.72225529388083</v>
      </c>
      <c r="T179" s="59">
        <f t="shared" si="142"/>
        <v>360.05900046417361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14.203044146027459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14.203044146027459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304.99999999999994</v>
      </c>
      <c r="AJ179" s="13">
        <f>AI179*VLOOKUP('Données projet'!$B$10,Paramètres!$A$1:$I$89,3,0)*VLOOKUP('Données projet'!$B$10,Paramètres!$A$1:$I$89,5,0)</f>
        <v>275.96399999999994</v>
      </c>
      <c r="AK179" s="13">
        <f t="shared" si="164"/>
        <v>66.113366665488911</v>
      </c>
      <c r="AL179" s="20">
        <f t="shared" si="165"/>
        <v>595.7847469423931</v>
      </c>
      <c r="AM179" s="59">
        <f t="shared" si="113"/>
        <v>889.11808027572647</v>
      </c>
      <c r="AN179" s="59">
        <f ca="1">AVERAGE(OFFSET($AM$3,0,0,'Données projet'!$E$10+1,1))-AVERAGE(OFFSET($H$3,0,0,'Données projet'!$E$10+1,1))</f>
        <v>366.43676005661194</v>
      </c>
      <c r="AO179" s="59">
        <f t="shared" si="144"/>
        <v>513.80016421153414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0.46447577909538901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0.46447577909538901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0.8600000000003547</v>
      </c>
      <c r="BE179" s="13">
        <f>BD179*VLOOKUP('Données projet'!$B$11,Paramètres!$A$1:$I$89,3,0)*VLOOKUP('Données projet'!$B$11,Paramètres!$A$1:$I$89,5,0)</f>
        <v>0.38012000000015683</v>
      </c>
      <c r="BF179" s="13">
        <f t="shared" si="167"/>
        <v>0.19605142963512551</v>
      </c>
      <c r="BG179" s="20">
        <f t="shared" si="168"/>
        <v>1.0034985732814501</v>
      </c>
      <c r="BH179" s="59">
        <f t="shared" si="116"/>
        <v>294.33683190661475</v>
      </c>
      <c r="BI179" s="59">
        <f ca="1">AVERAGE(OFFSET($BH$3,0,0,'Données projet'!$E$11+1,1))-AVERAGE(OFFSET($H$3,0,0,'Données projet'!$E$11+1,1))</f>
        <v>328.58609979635901</v>
      </c>
      <c r="BJ179" s="59">
        <f t="shared" si="146"/>
        <v>432.3494365423407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26.767281947884822</v>
      </c>
      <c r="BQ179" s="21">
        <f>EXP(-LN(2)/25)*BQ178+(1-EXP(-LN(2)/25))/(LN(2)/25)*Calculateur!BL179*Calculateur!BN179*VLOOKUP('Données projet'!$B$11,Paramètres!$A$1:$I$89,3,0)*0.475*44/12</f>
        <v>0.69807029884599259</v>
      </c>
      <c r="BR179" s="21">
        <f>EXP(-LN(2)/2)*BR178+(1-EXP(-LN(2)/2))/(LN(2)/2)*BL179*BO179*VLOOKUP('Données projet'!$B$11,Paramètres!$A$1:$I$89,3,0)*0.475*44/12</f>
        <v>6.1944942615829043E-23</v>
      </c>
      <c r="BS179" s="22">
        <f t="shared" si="169"/>
        <v>27.465352246730813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19.8100000000004</v>
      </c>
      <c r="BZ179" s="13">
        <f>BY179*VLOOKUP('Données projet'!$B$12,Paramètres!$A$1:$I$89,3,0)*VLOOKUP('Données projet'!$B$12,Paramètres!$A$1:$I$89,5,0)</f>
        <v>18.851196000000382</v>
      </c>
      <c r="CA179" s="13">
        <f t="shared" si="170"/>
        <v>6.172221809210666</v>
      </c>
      <c r="CB179" s="20">
        <f t="shared" si="171"/>
        <v>43.582452684375909</v>
      </c>
      <c r="CC179" s="59">
        <f t="shared" si="119"/>
        <v>336.91578601770925</v>
      </c>
      <c r="CD179" s="59">
        <f ca="1">AVERAGE(OFFSET($CC$3,0,0,'Données projet'!$E$12+1,1))-AVERAGE(OFFSET($H$3,0,0,'Données projet'!$E$12+1,1))</f>
        <v>555.3092253965317</v>
      </c>
      <c r="CE179" s="59">
        <f t="shared" si="148"/>
        <v>292.20785523952651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119.5289042451912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119.5289042451912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243</v>
      </c>
      <c r="CU179" s="17">
        <f>CT179*VLOOKUP('Données projet'!$B$13,Paramètres!$A$1:$I$89,3,0)*VLOOKUP('Données projet'!$B$13,Paramètres!$A$1:$I$89,5,0)</f>
        <v>155.4228</v>
      </c>
      <c r="CV179" s="13">
        <f t="shared" si="173"/>
        <v>39.808377687614154</v>
      </c>
      <c r="CW179" s="20">
        <f t="shared" si="174"/>
        <v>340.02763447259463</v>
      </c>
      <c r="CX179" s="59">
        <f t="shared" si="122"/>
        <v>633.36096780592788</v>
      </c>
      <c r="CY179" s="59">
        <f ca="1">AVERAGE(OFFSET($CX$3,0,0,'Données projet'!$E$13+1,1))-AVERAGE(OFFSET($H$3,0,0,'Données projet'!$E$13+1,1))</f>
        <v>269.44168853803717</v>
      </c>
      <c r="CZ179" s="59">
        <f t="shared" si="150"/>
        <v>247.65158389074043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9.1241830261846406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9.1241830261846406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6">
        <f t="shared" si="110"/>
        <v>256.66666666666669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259.99999999999983</v>
      </c>
      <c r="O180" s="13">
        <f>N180*VLOOKUP('Données projet'!$B$9,Paramètres!$A$1:$I$89,3,0)*VLOOKUP('Données projet'!$B$9,Paramètres!$A$1:$I$89,5,0)</f>
        <v>227.13599999999985</v>
      </c>
      <c r="P180" s="13">
        <f t="shared" si="141"/>
        <v>55.662966886685133</v>
      </c>
      <c r="Q180" s="20">
        <f t="shared" si="162"/>
        <v>492.5415339943097</v>
      </c>
      <c r="R180" s="59">
        <f t="shared" si="109"/>
        <v>785.87486732764296</v>
      </c>
      <c r="S180" s="59">
        <f ca="1">AVERAGE(OFFSET($R$3,0,0,'Données projet'!$E$9+1,1))-AVERAGE(OFFSET($H$3,0,0,'Données projet'!$E$9+1,1))</f>
        <v>381.72225529388083</v>
      </c>
      <c r="T180" s="59">
        <f t="shared" si="142"/>
        <v>360.05900046417361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13.924531113325388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13.924531113325388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304.99999999999994</v>
      </c>
      <c r="AJ180" s="13">
        <f>AI180*VLOOKUP('Données projet'!$B$10,Paramètres!$A$1:$I$89,3,0)*VLOOKUP('Données projet'!$B$10,Paramètres!$A$1:$I$89,5,0)</f>
        <v>275.96399999999994</v>
      </c>
      <c r="AK180" s="13">
        <f t="shared" si="164"/>
        <v>66.113366665488911</v>
      </c>
      <c r="AL180" s="20">
        <f t="shared" si="165"/>
        <v>595.7847469423931</v>
      </c>
      <c r="AM180" s="59">
        <f t="shared" si="113"/>
        <v>889.11808027572647</v>
      </c>
      <c r="AN180" s="59">
        <f ca="1">AVERAGE(OFFSET($AM$3,0,0,'Données projet'!$E$10+1,1))-AVERAGE(OFFSET($H$3,0,0,'Données projet'!$E$10+1,1))</f>
        <v>366.43676005661194</v>
      </c>
      <c r="AO180" s="59">
        <f t="shared" si="144"/>
        <v>513.80016421153414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0.45536769236957991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0.45536769236957991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0.8600000000003547</v>
      </c>
      <c r="BE180" s="13">
        <f>BD180*VLOOKUP('Données projet'!$B$11,Paramètres!$A$1:$I$89,3,0)*VLOOKUP('Données projet'!$B$11,Paramètres!$A$1:$I$89,5,0)</f>
        <v>0.38012000000015683</v>
      </c>
      <c r="BF180" s="13">
        <f t="shared" si="167"/>
        <v>0.19605142963512551</v>
      </c>
      <c r="BG180" s="20">
        <f t="shared" si="168"/>
        <v>1.0034985732814501</v>
      </c>
      <c r="BH180" s="59">
        <f t="shared" si="116"/>
        <v>294.33683190661475</v>
      </c>
      <c r="BI180" s="59">
        <f ca="1">AVERAGE(OFFSET($BH$3,0,0,'Données projet'!$E$11+1,1))-AVERAGE(OFFSET($H$3,0,0,'Données projet'!$E$11+1,1))</f>
        <v>328.58609979635901</v>
      </c>
      <c r="BJ180" s="59">
        <f t="shared" si="146"/>
        <v>432.3494365423407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26.242391875316688</v>
      </c>
      <c r="BQ180" s="21">
        <f>EXP(-LN(2)/25)*BQ179+(1-EXP(-LN(2)/25))/(LN(2)/25)*Calculateur!BL180*Calculateur!BN180*VLOOKUP('Données projet'!$B$11,Paramètres!$A$1:$I$89,3,0)*0.475*44/12</f>
        <v>0.6789815298141274</v>
      </c>
      <c r="BR180" s="21">
        <f>EXP(-LN(2)/2)*BR179+(1-EXP(-LN(2)/2))/(LN(2)/2)*BL180*BO180*VLOOKUP('Données projet'!$B$11,Paramètres!$A$1:$I$89,3,0)*0.475*44/12</f>
        <v>4.3801688983864271E-23</v>
      </c>
      <c r="BS180" s="22">
        <f t="shared" si="169"/>
        <v>26.921373405130815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19.8100000000004</v>
      </c>
      <c r="BZ180" s="13">
        <f>BY180*VLOOKUP('Données projet'!$B$12,Paramètres!$A$1:$I$89,3,0)*VLOOKUP('Données projet'!$B$12,Paramètres!$A$1:$I$89,5,0)</f>
        <v>18.851196000000382</v>
      </c>
      <c r="CA180" s="13">
        <f t="shared" si="170"/>
        <v>6.172221809210666</v>
      </c>
      <c r="CB180" s="20">
        <f t="shared" si="171"/>
        <v>43.582452684375909</v>
      </c>
      <c r="CC180" s="59">
        <f t="shared" si="119"/>
        <v>336.91578601770925</v>
      </c>
      <c r="CD180" s="59">
        <f ca="1">AVERAGE(OFFSET($CC$3,0,0,'Données projet'!$E$12+1,1))-AVERAGE(OFFSET($H$3,0,0,'Données projet'!$E$12+1,1))</f>
        <v>555.3092253965317</v>
      </c>
      <c r="CE180" s="59">
        <f t="shared" si="148"/>
        <v>292.20785523952651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117.18501533837578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117.18501533837578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243</v>
      </c>
      <c r="CU180" s="17">
        <f>CT180*VLOOKUP('Données projet'!$B$13,Paramètres!$A$1:$I$89,3,0)*VLOOKUP('Données projet'!$B$13,Paramètres!$A$1:$I$89,5,0)</f>
        <v>155.4228</v>
      </c>
      <c r="CV180" s="13">
        <f t="shared" si="173"/>
        <v>39.808377687614154</v>
      </c>
      <c r="CW180" s="20">
        <f t="shared" si="174"/>
        <v>340.02763447259463</v>
      </c>
      <c r="CX180" s="59">
        <f t="shared" si="122"/>
        <v>633.36096780592788</v>
      </c>
      <c r="CY180" s="59">
        <f ca="1">AVERAGE(OFFSET($CX$3,0,0,'Données projet'!$E$13+1,1))-AVERAGE(OFFSET($H$3,0,0,'Données projet'!$E$13+1,1))</f>
        <v>269.44168853803717</v>
      </c>
      <c r="CZ180" s="59">
        <f t="shared" si="150"/>
        <v>247.65158389074043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8.9452633622432884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8.9452633622432884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6">
        <f t="shared" si="110"/>
        <v>256.66666666666669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259.99999999999983</v>
      </c>
      <c r="O181" s="13">
        <f>N181*VLOOKUP('Données projet'!$B$9,Paramètres!$A$1:$I$89,3,0)*VLOOKUP('Données projet'!$B$9,Paramètres!$A$1:$I$89,5,0)</f>
        <v>227.13599999999985</v>
      </c>
      <c r="P181" s="13">
        <f t="shared" si="141"/>
        <v>55.662966886685133</v>
      </c>
      <c r="Q181" s="20">
        <f t="shared" si="162"/>
        <v>492.5415339943097</v>
      </c>
      <c r="R181" s="59">
        <f t="shared" si="109"/>
        <v>785.87486732764296</v>
      </c>
      <c r="S181" s="59">
        <f ca="1">AVERAGE(OFFSET($R$3,0,0,'Données projet'!$E$9+1,1))-AVERAGE(OFFSET($H$3,0,0,'Données projet'!$E$9+1,1))</f>
        <v>381.72225529388083</v>
      </c>
      <c r="T181" s="59">
        <f t="shared" si="142"/>
        <v>360.05900046417361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13.651479551318429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13.651479551318429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304.99999999999994</v>
      </c>
      <c r="AJ181" s="13">
        <f>AI181*VLOOKUP('Données projet'!$B$10,Paramètres!$A$1:$I$89,3,0)*VLOOKUP('Données projet'!$B$10,Paramètres!$A$1:$I$89,5,0)</f>
        <v>275.96399999999994</v>
      </c>
      <c r="AK181" s="13">
        <f t="shared" si="164"/>
        <v>66.113366665488911</v>
      </c>
      <c r="AL181" s="20">
        <f t="shared" si="165"/>
        <v>595.7847469423931</v>
      </c>
      <c r="AM181" s="59">
        <f t="shared" si="113"/>
        <v>889.11808027572647</v>
      </c>
      <c r="AN181" s="59">
        <f ca="1">AVERAGE(OFFSET($AM$3,0,0,'Données projet'!$E$10+1,1))-AVERAGE(OFFSET($H$3,0,0,'Données projet'!$E$10+1,1))</f>
        <v>366.43676005661194</v>
      </c>
      <c r="AO181" s="59">
        <f t="shared" si="144"/>
        <v>513.80016421153414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0.44643820966907954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0.44643820966907954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0.8600000000003547</v>
      </c>
      <c r="BE181" s="13">
        <f>BD181*VLOOKUP('Données projet'!$B$11,Paramètres!$A$1:$I$89,3,0)*VLOOKUP('Données projet'!$B$11,Paramètres!$A$1:$I$89,5,0)</f>
        <v>0.38012000000015683</v>
      </c>
      <c r="BF181" s="13">
        <f t="shared" si="167"/>
        <v>0.19605142963512551</v>
      </c>
      <c r="BG181" s="20">
        <f t="shared" si="168"/>
        <v>1.0034985732814501</v>
      </c>
      <c r="BH181" s="59">
        <f t="shared" si="116"/>
        <v>294.33683190661475</v>
      </c>
      <c r="BI181" s="59">
        <f ca="1">AVERAGE(OFFSET($BH$3,0,0,'Données projet'!$E$11+1,1))-AVERAGE(OFFSET($H$3,0,0,'Données projet'!$E$11+1,1))</f>
        <v>328.58609979635901</v>
      </c>
      <c r="BJ181" s="59">
        <f t="shared" si="146"/>
        <v>432.3494365423407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25.727794576920282</v>
      </c>
      <c r="BQ181" s="21">
        <f>EXP(-LN(2)/25)*BQ180+(1-EXP(-LN(2)/25))/(LN(2)/25)*Calculateur!BL181*Calculateur!BN181*VLOOKUP('Données projet'!$B$11,Paramètres!$A$1:$I$89,3,0)*0.475*44/12</f>
        <v>0.66041474417527324</v>
      </c>
      <c r="BR181" s="21">
        <f>EXP(-LN(2)/2)*BR180+(1-EXP(-LN(2)/2))/(LN(2)/2)*BL181*BO181*VLOOKUP('Données projet'!$B$11,Paramètres!$A$1:$I$89,3,0)*0.475*44/12</f>
        <v>3.0972471307914521E-23</v>
      </c>
      <c r="BS181" s="22">
        <f t="shared" si="169"/>
        <v>26.388209321095555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19.8100000000004</v>
      </c>
      <c r="BZ181" s="13">
        <f>BY181*VLOOKUP('Données projet'!$B$12,Paramètres!$A$1:$I$89,3,0)*VLOOKUP('Données projet'!$B$12,Paramètres!$A$1:$I$89,5,0)</f>
        <v>18.851196000000382</v>
      </c>
      <c r="CA181" s="13">
        <f t="shared" si="170"/>
        <v>6.172221809210666</v>
      </c>
      <c r="CB181" s="20">
        <f t="shared" si="171"/>
        <v>43.582452684375909</v>
      </c>
      <c r="CC181" s="59">
        <f t="shared" si="119"/>
        <v>336.91578601770925</v>
      </c>
      <c r="CD181" s="59">
        <f ca="1">AVERAGE(OFFSET($CC$3,0,0,'Données projet'!$E$12+1,1))-AVERAGE(OFFSET($H$3,0,0,'Données projet'!$E$12+1,1))</f>
        <v>555.3092253965317</v>
      </c>
      <c r="CE181" s="59">
        <f t="shared" si="148"/>
        <v>292.20785523952651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114.88708866339194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114.88708866339194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243</v>
      </c>
      <c r="CU181" s="17">
        <f>CT181*VLOOKUP('Données projet'!$B$13,Paramètres!$A$1:$I$89,3,0)*VLOOKUP('Données projet'!$B$13,Paramètres!$A$1:$I$89,5,0)</f>
        <v>155.4228</v>
      </c>
      <c r="CV181" s="13">
        <f t="shared" si="173"/>
        <v>39.808377687614154</v>
      </c>
      <c r="CW181" s="20">
        <f t="shared" si="174"/>
        <v>340.02763447259463</v>
      </c>
      <c r="CX181" s="59">
        <f t="shared" si="122"/>
        <v>633.36096780592788</v>
      </c>
      <c r="CY181" s="59">
        <f ca="1">AVERAGE(OFFSET($CX$3,0,0,'Données projet'!$E$13+1,1))-AVERAGE(OFFSET($H$3,0,0,'Données projet'!$E$13+1,1))</f>
        <v>269.44168853803717</v>
      </c>
      <c r="CZ181" s="59">
        <f t="shared" si="150"/>
        <v>247.65158389074043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8.7698522037816069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8.7698522037816069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6">
        <f t="shared" si="110"/>
        <v>256.66666666666669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259.99999999999983</v>
      </c>
      <c r="O182" s="13">
        <f>N182*VLOOKUP('Données projet'!$B$9,Paramètres!$A$1:$I$89,3,0)*VLOOKUP('Données projet'!$B$9,Paramètres!$A$1:$I$89,5,0)</f>
        <v>227.13599999999985</v>
      </c>
      <c r="P182" s="13">
        <f t="shared" si="141"/>
        <v>55.662966886685133</v>
      </c>
      <c r="Q182" s="20">
        <f t="shared" si="162"/>
        <v>492.5415339943097</v>
      </c>
      <c r="R182" s="59">
        <f t="shared" si="109"/>
        <v>785.87486732764296</v>
      </c>
      <c r="S182" s="59">
        <f ca="1">AVERAGE(OFFSET($R$3,0,0,'Données projet'!$E$9+1,1))-AVERAGE(OFFSET($H$3,0,0,'Données projet'!$E$9+1,1))</f>
        <v>381.72225529388083</v>
      </c>
      <c r="T182" s="59">
        <f t="shared" si="142"/>
        <v>360.05900046417361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13.383782363897419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13.383782363897419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304.99999999999994</v>
      </c>
      <c r="AJ182" s="13">
        <f>AI182*VLOOKUP('Données projet'!$B$10,Paramètres!$A$1:$I$89,3,0)*VLOOKUP('Données projet'!$B$10,Paramètres!$A$1:$I$89,5,0)</f>
        <v>275.96399999999994</v>
      </c>
      <c r="AK182" s="13">
        <f t="shared" si="164"/>
        <v>66.113366665488911</v>
      </c>
      <c r="AL182" s="20">
        <f t="shared" si="165"/>
        <v>595.7847469423931</v>
      </c>
      <c r="AM182" s="59">
        <f t="shared" si="113"/>
        <v>889.11808027572647</v>
      </c>
      <c r="AN182" s="59">
        <f ca="1">AVERAGE(OFFSET($AM$3,0,0,'Données projet'!$E$10+1,1))-AVERAGE(OFFSET($H$3,0,0,'Données projet'!$E$10+1,1))</f>
        <v>366.43676005661194</v>
      </c>
      <c r="AO182" s="59">
        <f t="shared" si="144"/>
        <v>513.80016421153414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0.43768382867788935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0.43768382867788935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0.8600000000003547</v>
      </c>
      <c r="BE182" s="13">
        <f>BD182*VLOOKUP('Données projet'!$B$11,Paramètres!$A$1:$I$89,3,0)*VLOOKUP('Données projet'!$B$11,Paramètres!$A$1:$I$89,5,0)</f>
        <v>0.38012000000015683</v>
      </c>
      <c r="BF182" s="13">
        <f t="shared" si="167"/>
        <v>0.19605142963512551</v>
      </c>
      <c r="BG182" s="20">
        <f t="shared" si="168"/>
        <v>1.0034985732814501</v>
      </c>
      <c r="BH182" s="59">
        <f t="shared" si="116"/>
        <v>294.33683190661475</v>
      </c>
      <c r="BI182" s="59">
        <f ca="1">AVERAGE(OFFSET($BH$3,0,0,'Données projet'!$E$11+1,1))-AVERAGE(OFFSET($H$3,0,0,'Données projet'!$E$11+1,1))</f>
        <v>328.58609979635901</v>
      </c>
      <c r="BJ182" s="59">
        <f t="shared" si="146"/>
        <v>432.3494365423407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25.223288217672071</v>
      </c>
      <c r="BQ182" s="21">
        <f>EXP(-LN(2)/25)*BQ181+(1-EXP(-LN(2)/25))/(LN(2)/25)*Calculateur!BL182*Calculateur!BN182*VLOOKUP('Données projet'!$B$11,Paramètres!$A$1:$I$89,3,0)*0.475*44/12</f>
        <v>0.64235566826609836</v>
      </c>
      <c r="BR182" s="21">
        <f>EXP(-LN(2)/2)*BR181+(1-EXP(-LN(2)/2))/(LN(2)/2)*BL182*BO182*VLOOKUP('Données projet'!$B$11,Paramètres!$A$1:$I$89,3,0)*0.475*44/12</f>
        <v>2.1900844491932135E-23</v>
      </c>
      <c r="BS182" s="22">
        <f t="shared" si="169"/>
        <v>25.865643885938169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19.8100000000004</v>
      </c>
      <c r="BZ182" s="13">
        <f>BY182*VLOOKUP('Données projet'!$B$12,Paramètres!$A$1:$I$89,3,0)*VLOOKUP('Données projet'!$B$12,Paramètres!$A$1:$I$89,5,0)</f>
        <v>18.851196000000382</v>
      </c>
      <c r="CA182" s="13">
        <f t="shared" si="170"/>
        <v>6.172221809210666</v>
      </c>
      <c r="CB182" s="20">
        <f t="shared" si="171"/>
        <v>43.582452684375909</v>
      </c>
      <c r="CC182" s="59">
        <f t="shared" si="119"/>
        <v>336.91578601770925</v>
      </c>
      <c r="CD182" s="59">
        <f ca="1">AVERAGE(OFFSET($CC$3,0,0,'Données projet'!$E$12+1,1))-AVERAGE(OFFSET($H$3,0,0,'Données projet'!$E$12+1,1))</f>
        <v>555.3092253965317</v>
      </c>
      <c r="CE182" s="59">
        <f t="shared" si="148"/>
        <v>292.20785523952651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112.63422292890765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112.63422292890765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243</v>
      </c>
      <c r="CU182" s="17">
        <f>CT182*VLOOKUP('Données projet'!$B$13,Paramètres!$A$1:$I$89,3,0)*VLOOKUP('Données projet'!$B$13,Paramètres!$A$1:$I$89,5,0)</f>
        <v>155.4228</v>
      </c>
      <c r="CV182" s="13">
        <f t="shared" si="173"/>
        <v>39.808377687614154</v>
      </c>
      <c r="CW182" s="20">
        <f t="shared" si="174"/>
        <v>340.02763447259463</v>
      </c>
      <c r="CX182" s="59">
        <f t="shared" si="122"/>
        <v>633.36096780592788</v>
      </c>
      <c r="CY182" s="59">
        <f ca="1">AVERAGE(OFFSET($CX$3,0,0,'Données projet'!$E$13+1,1))-AVERAGE(OFFSET($H$3,0,0,'Données projet'!$E$13+1,1))</f>
        <v>269.44168853803717</v>
      </c>
      <c r="CZ182" s="59">
        <f t="shared" si="150"/>
        <v>247.65158389074043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8.597880751147116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8.597880751147116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6">
        <f t="shared" si="110"/>
        <v>256.66666666666669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259.99999999999983</v>
      </c>
      <c r="O183" s="13">
        <f>N183*VLOOKUP('Données projet'!$B$9,Paramètres!$A$1:$I$89,3,0)*VLOOKUP('Données projet'!$B$9,Paramètres!$A$1:$I$89,5,0)</f>
        <v>227.13599999999985</v>
      </c>
      <c r="P183" s="13">
        <f t="shared" si="141"/>
        <v>55.662966886685133</v>
      </c>
      <c r="Q183" s="20">
        <f t="shared" si="162"/>
        <v>492.5415339943097</v>
      </c>
      <c r="R183" s="59">
        <f t="shared" si="109"/>
        <v>785.87486732764296</v>
      </c>
      <c r="S183" s="59">
        <f ca="1">AVERAGE(OFFSET($R$3,0,0,'Données projet'!$E$9+1,1))-AVERAGE(OFFSET($H$3,0,0,'Données projet'!$E$9+1,1))</f>
        <v>381.72225529388083</v>
      </c>
      <c r="T183" s="59">
        <f t="shared" si="142"/>
        <v>360.05900046417361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13.121334555042573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13.121334555042573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304.99999999999994</v>
      </c>
      <c r="AJ183" s="13">
        <f>AI183*VLOOKUP('Données projet'!$B$10,Paramètres!$A$1:$I$89,3,0)*VLOOKUP('Données projet'!$B$10,Paramètres!$A$1:$I$89,5,0)</f>
        <v>275.96399999999994</v>
      </c>
      <c r="AK183" s="13">
        <f t="shared" si="164"/>
        <v>66.113366665488911</v>
      </c>
      <c r="AL183" s="20">
        <f t="shared" si="165"/>
        <v>595.7847469423931</v>
      </c>
      <c r="AM183" s="59">
        <f t="shared" si="113"/>
        <v>889.11808027572647</v>
      </c>
      <c r="AN183" s="59">
        <f ca="1">AVERAGE(OFFSET($AM$3,0,0,'Données projet'!$E$10+1,1))-AVERAGE(OFFSET($H$3,0,0,'Données projet'!$E$10+1,1))</f>
        <v>366.43676005661194</v>
      </c>
      <c r="AO183" s="59">
        <f t="shared" si="144"/>
        <v>513.80016421153414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0.42910111575829124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0.42910111575829124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0.8600000000003547</v>
      </c>
      <c r="BE183" s="13">
        <f>BD183*VLOOKUP('Données projet'!$B$11,Paramètres!$A$1:$I$89,3,0)*VLOOKUP('Données projet'!$B$11,Paramètres!$A$1:$I$89,5,0)</f>
        <v>0.38012000000015683</v>
      </c>
      <c r="BF183" s="13">
        <f t="shared" si="167"/>
        <v>0.19605142963512551</v>
      </c>
      <c r="BG183" s="20">
        <f t="shared" si="168"/>
        <v>1.0034985732814501</v>
      </c>
      <c r="BH183" s="59">
        <f t="shared" si="116"/>
        <v>294.33683190661475</v>
      </c>
      <c r="BI183" s="59">
        <f ca="1">AVERAGE(OFFSET($BH$3,0,0,'Données projet'!$E$11+1,1))-AVERAGE(OFFSET($H$3,0,0,'Données projet'!$E$11+1,1))</f>
        <v>328.58609979635901</v>
      </c>
      <c r="BJ183" s="59">
        <f t="shared" si="146"/>
        <v>432.3494365423407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24.728674920410224</v>
      </c>
      <c r="BQ183" s="21">
        <f>EXP(-LN(2)/25)*BQ182+(1-EXP(-LN(2)/25))/(LN(2)/25)*Calculateur!BL183*Calculateur!BN183*VLOOKUP('Données projet'!$B$11,Paramètres!$A$1:$I$89,3,0)*0.475*44/12</f>
        <v>0.62479041873734542</v>
      </c>
      <c r="BR183" s="21">
        <f>EXP(-LN(2)/2)*BR182+(1-EXP(-LN(2)/2))/(LN(2)/2)*BL183*BO183*VLOOKUP('Données projet'!$B$11,Paramètres!$A$1:$I$89,3,0)*0.475*44/12</f>
        <v>1.5486235653957261E-23</v>
      </c>
      <c r="BS183" s="22">
        <f t="shared" si="169"/>
        <v>25.353465339147569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19.8100000000004</v>
      </c>
      <c r="BZ183" s="13">
        <f>BY183*VLOOKUP('Données projet'!$B$12,Paramètres!$A$1:$I$89,3,0)*VLOOKUP('Données projet'!$B$12,Paramètres!$A$1:$I$89,5,0)</f>
        <v>18.851196000000382</v>
      </c>
      <c r="CA183" s="13">
        <f t="shared" si="170"/>
        <v>6.172221809210666</v>
      </c>
      <c r="CB183" s="20">
        <f t="shared" si="171"/>
        <v>43.582452684375909</v>
      </c>
      <c r="CC183" s="59">
        <f t="shared" si="119"/>
        <v>336.91578601770925</v>
      </c>
      <c r="CD183" s="59">
        <f ca="1">AVERAGE(OFFSET($CC$3,0,0,'Données projet'!$E$12+1,1))-AVERAGE(OFFSET($H$3,0,0,'Données projet'!$E$12+1,1))</f>
        <v>555.3092253965317</v>
      </c>
      <c r="CE183" s="59">
        <f t="shared" si="148"/>
        <v>292.20785523952651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110.42553451736418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110.42553451736418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243</v>
      </c>
      <c r="CU183" s="17">
        <f>CT183*VLOOKUP('Données projet'!$B$13,Paramètres!$A$1:$I$89,3,0)*VLOOKUP('Données projet'!$B$13,Paramètres!$A$1:$I$89,5,0)</f>
        <v>155.4228</v>
      </c>
      <c r="CV183" s="13">
        <f t="shared" si="173"/>
        <v>39.808377687614154</v>
      </c>
      <c r="CW183" s="20">
        <f t="shared" si="174"/>
        <v>340.02763447259463</v>
      </c>
      <c r="CX183" s="59">
        <f t="shared" si="122"/>
        <v>633.36096780592788</v>
      </c>
      <c r="CY183" s="59">
        <f ca="1">AVERAGE(OFFSET($CX$3,0,0,'Données projet'!$E$13+1,1))-AVERAGE(OFFSET($H$3,0,0,'Données projet'!$E$13+1,1))</f>
        <v>269.44168853803717</v>
      </c>
      <c r="CZ183" s="59">
        <f t="shared" si="150"/>
        <v>247.65158389074043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8.4292815538065593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8.4292815538065593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6">
        <f t="shared" si="110"/>
        <v>256.66666666666669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259.99999999999983</v>
      </c>
      <c r="O184" s="13">
        <f>N184*VLOOKUP('Données projet'!$B$9,Paramètres!$A$1:$I$89,3,0)*VLOOKUP('Données projet'!$B$9,Paramètres!$A$1:$I$89,5,0)</f>
        <v>227.13599999999985</v>
      </c>
      <c r="P184" s="13">
        <f t="shared" si="141"/>
        <v>55.662966886685133</v>
      </c>
      <c r="Q184" s="20">
        <f t="shared" si="162"/>
        <v>492.5415339943097</v>
      </c>
      <c r="R184" s="59">
        <f t="shared" si="109"/>
        <v>785.87486732764296</v>
      </c>
      <c r="S184" s="59">
        <f ca="1">AVERAGE(OFFSET($R$3,0,0,'Données projet'!$E$9+1,1))-AVERAGE(OFFSET($H$3,0,0,'Données projet'!$E$9+1,1))</f>
        <v>381.72225529388083</v>
      </c>
      <c r="T184" s="59">
        <f t="shared" si="142"/>
        <v>360.05900046417361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12.864033187642013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12.864033187642013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304.99999999999994</v>
      </c>
      <c r="AJ184" s="13">
        <f>AI184*VLOOKUP('Données projet'!$B$10,Paramètres!$A$1:$I$89,3,0)*VLOOKUP('Données projet'!$B$10,Paramètres!$A$1:$I$89,5,0)</f>
        <v>275.96399999999994</v>
      </c>
      <c r="AK184" s="13">
        <f t="shared" si="164"/>
        <v>66.113366665488911</v>
      </c>
      <c r="AL184" s="20">
        <f t="shared" si="165"/>
        <v>595.7847469423931</v>
      </c>
      <c r="AM184" s="59">
        <f t="shared" si="113"/>
        <v>889.11808027572647</v>
      </c>
      <c r="AN184" s="59">
        <f ca="1">AVERAGE(OFFSET($AM$3,0,0,'Données projet'!$E$10+1,1))-AVERAGE(OFFSET($H$3,0,0,'Données projet'!$E$10+1,1))</f>
        <v>366.43676005661194</v>
      </c>
      <c r="AO184" s="59">
        <f t="shared" si="144"/>
        <v>513.80016421153414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0.42068670460410851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0.42068670460410851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0.8600000000003547</v>
      </c>
      <c r="BE184" s="13">
        <f>BD184*VLOOKUP('Données projet'!$B$11,Paramètres!$A$1:$I$89,3,0)*VLOOKUP('Données projet'!$B$11,Paramètres!$A$1:$I$89,5,0)</f>
        <v>0.38012000000015683</v>
      </c>
      <c r="BF184" s="13">
        <f t="shared" si="167"/>
        <v>0.19605142963512551</v>
      </c>
      <c r="BG184" s="20">
        <f t="shared" si="168"/>
        <v>1.0034985732814501</v>
      </c>
      <c r="BH184" s="59">
        <f t="shared" si="116"/>
        <v>294.33683190661475</v>
      </c>
      <c r="BI184" s="59">
        <f ca="1">AVERAGE(OFFSET($BH$3,0,0,'Données projet'!$E$11+1,1))-AVERAGE(OFFSET($H$3,0,0,'Données projet'!$E$11+1,1))</f>
        <v>328.58609979635901</v>
      </c>
      <c r="BJ184" s="59">
        <f t="shared" si="146"/>
        <v>432.3494365423407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24.243760688223357</v>
      </c>
      <c r="BQ184" s="21">
        <f>EXP(-LN(2)/25)*BQ183+(1-EXP(-LN(2)/25))/(LN(2)/25)*Calculateur!BL184*Calculateur!BN184*VLOOKUP('Données projet'!$B$11,Paramètres!$A$1:$I$89,3,0)*0.475*44/12</f>
        <v>0.60770549188067258</v>
      </c>
      <c r="BR184" s="21">
        <f>EXP(-LN(2)/2)*BR183+(1-EXP(-LN(2)/2))/(LN(2)/2)*BL184*BO184*VLOOKUP('Données projet'!$B$11,Paramètres!$A$1:$I$89,3,0)*0.475*44/12</f>
        <v>1.0950422245966068E-23</v>
      </c>
      <c r="BS184" s="22">
        <f t="shared" si="169"/>
        <v>24.85146618010403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19.8100000000004</v>
      </c>
      <c r="BZ184" s="13">
        <f>BY184*VLOOKUP('Données projet'!$B$12,Paramètres!$A$1:$I$89,3,0)*VLOOKUP('Données projet'!$B$12,Paramètres!$A$1:$I$89,5,0)</f>
        <v>18.851196000000382</v>
      </c>
      <c r="CA184" s="13">
        <f t="shared" si="170"/>
        <v>6.172221809210666</v>
      </c>
      <c r="CB184" s="20">
        <f t="shared" si="171"/>
        <v>43.582452684375909</v>
      </c>
      <c r="CC184" s="59">
        <f t="shared" si="119"/>
        <v>336.91578601770925</v>
      </c>
      <c r="CD184" s="59">
        <f ca="1">AVERAGE(OFFSET($CC$3,0,0,'Données projet'!$E$12+1,1))-AVERAGE(OFFSET($H$3,0,0,'Données projet'!$E$12+1,1))</f>
        <v>555.3092253965317</v>
      </c>
      <c r="CE184" s="59">
        <f t="shared" si="148"/>
        <v>292.20785523952651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108.26015713840418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108.26015713840418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243</v>
      </c>
      <c r="CU184" s="17">
        <f>CT184*VLOOKUP('Données projet'!$B$13,Paramètres!$A$1:$I$89,3,0)*VLOOKUP('Données projet'!$B$13,Paramètres!$A$1:$I$89,5,0)</f>
        <v>155.4228</v>
      </c>
      <c r="CV184" s="13">
        <f t="shared" si="173"/>
        <v>39.808377687614154</v>
      </c>
      <c r="CW184" s="20">
        <f t="shared" si="174"/>
        <v>340.02763447259463</v>
      </c>
      <c r="CX184" s="59">
        <f t="shared" si="122"/>
        <v>633.36096780592788</v>
      </c>
      <c r="CY184" s="59">
        <f ca="1">AVERAGE(OFFSET($CX$3,0,0,'Données projet'!$E$13+1,1))-AVERAGE(OFFSET($H$3,0,0,'Données projet'!$E$13+1,1))</f>
        <v>269.44168853803717</v>
      </c>
      <c r="CZ184" s="59">
        <f t="shared" si="150"/>
        <v>247.65158389074043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8.2639884838904933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8.2639884838904933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6">
        <f t="shared" si="110"/>
        <v>256.66666666666669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259.99999999999983</v>
      </c>
      <c r="O185" s="13">
        <f>N185*VLOOKUP('Données projet'!$B$9,Paramètres!$A$1:$I$89,3,0)*VLOOKUP('Données projet'!$B$9,Paramètres!$A$1:$I$89,5,0)</f>
        <v>227.13599999999985</v>
      </c>
      <c r="P185" s="13">
        <f t="shared" si="141"/>
        <v>55.662966886685133</v>
      </c>
      <c r="Q185" s="20">
        <f t="shared" si="162"/>
        <v>492.5415339943097</v>
      </c>
      <c r="R185" s="59">
        <f t="shared" si="109"/>
        <v>785.87486732764296</v>
      </c>
      <c r="S185" s="59">
        <f ca="1">AVERAGE(OFFSET($R$3,0,0,'Données projet'!$E$9+1,1))-AVERAGE(OFFSET($H$3,0,0,'Données projet'!$E$9+1,1))</f>
        <v>381.72225529388083</v>
      </c>
      <c r="T185" s="59">
        <f t="shared" si="142"/>
        <v>360.05900046417361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12.611777343117842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12.611777343117842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304.99999999999994</v>
      </c>
      <c r="AJ185" s="13">
        <f>AI185*VLOOKUP('Données projet'!$B$10,Paramètres!$A$1:$I$89,3,0)*VLOOKUP('Données projet'!$B$10,Paramètres!$A$1:$I$89,5,0)</f>
        <v>275.96399999999994</v>
      </c>
      <c r="AK185" s="13">
        <f t="shared" si="164"/>
        <v>66.113366665488911</v>
      </c>
      <c r="AL185" s="20">
        <f t="shared" si="165"/>
        <v>595.7847469423931</v>
      </c>
      <c r="AM185" s="59">
        <f t="shared" si="113"/>
        <v>889.11808027572647</v>
      </c>
      <c r="AN185" s="59">
        <f ca="1">AVERAGE(OFFSET($AM$3,0,0,'Données projet'!$E$10+1,1))-AVERAGE(OFFSET($H$3,0,0,'Données projet'!$E$10+1,1))</f>
        <v>366.43676005661194</v>
      </c>
      <c r="AO185" s="59">
        <f t="shared" si="144"/>
        <v>513.80016421153414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0.41243729492037523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0.41243729492037523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0.8600000000003547</v>
      </c>
      <c r="BE185" s="13">
        <f>BD185*VLOOKUP('Données projet'!$B$11,Paramètres!$A$1:$I$89,3,0)*VLOOKUP('Données projet'!$B$11,Paramètres!$A$1:$I$89,5,0)</f>
        <v>0.38012000000015683</v>
      </c>
      <c r="BF185" s="13">
        <f t="shared" si="167"/>
        <v>0.19605142963512551</v>
      </c>
      <c r="BG185" s="20">
        <f t="shared" si="168"/>
        <v>1.0034985732814501</v>
      </c>
      <c r="BH185" s="59">
        <f t="shared" si="116"/>
        <v>294.33683190661475</v>
      </c>
      <c r="BI185" s="59">
        <f ca="1">AVERAGE(OFFSET($BH$3,0,0,'Données projet'!$E$11+1,1))-AVERAGE(OFFSET($H$3,0,0,'Données projet'!$E$11+1,1))</f>
        <v>328.58609979635901</v>
      </c>
      <c r="BJ185" s="59">
        <f t="shared" si="146"/>
        <v>432.3494365423407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23.768355328361199</v>
      </c>
      <c r="BQ185" s="21">
        <f>EXP(-LN(2)/25)*BQ184+(1-EXP(-LN(2)/25))/(LN(2)/25)*Calculateur!BL185*Calculateur!BN185*VLOOKUP('Données projet'!$B$11,Paramètres!$A$1:$I$89,3,0)*0.475*44/12</f>
        <v>0.59108775324735274</v>
      </c>
      <c r="BR185" s="21">
        <f>EXP(-LN(2)/2)*BR184+(1-EXP(-LN(2)/2))/(LN(2)/2)*BL185*BO185*VLOOKUP('Données projet'!$B$11,Paramètres!$A$1:$I$89,3,0)*0.475*44/12</f>
        <v>7.7431178269786303E-24</v>
      </c>
      <c r="BS185" s="22">
        <f t="shared" si="169"/>
        <v>24.359443081608553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19.8100000000004</v>
      </c>
      <c r="BZ185" s="13">
        <f>BY185*VLOOKUP('Données projet'!$B$12,Paramètres!$A$1:$I$89,3,0)*VLOOKUP('Données projet'!$B$12,Paramètres!$A$1:$I$89,5,0)</f>
        <v>18.851196000000382</v>
      </c>
      <c r="CA185" s="13">
        <f t="shared" si="170"/>
        <v>6.172221809210666</v>
      </c>
      <c r="CB185" s="20">
        <f t="shared" si="171"/>
        <v>43.582452684375909</v>
      </c>
      <c r="CC185" s="59">
        <f t="shared" si="119"/>
        <v>336.91578601770925</v>
      </c>
      <c r="CD185" s="59">
        <f ca="1">AVERAGE(OFFSET($CC$3,0,0,'Données projet'!$E$12+1,1))-AVERAGE(OFFSET($H$3,0,0,'Données projet'!$E$12+1,1))</f>
        <v>555.3092253965317</v>
      </c>
      <c r="CE185" s="59">
        <f t="shared" si="148"/>
        <v>292.20785523952651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106.1372414890958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106.1372414890958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243</v>
      </c>
      <c r="CU185" s="17">
        <f>CT185*VLOOKUP('Données projet'!$B$13,Paramètres!$A$1:$I$89,3,0)*VLOOKUP('Données projet'!$B$13,Paramètres!$A$1:$I$89,5,0)</f>
        <v>155.4228</v>
      </c>
      <c r="CV185" s="13">
        <f t="shared" si="173"/>
        <v>39.808377687614154</v>
      </c>
      <c r="CW185" s="20">
        <f t="shared" si="174"/>
        <v>340.02763447259463</v>
      </c>
      <c r="CX185" s="59">
        <f t="shared" si="122"/>
        <v>633.36096780592788</v>
      </c>
      <c r="CY185" s="59">
        <f ca="1">AVERAGE(OFFSET($CX$3,0,0,'Données projet'!$E$13+1,1))-AVERAGE(OFFSET($H$3,0,0,'Données projet'!$E$13+1,1))</f>
        <v>269.44168853803717</v>
      </c>
      <c r="CZ185" s="59">
        <f t="shared" si="150"/>
        <v>247.65158389074043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8.1019367102566644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8.1019367102566644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6">
        <f t="shared" si="110"/>
        <v>256.66666666666669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259.99999999999983</v>
      </c>
      <c r="O186" s="13">
        <f>N186*VLOOKUP('Données projet'!$B$9,Paramètres!$A$1:$I$89,3,0)*VLOOKUP('Données projet'!$B$9,Paramètres!$A$1:$I$89,5,0)</f>
        <v>227.13599999999985</v>
      </c>
      <c r="P186" s="13">
        <f t="shared" si="141"/>
        <v>55.662966886685133</v>
      </c>
      <c r="Q186" s="20">
        <f t="shared" si="162"/>
        <v>492.5415339943097</v>
      </c>
      <c r="R186" s="59">
        <f t="shared" si="109"/>
        <v>785.87486732764296</v>
      </c>
      <c r="S186" s="59">
        <f ca="1">AVERAGE(OFFSET($R$3,0,0,'Données projet'!$E$9+1,1))-AVERAGE(OFFSET($H$3,0,0,'Données projet'!$E$9+1,1))</f>
        <v>381.72225529388083</v>
      </c>
      <c r="T186" s="59">
        <f t="shared" si="142"/>
        <v>360.05900046417361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12.364468081843917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12.364468081843917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304.99999999999994</v>
      </c>
      <c r="AJ186" s="13">
        <f>AI186*VLOOKUP('Données projet'!$B$10,Paramètres!$A$1:$I$89,3,0)*VLOOKUP('Données projet'!$B$10,Paramètres!$A$1:$I$89,5,0)</f>
        <v>275.96399999999994</v>
      </c>
      <c r="AK186" s="13">
        <f t="shared" si="164"/>
        <v>66.113366665488911</v>
      </c>
      <c r="AL186" s="20">
        <f t="shared" si="165"/>
        <v>595.7847469423931</v>
      </c>
      <c r="AM186" s="59">
        <f t="shared" si="113"/>
        <v>889.11808027572647</v>
      </c>
      <c r="AN186" s="59">
        <f ca="1">AVERAGE(OFFSET($AM$3,0,0,'Données projet'!$E$10+1,1))-AVERAGE(OFFSET($H$3,0,0,'Données projet'!$E$10+1,1))</f>
        <v>366.43676005661194</v>
      </c>
      <c r="AO186" s="59">
        <f t="shared" si="144"/>
        <v>513.80016421153414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0.40434965112889693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0.40434965112889693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0.8600000000003547</v>
      </c>
      <c r="BE186" s="13">
        <f>BD186*VLOOKUP('Données projet'!$B$11,Paramètres!$A$1:$I$89,3,0)*VLOOKUP('Données projet'!$B$11,Paramètres!$A$1:$I$89,5,0)</f>
        <v>0.38012000000015683</v>
      </c>
      <c r="BF186" s="13">
        <f t="shared" si="167"/>
        <v>0.19605142963512551</v>
      </c>
      <c r="BG186" s="20">
        <f t="shared" si="168"/>
        <v>1.0034985732814501</v>
      </c>
      <c r="BH186" s="59">
        <f t="shared" si="116"/>
        <v>294.33683190661475</v>
      </c>
      <c r="BI186" s="59">
        <f ca="1">AVERAGE(OFFSET($BH$3,0,0,'Données projet'!$E$11+1,1))-AVERAGE(OFFSET($H$3,0,0,'Données projet'!$E$11+1,1))</f>
        <v>328.58609979635901</v>
      </c>
      <c r="BJ186" s="59">
        <f t="shared" si="146"/>
        <v>432.3494365423407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23.302272377637301</v>
      </c>
      <c r="BQ186" s="21">
        <f>EXP(-LN(2)/25)*BQ185+(1-EXP(-LN(2)/25))/(LN(2)/25)*Calculateur!BL186*Calculateur!BN186*VLOOKUP('Données projet'!$B$11,Paramètres!$A$1:$I$89,3,0)*0.475*44/12</f>
        <v>0.57492442755084994</v>
      </c>
      <c r="BR186" s="21">
        <f>EXP(-LN(2)/2)*BR185+(1-EXP(-LN(2)/2))/(LN(2)/2)*BL186*BO186*VLOOKUP('Données projet'!$B$11,Paramètres!$A$1:$I$89,3,0)*0.475*44/12</f>
        <v>5.4752111229830338E-24</v>
      </c>
      <c r="BS186" s="22">
        <f t="shared" si="169"/>
        <v>23.877196805188152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19.8100000000004</v>
      </c>
      <c r="BZ186" s="13">
        <f>BY186*VLOOKUP('Données projet'!$B$12,Paramètres!$A$1:$I$89,3,0)*VLOOKUP('Données projet'!$B$12,Paramètres!$A$1:$I$89,5,0)</f>
        <v>18.851196000000382</v>
      </c>
      <c r="CA186" s="13">
        <f t="shared" si="170"/>
        <v>6.172221809210666</v>
      </c>
      <c r="CB186" s="20">
        <f t="shared" si="171"/>
        <v>43.582452684375909</v>
      </c>
      <c r="CC186" s="59">
        <f t="shared" si="119"/>
        <v>336.91578601770925</v>
      </c>
      <c r="CD186" s="59">
        <f ca="1">AVERAGE(OFFSET($CC$3,0,0,'Données projet'!$E$12+1,1))-AVERAGE(OFFSET($H$3,0,0,'Données projet'!$E$12+1,1))</f>
        <v>555.3092253965317</v>
      </c>
      <c r="CE186" s="59">
        <f t="shared" si="148"/>
        <v>292.20785523952651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104.05595492081966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104.05595492081966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243</v>
      </c>
      <c r="CU186" s="17">
        <f>CT186*VLOOKUP('Données projet'!$B$13,Paramètres!$A$1:$I$89,3,0)*VLOOKUP('Données projet'!$B$13,Paramètres!$A$1:$I$89,5,0)</f>
        <v>155.4228</v>
      </c>
      <c r="CV186" s="13">
        <f t="shared" si="173"/>
        <v>39.808377687614154</v>
      </c>
      <c r="CW186" s="20">
        <f t="shared" si="174"/>
        <v>340.02763447259463</v>
      </c>
      <c r="CX186" s="59">
        <f t="shared" si="122"/>
        <v>633.36096780592788</v>
      </c>
      <c r="CY186" s="59">
        <f ca="1">AVERAGE(OFFSET($CX$3,0,0,'Données projet'!$E$13+1,1))-AVERAGE(OFFSET($H$3,0,0,'Données projet'!$E$13+1,1))</f>
        <v>269.44168853803717</v>
      </c>
      <c r="CZ186" s="59">
        <f t="shared" si="150"/>
        <v>247.65158389074043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7.9430626730619727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7.9430626730619727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6">
        <f t="shared" si="110"/>
        <v>256.66666666666669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259.99999999999983</v>
      </c>
      <c r="O187" s="13">
        <f>N187*VLOOKUP('Données projet'!$B$9,Paramètres!$A$1:$I$89,3,0)*VLOOKUP('Données projet'!$B$9,Paramètres!$A$1:$I$89,5,0)</f>
        <v>227.13599999999985</v>
      </c>
      <c r="P187" s="13">
        <f t="shared" si="141"/>
        <v>55.662966886685133</v>
      </c>
      <c r="Q187" s="20">
        <f t="shared" si="162"/>
        <v>492.5415339943097</v>
      </c>
      <c r="R187" s="59">
        <f t="shared" si="109"/>
        <v>785.87486732764296</v>
      </c>
      <c r="S187" s="59">
        <f ca="1">AVERAGE(OFFSET($R$3,0,0,'Données projet'!$E$9+1,1))-AVERAGE(OFFSET($H$3,0,0,'Données projet'!$E$9+1,1))</f>
        <v>381.72225529388083</v>
      </c>
      <c r="T187" s="59">
        <f t="shared" si="142"/>
        <v>360.05900046417361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12.122008404339818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12.122008404339818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304.99999999999994</v>
      </c>
      <c r="AJ187" s="13">
        <f>AI187*VLOOKUP('Données projet'!$B$10,Paramètres!$A$1:$I$89,3,0)*VLOOKUP('Données projet'!$B$10,Paramètres!$A$1:$I$89,5,0)</f>
        <v>275.96399999999994</v>
      </c>
      <c r="AK187" s="13">
        <f t="shared" si="164"/>
        <v>66.113366665488911</v>
      </c>
      <c r="AL187" s="20">
        <f t="shared" si="165"/>
        <v>595.7847469423931</v>
      </c>
      <c r="AM187" s="59">
        <f t="shared" si="113"/>
        <v>889.11808027572647</v>
      </c>
      <c r="AN187" s="59">
        <f ca="1">AVERAGE(OFFSET($AM$3,0,0,'Données projet'!$E$10+1,1))-AVERAGE(OFFSET($H$3,0,0,'Données projet'!$E$10+1,1))</f>
        <v>366.43676005661194</v>
      </c>
      <c r="AO187" s="59">
        <f t="shared" si="144"/>
        <v>513.80016421153414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0.39642060109919386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0.39642060109919386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0.8600000000003547</v>
      </c>
      <c r="BE187" s="13">
        <f>BD187*VLOOKUP('Données projet'!$B$11,Paramètres!$A$1:$I$89,3,0)*VLOOKUP('Données projet'!$B$11,Paramètres!$A$1:$I$89,5,0)</f>
        <v>0.38012000000015683</v>
      </c>
      <c r="BF187" s="13">
        <f t="shared" si="167"/>
        <v>0.19605142963512551</v>
      </c>
      <c r="BG187" s="20">
        <f t="shared" si="168"/>
        <v>1.0034985732814501</v>
      </c>
      <c r="BH187" s="59">
        <f t="shared" si="116"/>
        <v>294.33683190661475</v>
      </c>
      <c r="BI187" s="59">
        <f ca="1">AVERAGE(OFFSET($BH$3,0,0,'Données projet'!$E$11+1,1))-AVERAGE(OFFSET($H$3,0,0,'Données projet'!$E$11+1,1))</f>
        <v>328.58609979635901</v>
      </c>
      <c r="BJ187" s="59">
        <f t="shared" si="146"/>
        <v>432.3494365423407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22.845329029294568</v>
      </c>
      <c r="BQ187" s="21">
        <f>EXP(-LN(2)/25)*BQ186+(1-EXP(-LN(2)/25))/(LN(2)/25)*Calculateur!BL187*Calculateur!BN187*VLOOKUP('Données projet'!$B$11,Paramètres!$A$1:$I$89,3,0)*0.475*44/12</f>
        <v>0.55920308884551029</v>
      </c>
      <c r="BR187" s="21">
        <f>EXP(-LN(2)/2)*BR186+(1-EXP(-LN(2)/2))/(LN(2)/2)*BL187*BO187*VLOOKUP('Données projet'!$B$11,Paramètres!$A$1:$I$89,3,0)*0.475*44/12</f>
        <v>3.8715589134893152E-24</v>
      </c>
      <c r="BS187" s="22">
        <f t="shared" si="169"/>
        <v>23.404532118140079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19.8100000000004</v>
      </c>
      <c r="BZ187" s="13">
        <f>BY187*VLOOKUP('Données projet'!$B$12,Paramètres!$A$1:$I$89,3,0)*VLOOKUP('Données projet'!$B$12,Paramètres!$A$1:$I$89,5,0)</f>
        <v>18.851196000000382</v>
      </c>
      <c r="CA187" s="13">
        <f t="shared" si="170"/>
        <v>6.172221809210666</v>
      </c>
      <c r="CB187" s="20">
        <f t="shared" si="171"/>
        <v>43.582452684375909</v>
      </c>
      <c r="CC187" s="59">
        <f t="shared" si="119"/>
        <v>336.91578601770925</v>
      </c>
      <c r="CD187" s="59">
        <f ca="1">AVERAGE(OFFSET($CC$3,0,0,'Données projet'!$E$12+1,1))-AVERAGE(OFFSET($H$3,0,0,'Données projet'!$E$12+1,1))</f>
        <v>555.3092253965317</v>
      </c>
      <c r="CE187" s="59">
        <f t="shared" si="148"/>
        <v>292.20785523952651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102.01548111268795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102.01548111268795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243</v>
      </c>
      <c r="CU187" s="17">
        <f>CT187*VLOOKUP('Données projet'!$B$13,Paramètres!$A$1:$I$89,3,0)*VLOOKUP('Données projet'!$B$13,Paramètres!$A$1:$I$89,5,0)</f>
        <v>155.4228</v>
      </c>
      <c r="CV187" s="13">
        <f t="shared" si="173"/>
        <v>39.808377687614154</v>
      </c>
      <c r="CW187" s="20">
        <f t="shared" si="174"/>
        <v>340.02763447259463</v>
      </c>
      <c r="CX187" s="59">
        <f t="shared" si="122"/>
        <v>633.36096780592788</v>
      </c>
      <c r="CY187" s="59">
        <f ca="1">AVERAGE(OFFSET($CX$3,0,0,'Données projet'!$E$13+1,1))-AVERAGE(OFFSET($H$3,0,0,'Données projet'!$E$13+1,1))</f>
        <v>269.44168853803717</v>
      </c>
      <c r="CZ187" s="59">
        <f t="shared" si="150"/>
        <v>247.65158389074043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7.7873040588330751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7.7873040588330751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6">
        <f t="shared" si="110"/>
        <v>256.66666666666669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259.99999999999983</v>
      </c>
      <c r="O188" s="13">
        <f>N188*VLOOKUP('Données projet'!$B$9,Paramètres!$A$1:$I$89,3,0)*VLOOKUP('Données projet'!$B$9,Paramètres!$A$1:$I$89,5,0)</f>
        <v>227.13599999999985</v>
      </c>
      <c r="P188" s="13">
        <f t="shared" si="141"/>
        <v>55.662966886685133</v>
      </c>
      <c r="Q188" s="20">
        <f t="shared" si="162"/>
        <v>492.5415339943097</v>
      </c>
      <c r="R188" s="59">
        <f t="shared" si="109"/>
        <v>785.87486732764296</v>
      </c>
      <c r="S188" s="59">
        <f ca="1">AVERAGE(OFFSET($R$3,0,0,'Données projet'!$E$9+1,1))-AVERAGE(OFFSET($H$3,0,0,'Données projet'!$E$9+1,1))</f>
        <v>381.72225529388083</v>
      </c>
      <c r="T188" s="59">
        <f t="shared" si="142"/>
        <v>360.05900046417361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11.884303213225774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11.884303213225774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304.99999999999994</v>
      </c>
      <c r="AJ188" s="13">
        <f>AI188*VLOOKUP('Données projet'!$B$10,Paramètres!$A$1:$I$89,3,0)*VLOOKUP('Données projet'!$B$10,Paramètres!$A$1:$I$89,5,0)</f>
        <v>275.96399999999994</v>
      </c>
      <c r="AK188" s="13">
        <f t="shared" si="164"/>
        <v>66.113366665488911</v>
      </c>
      <c r="AL188" s="20">
        <f t="shared" si="165"/>
        <v>595.7847469423931</v>
      </c>
      <c r="AM188" s="59">
        <f t="shared" si="113"/>
        <v>889.11808027572647</v>
      </c>
      <c r="AN188" s="59">
        <f ca="1">AVERAGE(OFFSET($AM$3,0,0,'Données projet'!$E$10+1,1))-AVERAGE(OFFSET($H$3,0,0,'Données projet'!$E$10+1,1))</f>
        <v>366.43676005661194</v>
      </c>
      <c r="AO188" s="59">
        <f t="shared" si="144"/>
        <v>513.80016421153414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0.38864703490433028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0.38864703490433028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0.8600000000003547</v>
      </c>
      <c r="BE188" s="13">
        <f>BD188*VLOOKUP('Données projet'!$B$11,Paramètres!$A$1:$I$89,3,0)*VLOOKUP('Données projet'!$B$11,Paramètres!$A$1:$I$89,5,0)</f>
        <v>0.38012000000015683</v>
      </c>
      <c r="BF188" s="13">
        <f t="shared" si="167"/>
        <v>0.19605142963512551</v>
      </c>
      <c r="BG188" s="20">
        <f t="shared" si="168"/>
        <v>1.0034985732814501</v>
      </c>
      <c r="BH188" s="59">
        <f t="shared" si="116"/>
        <v>294.33683190661475</v>
      </c>
      <c r="BI188" s="59">
        <f ca="1">AVERAGE(OFFSET($BH$3,0,0,'Données projet'!$E$11+1,1))-AVERAGE(OFFSET($H$3,0,0,'Données projet'!$E$11+1,1))</f>
        <v>328.58609979635901</v>
      </c>
      <c r="BJ188" s="59">
        <f t="shared" si="146"/>
        <v>432.3494365423407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22.397346061304916</v>
      </c>
      <c r="BQ188" s="21">
        <f>EXP(-LN(2)/25)*BQ187+(1-EXP(-LN(2)/25))/(LN(2)/25)*Calculateur!BL188*Calculateur!BN188*VLOOKUP('Données projet'!$B$11,Paramètres!$A$1:$I$89,3,0)*0.475*44/12</f>
        <v>0.54391165097381744</v>
      </c>
      <c r="BR188" s="21">
        <f>EXP(-LN(2)/2)*BR187+(1-EXP(-LN(2)/2))/(LN(2)/2)*BL188*BO188*VLOOKUP('Données projet'!$B$11,Paramètres!$A$1:$I$89,3,0)*0.475*44/12</f>
        <v>2.7376055614915169E-24</v>
      </c>
      <c r="BS188" s="22">
        <f t="shared" si="169"/>
        <v>22.941257712278734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19.8100000000004</v>
      </c>
      <c r="BZ188" s="13">
        <f>BY188*VLOOKUP('Données projet'!$B$12,Paramètres!$A$1:$I$89,3,0)*VLOOKUP('Données projet'!$B$12,Paramètres!$A$1:$I$89,5,0)</f>
        <v>18.851196000000382</v>
      </c>
      <c r="CA188" s="13">
        <f t="shared" si="170"/>
        <v>6.172221809210666</v>
      </c>
      <c r="CB188" s="20">
        <f t="shared" si="171"/>
        <v>43.582452684375909</v>
      </c>
      <c r="CC188" s="59">
        <f t="shared" si="119"/>
        <v>336.91578601770925</v>
      </c>
      <c r="CD188" s="59">
        <f ca="1">AVERAGE(OFFSET($CC$3,0,0,'Données projet'!$E$12+1,1))-AVERAGE(OFFSET($H$3,0,0,'Données projet'!$E$12+1,1))</f>
        <v>555.3092253965317</v>
      </c>
      <c r="CE188" s="59">
        <f t="shared" si="148"/>
        <v>292.20785523952651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100.01501975136757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100.01501975136757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243</v>
      </c>
      <c r="CU188" s="17">
        <f>CT188*VLOOKUP('Données projet'!$B$13,Paramètres!$A$1:$I$89,3,0)*VLOOKUP('Données projet'!$B$13,Paramètres!$A$1:$I$89,5,0)</f>
        <v>155.4228</v>
      </c>
      <c r="CV188" s="13">
        <f t="shared" si="173"/>
        <v>39.808377687614154</v>
      </c>
      <c r="CW188" s="20">
        <f t="shared" si="174"/>
        <v>340.02763447259463</v>
      </c>
      <c r="CX188" s="59">
        <f t="shared" si="122"/>
        <v>633.36096780592788</v>
      </c>
      <c r="CY188" s="59">
        <f ca="1">AVERAGE(OFFSET($CX$3,0,0,'Données projet'!$E$13+1,1))-AVERAGE(OFFSET($H$3,0,0,'Données projet'!$E$13+1,1))</f>
        <v>269.44168853803717</v>
      </c>
      <c r="CZ188" s="59">
        <f t="shared" si="150"/>
        <v>247.65158389074043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7.6345997760258317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7.6345997760258317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6">
        <f t="shared" si="110"/>
        <v>256.66666666666669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259.99999999999983</v>
      </c>
      <c r="O189" s="13">
        <f>N189*VLOOKUP('Données projet'!$B$9,Paramètres!$A$1:$I$89,3,0)*VLOOKUP('Données projet'!$B$9,Paramètres!$A$1:$I$89,5,0)</f>
        <v>227.13599999999985</v>
      </c>
      <c r="P189" s="13">
        <f t="shared" si="141"/>
        <v>55.662966886685133</v>
      </c>
      <c r="Q189" s="20">
        <f t="shared" si="162"/>
        <v>492.5415339943097</v>
      </c>
      <c r="R189" s="59">
        <f t="shared" si="109"/>
        <v>785.87486732764296</v>
      </c>
      <c r="S189" s="59">
        <f ca="1">AVERAGE(OFFSET($R$3,0,0,'Données projet'!$E$9+1,1))-AVERAGE(OFFSET($H$3,0,0,'Données projet'!$E$9+1,1))</f>
        <v>381.72225529388083</v>
      </c>
      <c r="T189" s="59">
        <f t="shared" si="142"/>
        <v>360.05900046417361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11.651259275923627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11.651259275923627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304.99999999999994</v>
      </c>
      <c r="AJ189" s="13">
        <f>AI189*VLOOKUP('Données projet'!$B$10,Paramètres!$A$1:$I$89,3,0)*VLOOKUP('Données projet'!$B$10,Paramètres!$A$1:$I$89,5,0)</f>
        <v>275.96399999999994</v>
      </c>
      <c r="AK189" s="13">
        <f t="shared" si="164"/>
        <v>66.113366665488911</v>
      </c>
      <c r="AL189" s="20">
        <f t="shared" si="165"/>
        <v>595.7847469423931</v>
      </c>
      <c r="AM189" s="59">
        <f t="shared" si="113"/>
        <v>889.11808027572647</v>
      </c>
      <c r="AN189" s="59">
        <f ca="1">AVERAGE(OFFSET($AM$3,0,0,'Données projet'!$E$10+1,1))-AVERAGE(OFFSET($H$3,0,0,'Données projet'!$E$10+1,1))</f>
        <v>366.43676005661194</v>
      </c>
      <c r="AO189" s="59">
        <f t="shared" si="144"/>
        <v>513.80016421153414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0.3810259036011408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0.3810259036011408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0.8600000000003547</v>
      </c>
      <c r="BE189" s="13">
        <f>BD189*VLOOKUP('Données projet'!$B$11,Paramètres!$A$1:$I$89,3,0)*VLOOKUP('Données projet'!$B$11,Paramètres!$A$1:$I$89,5,0)</f>
        <v>0.38012000000015683</v>
      </c>
      <c r="BF189" s="13">
        <f t="shared" si="167"/>
        <v>0.19605142963512551</v>
      </c>
      <c r="BG189" s="20">
        <f t="shared" si="168"/>
        <v>1.0034985732814501</v>
      </c>
      <c r="BH189" s="59">
        <f t="shared" si="116"/>
        <v>294.33683190661475</v>
      </c>
      <c r="BI189" s="59">
        <f ca="1">AVERAGE(OFFSET($BH$3,0,0,'Données projet'!$E$11+1,1))-AVERAGE(OFFSET($H$3,0,0,'Données projet'!$E$11+1,1))</f>
        <v>328.58609979635901</v>
      </c>
      <c r="BJ189" s="59">
        <f t="shared" si="146"/>
        <v>432.3494365423407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21.958147766074909</v>
      </c>
      <c r="BQ189" s="21">
        <f>EXP(-LN(2)/25)*BQ188+(1-EXP(-LN(2)/25))/(LN(2)/25)*Calculateur!BL189*Calculateur!BN189*VLOOKUP('Données projet'!$B$11,Paramètres!$A$1:$I$89,3,0)*0.475*44/12</f>
        <v>0.52903835827486778</v>
      </c>
      <c r="BR189" s="21">
        <f>EXP(-LN(2)/2)*BR188+(1-EXP(-LN(2)/2))/(LN(2)/2)*BL189*BO189*VLOOKUP('Données projet'!$B$11,Paramètres!$A$1:$I$89,3,0)*0.475*44/12</f>
        <v>1.9357794567446576E-24</v>
      </c>
      <c r="BS189" s="22">
        <f t="shared" si="169"/>
        <v>22.487186124349776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19.8100000000004</v>
      </c>
      <c r="BZ189" s="13">
        <f>BY189*VLOOKUP('Données projet'!$B$12,Paramètres!$A$1:$I$89,3,0)*VLOOKUP('Données projet'!$B$12,Paramètres!$A$1:$I$89,5,0)</f>
        <v>18.851196000000382</v>
      </c>
      <c r="CA189" s="13">
        <f t="shared" si="170"/>
        <v>6.172221809210666</v>
      </c>
      <c r="CB189" s="20">
        <f t="shared" si="171"/>
        <v>43.582452684375909</v>
      </c>
      <c r="CC189" s="59">
        <f t="shared" si="119"/>
        <v>336.91578601770925</v>
      </c>
      <c r="CD189" s="59">
        <f ca="1">AVERAGE(OFFSET($CC$3,0,0,'Données projet'!$E$12+1,1))-AVERAGE(OFFSET($H$3,0,0,'Données projet'!$E$12+1,1))</f>
        <v>555.3092253965317</v>
      </c>
      <c r="CE189" s="59">
        <f t="shared" si="148"/>
        <v>292.20785523952651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98.053786217181752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98.053786217181752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243</v>
      </c>
      <c r="CU189" s="17">
        <f>CT189*VLOOKUP('Données projet'!$B$13,Paramètres!$A$1:$I$89,3,0)*VLOOKUP('Données projet'!$B$13,Paramètres!$A$1:$I$89,5,0)</f>
        <v>155.4228</v>
      </c>
      <c r="CV189" s="13">
        <f t="shared" si="173"/>
        <v>39.808377687614154</v>
      </c>
      <c r="CW189" s="20">
        <f t="shared" si="174"/>
        <v>340.02763447259463</v>
      </c>
      <c r="CX189" s="59">
        <f t="shared" si="122"/>
        <v>633.36096780592788</v>
      </c>
      <c r="CY189" s="59">
        <f ca="1">AVERAGE(OFFSET($CX$3,0,0,'Données projet'!$E$13+1,1))-AVERAGE(OFFSET($H$3,0,0,'Données projet'!$E$13+1,1))</f>
        <v>269.44168853803717</v>
      </c>
      <c r="CZ189" s="59">
        <f t="shared" si="150"/>
        <v>247.65158389074043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7.4848899310640231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7.4848899310640231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6">
        <f t="shared" si="110"/>
        <v>256.66666666666669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259.99999999999983</v>
      </c>
      <c r="O190" s="13">
        <f>N190*VLOOKUP('Données projet'!$B$9,Paramètres!$A$1:$I$89,3,0)*VLOOKUP('Données projet'!$B$9,Paramètres!$A$1:$I$89,5,0)</f>
        <v>227.13599999999985</v>
      </c>
      <c r="P190" s="13">
        <f t="shared" si="141"/>
        <v>55.662966886685133</v>
      </c>
      <c r="Q190" s="20">
        <f t="shared" si="162"/>
        <v>492.5415339943097</v>
      </c>
      <c r="R190" s="59">
        <f t="shared" si="109"/>
        <v>785.87486732764296</v>
      </c>
      <c r="S190" s="59">
        <f ca="1">AVERAGE(OFFSET($R$3,0,0,'Données projet'!$E$9+1,1))-AVERAGE(OFFSET($H$3,0,0,'Données projet'!$E$9+1,1))</f>
        <v>381.72225529388083</v>
      </c>
      <c r="T190" s="59">
        <f t="shared" si="142"/>
        <v>360.05900046417361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11.422785188089208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11.422785188089208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304.99999999999994</v>
      </c>
      <c r="AJ190" s="13">
        <f>AI190*VLOOKUP('Données projet'!$B$10,Paramètres!$A$1:$I$89,3,0)*VLOOKUP('Données projet'!$B$10,Paramètres!$A$1:$I$89,5,0)</f>
        <v>275.96399999999994</v>
      </c>
      <c r="AK190" s="13">
        <f t="shared" si="164"/>
        <v>66.113366665488911</v>
      </c>
      <c r="AL190" s="20">
        <f t="shared" si="165"/>
        <v>595.7847469423931</v>
      </c>
      <c r="AM190" s="59">
        <f t="shared" si="113"/>
        <v>889.11808027572647</v>
      </c>
      <c r="AN190" s="59">
        <f ca="1">AVERAGE(OFFSET($AM$3,0,0,'Données projet'!$E$10+1,1))-AVERAGE(OFFSET($H$3,0,0,'Données projet'!$E$10+1,1))</f>
        <v>366.43676005661194</v>
      </c>
      <c r="AO190" s="59">
        <f t="shared" si="144"/>
        <v>513.80016421153414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0.37355421803437577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0.37355421803437577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0.8600000000003547</v>
      </c>
      <c r="BE190" s="13">
        <f>BD190*VLOOKUP('Données projet'!$B$11,Paramètres!$A$1:$I$89,3,0)*VLOOKUP('Données projet'!$B$11,Paramètres!$A$1:$I$89,5,0)</f>
        <v>0.38012000000015683</v>
      </c>
      <c r="BF190" s="13">
        <f t="shared" si="167"/>
        <v>0.19605142963512551</v>
      </c>
      <c r="BG190" s="20">
        <f t="shared" si="168"/>
        <v>1.0034985732814501</v>
      </c>
      <c r="BH190" s="59">
        <f t="shared" si="116"/>
        <v>294.33683190661475</v>
      </c>
      <c r="BI190" s="59">
        <f ca="1">AVERAGE(OFFSET($BH$3,0,0,'Données projet'!$E$11+1,1))-AVERAGE(OFFSET($H$3,0,0,'Données projet'!$E$11+1,1))</f>
        <v>328.58609979635901</v>
      </c>
      <c r="BJ190" s="59">
        <f t="shared" si="146"/>
        <v>432.3494365423407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21.527561881529852</v>
      </c>
      <c r="BQ190" s="21">
        <f>EXP(-LN(2)/25)*BQ189+(1-EXP(-LN(2)/25))/(LN(2)/25)*Calculateur!BL190*Calculateur!BN190*VLOOKUP('Données projet'!$B$11,Paramètres!$A$1:$I$89,3,0)*0.475*44/12</f>
        <v>0.51457177654692343</v>
      </c>
      <c r="BR190" s="21">
        <f>EXP(-LN(2)/2)*BR189+(1-EXP(-LN(2)/2))/(LN(2)/2)*BL190*BO190*VLOOKUP('Données projet'!$B$11,Paramètres!$A$1:$I$89,3,0)*0.475*44/12</f>
        <v>1.3688027807457585E-24</v>
      </c>
      <c r="BS190" s="22">
        <f t="shared" si="169"/>
        <v>22.042133658076775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19.8100000000004</v>
      </c>
      <c r="BZ190" s="13">
        <f>BY190*VLOOKUP('Données projet'!$B$12,Paramètres!$A$1:$I$89,3,0)*VLOOKUP('Données projet'!$B$12,Paramètres!$A$1:$I$89,5,0)</f>
        <v>18.851196000000382</v>
      </c>
      <c r="CA190" s="13">
        <f t="shared" si="170"/>
        <v>6.172221809210666</v>
      </c>
      <c r="CB190" s="20">
        <f t="shared" si="171"/>
        <v>43.582452684375909</v>
      </c>
      <c r="CC190" s="59">
        <f t="shared" si="119"/>
        <v>336.91578601770925</v>
      </c>
      <c r="CD190" s="59">
        <f ca="1">AVERAGE(OFFSET($CC$3,0,0,'Données projet'!$E$12+1,1))-AVERAGE(OFFSET($H$3,0,0,'Données projet'!$E$12+1,1))</f>
        <v>555.3092253965317</v>
      </c>
      <c r="CE190" s="59">
        <f t="shared" si="148"/>
        <v>292.20785523952651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96.131011276366962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96.131011276366962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243</v>
      </c>
      <c r="CU190" s="17">
        <f>CT190*VLOOKUP('Données projet'!$B$13,Paramètres!$A$1:$I$89,3,0)*VLOOKUP('Données projet'!$B$13,Paramètres!$A$1:$I$89,5,0)</f>
        <v>155.4228</v>
      </c>
      <c r="CV190" s="13">
        <f t="shared" si="173"/>
        <v>39.808377687614154</v>
      </c>
      <c r="CW190" s="20">
        <f t="shared" si="174"/>
        <v>340.02763447259463</v>
      </c>
      <c r="CX190" s="59">
        <f t="shared" si="122"/>
        <v>633.36096780592788</v>
      </c>
      <c r="CY190" s="59">
        <f ca="1">AVERAGE(OFFSET($CX$3,0,0,'Données projet'!$E$13+1,1))-AVERAGE(OFFSET($H$3,0,0,'Données projet'!$E$13+1,1))</f>
        <v>269.44168853803717</v>
      </c>
      <c r="CZ190" s="59">
        <f t="shared" si="150"/>
        <v>247.65158389074043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7.3381158048479262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7.3381158048479262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6">
        <f t="shared" si="110"/>
        <v>256.66666666666669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259.99999999999983</v>
      </c>
      <c r="O191" s="13">
        <f>N191*VLOOKUP('Données projet'!$B$9,Paramètres!$A$1:$I$89,3,0)*VLOOKUP('Données projet'!$B$9,Paramètres!$A$1:$I$89,5,0)</f>
        <v>227.13599999999985</v>
      </c>
      <c r="P191" s="13">
        <f t="shared" si="141"/>
        <v>55.662966886685133</v>
      </c>
      <c r="Q191" s="20">
        <f t="shared" si="162"/>
        <v>492.5415339943097</v>
      </c>
      <c r="R191" s="59">
        <f t="shared" si="109"/>
        <v>785.87486732764296</v>
      </c>
      <c r="S191" s="59">
        <f ca="1">AVERAGE(OFFSET($R$3,0,0,'Données projet'!$E$9+1,1))-AVERAGE(OFFSET($H$3,0,0,'Données projet'!$E$9+1,1))</f>
        <v>381.72225529388083</v>
      </c>
      <c r="T191" s="59">
        <f t="shared" si="142"/>
        <v>360.05900046417361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11.198791337761788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11.198791337761788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304.99999999999994</v>
      </c>
      <c r="AJ191" s="13">
        <f>AI191*VLOOKUP('Données projet'!$B$10,Paramètres!$A$1:$I$89,3,0)*VLOOKUP('Données projet'!$B$10,Paramètres!$A$1:$I$89,5,0)</f>
        <v>275.96399999999994</v>
      </c>
      <c r="AK191" s="13">
        <f t="shared" si="164"/>
        <v>66.113366665488911</v>
      </c>
      <c r="AL191" s="20">
        <f t="shared" si="165"/>
        <v>595.7847469423931</v>
      </c>
      <c r="AM191" s="59">
        <f t="shared" si="113"/>
        <v>889.11808027572647</v>
      </c>
      <c r="AN191" s="59">
        <f ca="1">AVERAGE(OFFSET($AM$3,0,0,'Données projet'!$E$10+1,1))-AVERAGE(OFFSET($H$3,0,0,'Données projet'!$E$10+1,1))</f>
        <v>366.43676005661194</v>
      </c>
      <c r="AO191" s="59">
        <f t="shared" si="144"/>
        <v>513.80016421153414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0.36622904766429676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0.36622904766429676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0.8600000000003547</v>
      </c>
      <c r="BE191" s="13">
        <f>BD191*VLOOKUP('Données projet'!$B$11,Paramètres!$A$1:$I$89,3,0)*VLOOKUP('Données projet'!$B$11,Paramètres!$A$1:$I$89,5,0)</f>
        <v>0.38012000000015683</v>
      </c>
      <c r="BF191" s="13">
        <f t="shared" si="167"/>
        <v>0.19605142963512551</v>
      </c>
      <c r="BG191" s="20">
        <f t="shared" si="168"/>
        <v>1.0034985732814501</v>
      </c>
      <c r="BH191" s="59">
        <f t="shared" si="116"/>
        <v>294.33683190661475</v>
      </c>
      <c r="BI191" s="59">
        <f ca="1">AVERAGE(OFFSET($BH$3,0,0,'Données projet'!$E$11+1,1))-AVERAGE(OFFSET($H$3,0,0,'Données projet'!$E$11+1,1))</f>
        <v>328.58609979635901</v>
      </c>
      <c r="BJ191" s="59">
        <f t="shared" si="146"/>
        <v>432.3494365423407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21.105419523549269</v>
      </c>
      <c r="BQ191" s="21">
        <f>EXP(-LN(2)/25)*BQ190+(1-EXP(-LN(2)/25))/(LN(2)/25)*Calculateur!BL191*Calculateur!BN191*VLOOKUP('Données projet'!$B$11,Paramètres!$A$1:$I$89,3,0)*0.475*44/12</f>
        <v>0.5005007842570941</v>
      </c>
      <c r="BR191" s="21">
        <f>EXP(-LN(2)/2)*BR190+(1-EXP(-LN(2)/2))/(LN(2)/2)*BL191*BO191*VLOOKUP('Données projet'!$B$11,Paramètres!$A$1:$I$89,3,0)*0.475*44/12</f>
        <v>9.6788972837232879E-25</v>
      </c>
      <c r="BS191" s="22">
        <f t="shared" si="169"/>
        <v>21.605920307806365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19.8100000000004</v>
      </c>
      <c r="BZ191" s="13">
        <f>BY191*VLOOKUP('Données projet'!$B$12,Paramètres!$A$1:$I$89,3,0)*VLOOKUP('Données projet'!$B$12,Paramètres!$A$1:$I$89,5,0)</f>
        <v>18.851196000000382</v>
      </c>
      <c r="CA191" s="13">
        <f t="shared" si="170"/>
        <v>6.172221809210666</v>
      </c>
      <c r="CB191" s="20">
        <f t="shared" si="171"/>
        <v>43.582452684375909</v>
      </c>
      <c r="CC191" s="59">
        <f t="shared" si="119"/>
        <v>336.91578601770925</v>
      </c>
      <c r="CD191" s="59">
        <f ca="1">AVERAGE(OFFSET($CC$3,0,0,'Données projet'!$E$12+1,1))-AVERAGE(OFFSET($H$3,0,0,'Données projet'!$E$12+1,1))</f>
        <v>555.3092253965317</v>
      </c>
      <c r="CE191" s="59">
        <f t="shared" si="148"/>
        <v>292.20785523952651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94.245940779364645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94.245940779364645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243</v>
      </c>
      <c r="CU191" s="17">
        <f>CT191*VLOOKUP('Données projet'!$B$13,Paramètres!$A$1:$I$89,3,0)*VLOOKUP('Données projet'!$B$13,Paramètres!$A$1:$I$89,5,0)</f>
        <v>155.4228</v>
      </c>
      <c r="CV191" s="13">
        <f t="shared" si="173"/>
        <v>39.808377687614154</v>
      </c>
      <c r="CW191" s="20">
        <f t="shared" si="174"/>
        <v>340.02763447259463</v>
      </c>
      <c r="CX191" s="59">
        <f t="shared" si="122"/>
        <v>633.36096780592788</v>
      </c>
      <c r="CY191" s="59">
        <f ca="1">AVERAGE(OFFSET($CX$3,0,0,'Données projet'!$E$13+1,1))-AVERAGE(OFFSET($H$3,0,0,'Données projet'!$E$13+1,1))</f>
        <v>269.44168853803717</v>
      </c>
      <c r="CZ191" s="59">
        <f t="shared" si="150"/>
        <v>247.65158389074043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7.1942198297235498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7.1942198297235498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6">
        <f t="shared" si="110"/>
        <v>256.66666666666669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259.99999999999983</v>
      </c>
      <c r="O192" s="13">
        <f>N192*VLOOKUP('Données projet'!$B$9,Paramètres!$A$1:$I$89,3,0)*VLOOKUP('Données projet'!$B$9,Paramètres!$A$1:$I$89,5,0)</f>
        <v>227.13599999999985</v>
      </c>
      <c r="P192" s="13">
        <f t="shared" si="141"/>
        <v>55.662966886685133</v>
      </c>
      <c r="Q192" s="20">
        <f t="shared" si="162"/>
        <v>492.5415339943097</v>
      </c>
      <c r="R192" s="59">
        <f t="shared" si="109"/>
        <v>785.87486732764296</v>
      </c>
      <c r="S192" s="59">
        <f ca="1">AVERAGE(OFFSET($R$3,0,0,'Données projet'!$E$9+1,1))-AVERAGE(OFFSET($H$3,0,0,'Données projet'!$E$9+1,1))</f>
        <v>381.72225529388083</v>
      </c>
      <c r="T192" s="59">
        <f t="shared" si="142"/>
        <v>360.05900046417361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10.979189870216532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10.979189870216532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304.99999999999994</v>
      </c>
      <c r="AJ192" s="13">
        <f>AI192*VLOOKUP('Données projet'!$B$10,Paramètres!$A$1:$I$89,3,0)*VLOOKUP('Données projet'!$B$10,Paramètres!$A$1:$I$89,5,0)</f>
        <v>275.96399999999994</v>
      </c>
      <c r="AK192" s="13">
        <f t="shared" si="164"/>
        <v>66.113366665488911</v>
      </c>
      <c r="AL192" s="20">
        <f t="shared" si="165"/>
        <v>595.7847469423931</v>
      </c>
      <c r="AM192" s="59">
        <f t="shared" si="113"/>
        <v>889.11808027572647</v>
      </c>
      <c r="AN192" s="59">
        <f ca="1">AVERAGE(OFFSET($AM$3,0,0,'Données projet'!$E$10+1,1))-AVERAGE(OFFSET($H$3,0,0,'Données projet'!$E$10+1,1))</f>
        <v>366.43676005661194</v>
      </c>
      <c r="AO192" s="59">
        <f t="shared" si="144"/>
        <v>513.80016421153414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0.35904751941726226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0.35904751941726226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0.8600000000003547</v>
      </c>
      <c r="BE192" s="13">
        <f>BD192*VLOOKUP('Données projet'!$B$11,Paramètres!$A$1:$I$89,3,0)*VLOOKUP('Données projet'!$B$11,Paramètres!$A$1:$I$89,5,0)</f>
        <v>0.38012000000015683</v>
      </c>
      <c r="BF192" s="13">
        <f t="shared" si="167"/>
        <v>0.19605142963512551</v>
      </c>
      <c r="BG192" s="20">
        <f t="shared" si="168"/>
        <v>1.0034985732814501</v>
      </c>
      <c r="BH192" s="59">
        <f t="shared" si="116"/>
        <v>294.33683190661475</v>
      </c>
      <c r="BI192" s="59">
        <f ca="1">AVERAGE(OFFSET($BH$3,0,0,'Données projet'!$E$11+1,1))-AVERAGE(OFFSET($H$3,0,0,'Données projet'!$E$11+1,1))</f>
        <v>328.58609979635901</v>
      </c>
      <c r="BJ192" s="59">
        <f t="shared" si="146"/>
        <v>432.3494365423407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20.691555119727269</v>
      </c>
      <c r="BQ192" s="21">
        <f>EXP(-LN(2)/25)*BQ191+(1-EXP(-LN(2)/25))/(LN(2)/25)*Calculateur!BL192*Calculateur!BN192*VLOOKUP('Données projet'!$B$11,Paramètres!$A$1:$I$89,3,0)*0.475*44/12</f>
        <v>0.4868145639913915</v>
      </c>
      <c r="BR192" s="21">
        <f>EXP(-LN(2)/2)*BR191+(1-EXP(-LN(2)/2))/(LN(2)/2)*BL192*BO192*VLOOKUP('Données projet'!$B$11,Paramètres!$A$1:$I$89,3,0)*0.475*44/12</f>
        <v>6.8440139037287923E-25</v>
      </c>
      <c r="BS192" s="22">
        <f t="shared" si="169"/>
        <v>21.17836968371866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19.8100000000004</v>
      </c>
      <c r="BZ192" s="13">
        <f>BY192*VLOOKUP('Données projet'!$B$12,Paramètres!$A$1:$I$89,3,0)*VLOOKUP('Données projet'!$B$12,Paramètres!$A$1:$I$89,5,0)</f>
        <v>18.851196000000382</v>
      </c>
      <c r="CA192" s="13">
        <f t="shared" si="170"/>
        <v>6.172221809210666</v>
      </c>
      <c r="CB192" s="20">
        <f t="shared" si="171"/>
        <v>43.582452684375909</v>
      </c>
      <c r="CC192" s="59">
        <f t="shared" si="119"/>
        <v>336.91578601770925</v>
      </c>
      <c r="CD192" s="59">
        <f ca="1">AVERAGE(OFFSET($CC$3,0,0,'Données projet'!$E$12+1,1))-AVERAGE(OFFSET($H$3,0,0,'Données projet'!$E$12+1,1))</f>
        <v>555.3092253965317</v>
      </c>
      <c r="CE192" s="59">
        <f t="shared" si="148"/>
        <v>292.20785523952651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92.397835365029067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92.397835365029067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243</v>
      </c>
      <c r="CU192" s="17">
        <f>CT192*VLOOKUP('Données projet'!$B$13,Paramètres!$A$1:$I$89,3,0)*VLOOKUP('Données projet'!$B$13,Paramètres!$A$1:$I$89,5,0)</f>
        <v>155.4228</v>
      </c>
      <c r="CV192" s="13">
        <f t="shared" si="173"/>
        <v>39.808377687614154</v>
      </c>
      <c r="CW192" s="20">
        <f t="shared" si="174"/>
        <v>340.02763447259463</v>
      </c>
      <c r="CX192" s="59">
        <f t="shared" si="122"/>
        <v>633.36096780592788</v>
      </c>
      <c r="CY192" s="59">
        <f ca="1">AVERAGE(OFFSET($CX$3,0,0,'Données projet'!$E$13+1,1))-AVERAGE(OFFSET($H$3,0,0,'Données projet'!$E$13+1,1))</f>
        <v>269.44168853803717</v>
      </c>
      <c r="CZ192" s="59">
        <f t="shared" si="150"/>
        <v>247.65158389074043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7.0531455669034839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7.0531455669034839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6">
        <f t="shared" si="110"/>
        <v>256.66666666666669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259.99999999999983</v>
      </c>
      <c r="O193" s="13">
        <f>N193*VLOOKUP('Données projet'!$B$9,Paramètres!$A$1:$I$89,3,0)*VLOOKUP('Données projet'!$B$9,Paramètres!$A$1:$I$89,5,0)</f>
        <v>227.13599999999985</v>
      </c>
      <c r="P193" s="13">
        <f t="shared" si="141"/>
        <v>55.662966886685133</v>
      </c>
      <c r="Q193" s="20">
        <f t="shared" si="162"/>
        <v>492.5415339943097</v>
      </c>
      <c r="R193" s="59">
        <f t="shared" si="109"/>
        <v>785.87486732764296</v>
      </c>
      <c r="S193" s="59">
        <f ca="1">AVERAGE(OFFSET($R$3,0,0,'Données projet'!$E$9+1,1))-AVERAGE(OFFSET($H$3,0,0,'Données projet'!$E$9+1,1))</f>
        <v>381.72225529388083</v>
      </c>
      <c r="T193" s="59">
        <f t="shared" si="142"/>
        <v>360.05900046417361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10.763894653506167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10.763894653506167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304.99999999999994</v>
      </c>
      <c r="AJ193" s="13">
        <f>AI193*VLOOKUP('Données projet'!$B$10,Paramètres!$A$1:$I$89,3,0)*VLOOKUP('Données projet'!$B$10,Paramètres!$A$1:$I$89,5,0)</f>
        <v>275.96399999999994</v>
      </c>
      <c r="AK193" s="13">
        <f t="shared" si="164"/>
        <v>66.113366665488911</v>
      </c>
      <c r="AL193" s="20">
        <f t="shared" si="165"/>
        <v>595.7847469423931</v>
      </c>
      <c r="AM193" s="59">
        <f t="shared" si="113"/>
        <v>889.11808027572647</v>
      </c>
      <c r="AN193" s="59">
        <f ca="1">AVERAGE(OFFSET($AM$3,0,0,'Données projet'!$E$10+1,1))-AVERAGE(OFFSET($H$3,0,0,'Données projet'!$E$10+1,1))</f>
        <v>366.43676005661194</v>
      </c>
      <c r="AO193" s="59">
        <f t="shared" si="144"/>
        <v>513.80016421153414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0.35200681655885241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0.35200681655885241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0.8600000000003547</v>
      </c>
      <c r="BE193" s="13">
        <f>BD193*VLOOKUP('Données projet'!$B$11,Paramètres!$A$1:$I$89,3,0)*VLOOKUP('Données projet'!$B$11,Paramètres!$A$1:$I$89,5,0)</f>
        <v>0.38012000000015683</v>
      </c>
      <c r="BF193" s="13">
        <f t="shared" si="167"/>
        <v>0.19605142963512551</v>
      </c>
      <c r="BG193" s="20">
        <f t="shared" si="168"/>
        <v>1.0034985732814501</v>
      </c>
      <c r="BH193" s="59">
        <f t="shared" si="116"/>
        <v>294.33683190661475</v>
      </c>
      <c r="BI193" s="59">
        <f ca="1">AVERAGE(OFFSET($BH$3,0,0,'Données projet'!$E$11+1,1))-AVERAGE(OFFSET($H$3,0,0,'Données projet'!$E$11+1,1))</f>
        <v>328.58609979635901</v>
      </c>
      <c r="BJ193" s="59">
        <f t="shared" si="146"/>
        <v>432.3494365423407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20.285806344431858</v>
      </c>
      <c r="BQ193" s="21">
        <f>EXP(-LN(2)/25)*BQ192+(1-EXP(-LN(2)/25))/(LN(2)/25)*Calculateur!BL193*Calculateur!BN193*VLOOKUP('Données projet'!$B$11,Paramètres!$A$1:$I$89,3,0)*0.475*44/12</f>
        <v>0.47350259413858159</v>
      </c>
      <c r="BR193" s="21">
        <f>EXP(-LN(2)/2)*BR192+(1-EXP(-LN(2)/2))/(LN(2)/2)*BL193*BO193*VLOOKUP('Données projet'!$B$11,Paramètres!$A$1:$I$89,3,0)*0.475*44/12</f>
        <v>4.839448641861644E-25</v>
      </c>
      <c r="BS193" s="22">
        <f t="shared" si="169"/>
        <v>20.759308938570438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19.8100000000004</v>
      </c>
      <c r="BZ193" s="13">
        <f>BY193*VLOOKUP('Données projet'!$B$12,Paramètres!$A$1:$I$89,3,0)*VLOOKUP('Données projet'!$B$12,Paramètres!$A$1:$I$89,5,0)</f>
        <v>18.851196000000382</v>
      </c>
      <c r="CA193" s="13">
        <f t="shared" si="170"/>
        <v>6.172221809210666</v>
      </c>
      <c r="CB193" s="20">
        <f t="shared" si="171"/>
        <v>43.582452684375909</v>
      </c>
      <c r="CC193" s="59">
        <f t="shared" si="119"/>
        <v>336.91578601770925</v>
      </c>
      <c r="CD193" s="59">
        <f ca="1">AVERAGE(OFFSET($CC$3,0,0,'Données projet'!$E$12+1,1))-AVERAGE(OFFSET($H$3,0,0,'Données projet'!$E$12+1,1))</f>
        <v>555.3092253965317</v>
      </c>
      <c r="CE193" s="59">
        <f t="shared" si="148"/>
        <v>292.20785523952651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90.585970170635619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90.585970170635619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243</v>
      </c>
      <c r="CU193" s="17">
        <f>CT193*VLOOKUP('Données projet'!$B$13,Paramètres!$A$1:$I$89,3,0)*VLOOKUP('Données projet'!$B$13,Paramètres!$A$1:$I$89,5,0)</f>
        <v>155.4228</v>
      </c>
      <c r="CV193" s="13">
        <f t="shared" si="173"/>
        <v>39.808377687614154</v>
      </c>
      <c r="CW193" s="20">
        <f t="shared" si="174"/>
        <v>340.02763447259463</v>
      </c>
      <c r="CX193" s="59">
        <f t="shared" si="122"/>
        <v>633.36096780592788</v>
      </c>
      <c r="CY193" s="59">
        <f ca="1">AVERAGE(OFFSET($CX$3,0,0,'Données projet'!$E$13+1,1))-AVERAGE(OFFSET($H$3,0,0,'Données projet'!$E$13+1,1))</f>
        <v>269.44168853803717</v>
      </c>
      <c r="CZ193" s="59">
        <f t="shared" si="150"/>
        <v>247.65158389074043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6.9148376843305162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6.9148376843305162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6">
        <f t="shared" si="110"/>
        <v>256.66666666666669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259.99999999999983</v>
      </c>
      <c r="O194" s="13">
        <f>N194*VLOOKUP('Données projet'!$B$9,Paramètres!$A$1:$I$89,3,0)*VLOOKUP('Données projet'!$B$9,Paramètres!$A$1:$I$89,5,0)</f>
        <v>227.13599999999985</v>
      </c>
      <c r="P194" s="13">
        <f t="shared" si="141"/>
        <v>55.662966886685133</v>
      </c>
      <c r="Q194" s="20">
        <f t="shared" si="162"/>
        <v>492.5415339943097</v>
      </c>
      <c r="R194" s="59">
        <f t="shared" si="109"/>
        <v>785.87486732764296</v>
      </c>
      <c r="S194" s="59">
        <f ca="1">AVERAGE(OFFSET($R$3,0,0,'Données projet'!$E$9+1,1))-AVERAGE(OFFSET($H$3,0,0,'Données projet'!$E$9+1,1))</f>
        <v>381.72225529388083</v>
      </c>
      <c r="T194" s="59">
        <f t="shared" si="142"/>
        <v>360.05900046417361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10.552821244678377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10.552821244678377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304.99999999999994</v>
      </c>
      <c r="AJ194" s="13">
        <f>AI194*VLOOKUP('Données projet'!$B$10,Paramètres!$A$1:$I$89,3,0)*VLOOKUP('Données projet'!$B$10,Paramètres!$A$1:$I$89,5,0)</f>
        <v>275.96399999999994</v>
      </c>
      <c r="AK194" s="13">
        <f t="shared" si="164"/>
        <v>66.113366665488911</v>
      </c>
      <c r="AL194" s="20">
        <f t="shared" si="165"/>
        <v>595.7847469423931</v>
      </c>
      <c r="AM194" s="59">
        <f t="shared" si="113"/>
        <v>889.11808027572647</v>
      </c>
      <c r="AN194" s="59">
        <f ca="1">AVERAGE(OFFSET($AM$3,0,0,'Données projet'!$E$10+1,1))-AVERAGE(OFFSET($H$3,0,0,'Données projet'!$E$10+1,1))</f>
        <v>366.43676005661194</v>
      </c>
      <c r="AO194" s="59">
        <f t="shared" si="144"/>
        <v>513.80016421153414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0.34510417758909123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0.34510417758909123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0.8600000000003547</v>
      </c>
      <c r="BE194" s="13">
        <f>BD194*VLOOKUP('Données projet'!$B$11,Paramètres!$A$1:$I$89,3,0)*VLOOKUP('Données projet'!$B$11,Paramètres!$A$1:$I$89,5,0)</f>
        <v>0.38012000000015683</v>
      </c>
      <c r="BF194" s="13">
        <f t="shared" si="167"/>
        <v>0.19605142963512551</v>
      </c>
      <c r="BG194" s="20">
        <f t="shared" si="168"/>
        <v>1.0034985732814501</v>
      </c>
      <c r="BH194" s="59">
        <f t="shared" si="116"/>
        <v>294.33683190661475</v>
      </c>
      <c r="BI194" s="59">
        <f ca="1">AVERAGE(OFFSET($BH$3,0,0,'Données projet'!$E$11+1,1))-AVERAGE(OFFSET($H$3,0,0,'Données projet'!$E$11+1,1))</f>
        <v>328.58609979635901</v>
      </c>
      <c r="BJ194" s="59">
        <f t="shared" si="146"/>
        <v>432.3494365423407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19.888014055137674</v>
      </c>
      <c r="BQ194" s="21">
        <f>EXP(-LN(2)/25)*BQ193+(1-EXP(-LN(2)/25))/(LN(2)/25)*Calculateur!BL194*Calculateur!BN194*VLOOKUP('Données projet'!$B$11,Paramètres!$A$1:$I$89,3,0)*0.475*44/12</f>
        <v>0.46055464080144287</v>
      </c>
      <c r="BR194" s="21">
        <f>EXP(-LN(2)/2)*BR193+(1-EXP(-LN(2)/2))/(LN(2)/2)*BL194*BO194*VLOOKUP('Données projet'!$B$11,Paramètres!$A$1:$I$89,3,0)*0.475*44/12</f>
        <v>3.4220069518643961E-25</v>
      </c>
      <c r="BS194" s="22">
        <f t="shared" si="169"/>
        <v>20.348568695939118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19.8100000000004</v>
      </c>
      <c r="BZ194" s="13">
        <f>BY194*VLOOKUP('Données projet'!$B$12,Paramètres!$A$1:$I$89,3,0)*VLOOKUP('Données projet'!$B$12,Paramètres!$A$1:$I$89,5,0)</f>
        <v>18.851196000000382</v>
      </c>
      <c r="CA194" s="13">
        <f t="shared" si="170"/>
        <v>6.172221809210666</v>
      </c>
      <c r="CB194" s="20">
        <f t="shared" si="171"/>
        <v>43.582452684375909</v>
      </c>
      <c r="CC194" s="59">
        <f t="shared" si="119"/>
        <v>336.91578601770925</v>
      </c>
      <c r="CD194" s="59">
        <f ca="1">AVERAGE(OFFSET($CC$3,0,0,'Données projet'!$E$12+1,1))-AVERAGE(OFFSET($H$3,0,0,'Données projet'!$E$12+1,1))</f>
        <v>555.3092253965317</v>
      </c>
      <c r="CE194" s="59">
        <f t="shared" si="148"/>
        <v>292.20785523952651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88.809634547575584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88.809634547575584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243</v>
      </c>
      <c r="CU194" s="17">
        <f>CT194*VLOOKUP('Données projet'!$B$13,Paramètres!$A$1:$I$89,3,0)*VLOOKUP('Données projet'!$B$13,Paramètres!$A$1:$I$89,5,0)</f>
        <v>155.4228</v>
      </c>
      <c r="CV194" s="13">
        <f t="shared" si="173"/>
        <v>39.808377687614154</v>
      </c>
      <c r="CW194" s="20">
        <f t="shared" si="174"/>
        <v>340.02763447259463</v>
      </c>
      <c r="CX194" s="59">
        <f t="shared" si="122"/>
        <v>633.36096780592788</v>
      </c>
      <c r="CY194" s="59">
        <f ca="1">AVERAGE(OFFSET($CX$3,0,0,'Données projet'!$E$13+1,1))-AVERAGE(OFFSET($H$3,0,0,'Données projet'!$E$13+1,1))</f>
        <v>269.44168853803717</v>
      </c>
      <c r="CZ194" s="59">
        <f t="shared" si="150"/>
        <v>247.65158389074043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6.7792419349753255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6.7792419349753255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6">
        <f t="shared" si="110"/>
        <v>256.66666666666669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259.99999999999983</v>
      </c>
      <c r="O195" s="13">
        <f>N195*VLOOKUP('Données projet'!$B$9,Paramètres!$A$1:$I$89,3,0)*VLOOKUP('Données projet'!$B$9,Paramètres!$A$1:$I$89,5,0)</f>
        <v>227.13599999999985</v>
      </c>
      <c r="P195" s="13">
        <f t="shared" si="141"/>
        <v>55.662966886685133</v>
      </c>
      <c r="Q195" s="20">
        <f t="shared" si="162"/>
        <v>492.5415339943097</v>
      </c>
      <c r="R195" s="59">
        <f t="shared" ref="R195:R203" si="191">Q195+(I195+J195)*44/12</f>
        <v>785.87486732764296</v>
      </c>
      <c r="S195" s="59">
        <f ca="1">AVERAGE(OFFSET($R$3,0,0,'Données projet'!$E$9+1,1))-AVERAGE(OFFSET($H$3,0,0,'Données projet'!$E$9+1,1))</f>
        <v>381.72225529388083</v>
      </c>
      <c r="T195" s="59">
        <f t="shared" si="142"/>
        <v>360.05900046417361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10.345886856655634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10.345886856655634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304.99999999999994</v>
      </c>
      <c r="AJ195" s="13">
        <f>AI195*VLOOKUP('Données projet'!$B$10,Paramètres!$A$1:$I$89,3,0)*VLOOKUP('Données projet'!$B$10,Paramètres!$A$1:$I$89,5,0)</f>
        <v>275.96399999999994</v>
      </c>
      <c r="AK195" s="13">
        <f t="shared" si="164"/>
        <v>66.113366665488911</v>
      </c>
      <c r="AL195" s="20">
        <f t="shared" si="165"/>
        <v>595.7847469423931</v>
      </c>
      <c r="AM195" s="59">
        <f t="shared" si="113"/>
        <v>889.11808027572647</v>
      </c>
      <c r="AN195" s="59">
        <f ca="1">AVERAGE(OFFSET($AM$3,0,0,'Données projet'!$E$10+1,1))-AVERAGE(OFFSET($H$3,0,0,'Données projet'!$E$10+1,1))</f>
        <v>366.43676005661194</v>
      </c>
      <c r="AO195" s="59">
        <f t="shared" si="144"/>
        <v>513.80016421153414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0.33833689515933307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0.33833689515933307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0.8600000000003547</v>
      </c>
      <c r="BE195" s="13">
        <f>BD195*VLOOKUP('Données projet'!$B$11,Paramètres!$A$1:$I$89,3,0)*VLOOKUP('Données projet'!$B$11,Paramètres!$A$1:$I$89,5,0)</f>
        <v>0.38012000000015683</v>
      </c>
      <c r="BF195" s="13">
        <f t="shared" si="167"/>
        <v>0.19605142963512551</v>
      </c>
      <c r="BG195" s="20">
        <f t="shared" si="168"/>
        <v>1.0034985732814501</v>
      </c>
      <c r="BH195" s="59">
        <f t="shared" si="116"/>
        <v>294.33683190661475</v>
      </c>
      <c r="BI195" s="59">
        <f ca="1">AVERAGE(OFFSET($BH$3,0,0,'Données projet'!$E$11+1,1))-AVERAGE(OFFSET($H$3,0,0,'Données projet'!$E$11+1,1))</f>
        <v>328.58609979635901</v>
      </c>
      <c r="BJ195" s="59">
        <f t="shared" si="146"/>
        <v>432.3494365423407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19.498022230007212</v>
      </c>
      <c r="BQ195" s="21">
        <f>EXP(-LN(2)/25)*BQ194+(1-EXP(-LN(2)/25))/(LN(2)/25)*Calculateur!BL195*Calculateur!BN195*VLOOKUP('Données projet'!$B$11,Paramètres!$A$1:$I$89,3,0)*0.475*44/12</f>
        <v>0.44796074992921148</v>
      </c>
      <c r="BR195" s="21">
        <f>EXP(-LN(2)/2)*BR194+(1-EXP(-LN(2)/2))/(LN(2)/2)*BL195*BO195*VLOOKUP('Données projet'!$B$11,Paramètres!$A$1:$I$89,3,0)*0.475*44/12</f>
        <v>2.419724320930822E-25</v>
      </c>
      <c r="BS195" s="22">
        <f t="shared" si="169"/>
        <v>19.945982979936424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19.8100000000004</v>
      </c>
      <c r="BZ195" s="13">
        <f>BY195*VLOOKUP('Données projet'!$B$12,Paramètres!$A$1:$I$89,3,0)*VLOOKUP('Données projet'!$B$12,Paramètres!$A$1:$I$89,5,0)</f>
        <v>18.851196000000382</v>
      </c>
      <c r="CA195" s="13">
        <f t="shared" si="170"/>
        <v>6.172221809210666</v>
      </c>
      <c r="CB195" s="20">
        <f t="shared" si="171"/>
        <v>43.582452684375909</v>
      </c>
      <c r="CC195" s="59">
        <f t="shared" si="119"/>
        <v>336.91578601770925</v>
      </c>
      <c r="CD195" s="59">
        <f ca="1">AVERAGE(OFFSET($CC$3,0,0,'Données projet'!$E$12+1,1))-AVERAGE(OFFSET($H$3,0,0,'Données projet'!$E$12+1,1))</f>
        <v>555.3092253965317</v>
      </c>
      <c r="CE195" s="59">
        <f t="shared" si="148"/>
        <v>292.20785523952651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87.068131782625997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87.068131782625997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243</v>
      </c>
      <c r="CU195" s="17">
        <f>CT195*VLOOKUP('Données projet'!$B$13,Paramètres!$A$1:$I$89,3,0)*VLOOKUP('Données projet'!$B$13,Paramètres!$A$1:$I$89,5,0)</f>
        <v>155.4228</v>
      </c>
      <c r="CV195" s="13">
        <f t="shared" si="173"/>
        <v>39.808377687614154</v>
      </c>
      <c r="CW195" s="20">
        <f t="shared" si="174"/>
        <v>340.02763447259463</v>
      </c>
      <c r="CX195" s="59">
        <f t="shared" si="122"/>
        <v>633.36096780592788</v>
      </c>
      <c r="CY195" s="59">
        <f ca="1">AVERAGE(OFFSET($CX$3,0,0,'Données projet'!$E$13+1,1))-AVERAGE(OFFSET($H$3,0,0,'Données projet'!$E$13+1,1))</f>
        <v>269.44168853803717</v>
      </c>
      <c r="CZ195" s="59">
        <f t="shared" si="150"/>
        <v>247.65158389074043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6.6463051355597491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6.6463051355597491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6">
        <f t="shared" ref="H196:H203" si="192">(B196+E196+F196)*44/12+(C196+D196)*0.475*44/12</f>
        <v>256.66666666666669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259.99999999999983</v>
      </c>
      <c r="O196" s="13">
        <f>N196*VLOOKUP('Données projet'!$B$9,Paramètres!$A$1:$I$89,3,0)*VLOOKUP('Données projet'!$B$9,Paramètres!$A$1:$I$89,5,0)</f>
        <v>227.13599999999985</v>
      </c>
      <c r="P196" s="13">
        <f t="shared" si="141"/>
        <v>55.662966886685133</v>
      </c>
      <c r="Q196" s="20">
        <f t="shared" si="162"/>
        <v>492.5415339943097</v>
      </c>
      <c r="R196" s="59">
        <f t="shared" si="191"/>
        <v>785.87486732764296</v>
      </c>
      <c r="S196" s="59">
        <f ca="1">AVERAGE(OFFSET($R$3,0,0,'Données projet'!$E$9+1,1))-AVERAGE(OFFSET($H$3,0,0,'Données projet'!$E$9+1,1))</f>
        <v>381.72225529388083</v>
      </c>
      <c r="T196" s="59">
        <f t="shared" si="142"/>
        <v>360.05900046417361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10.143010325764502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10.143010325764502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304.99999999999994</v>
      </c>
      <c r="AJ196" s="13">
        <f>AI196*VLOOKUP('Données projet'!$B$10,Paramètres!$A$1:$I$89,3,0)*VLOOKUP('Données projet'!$B$10,Paramètres!$A$1:$I$89,5,0)</f>
        <v>275.96399999999994</v>
      </c>
      <c r="AK196" s="13">
        <f t="shared" si="164"/>
        <v>66.113366665488911</v>
      </c>
      <c r="AL196" s="20">
        <f t="shared" si="165"/>
        <v>595.7847469423931</v>
      </c>
      <c r="AM196" s="59">
        <f t="shared" ref="AM196:AM203" si="193">AL196+(AD196+AE196)*44/12</f>
        <v>889.11808027572647</v>
      </c>
      <c r="AN196" s="59">
        <f ca="1">AVERAGE(OFFSET($AM$3,0,0,'Données projet'!$E$10+1,1))-AVERAGE(OFFSET($H$3,0,0,'Données projet'!$E$10+1,1))</f>
        <v>366.43676005661194</v>
      </c>
      <c r="AO196" s="59">
        <f t="shared" si="144"/>
        <v>513.80016421153414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0.33170231501038772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0.33170231501038772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0.8600000000003547</v>
      </c>
      <c r="BE196" s="13">
        <f>BD196*VLOOKUP('Données projet'!$B$11,Paramètres!$A$1:$I$89,3,0)*VLOOKUP('Données projet'!$B$11,Paramètres!$A$1:$I$89,5,0)</f>
        <v>0.38012000000015683</v>
      </c>
      <c r="BF196" s="13">
        <f t="shared" si="167"/>
        <v>0.19605142963512551</v>
      </c>
      <c r="BG196" s="20">
        <f t="shared" si="168"/>
        <v>1.0034985732814501</v>
      </c>
      <c r="BH196" s="59">
        <f t="shared" ref="BH196:BH203" si="194">BG196+(AY196+AZ196)*44/12</f>
        <v>294.33683190661475</v>
      </c>
      <c r="BI196" s="59">
        <f ca="1">AVERAGE(OFFSET($BH$3,0,0,'Données projet'!$E$11+1,1))-AVERAGE(OFFSET($H$3,0,0,'Données projet'!$E$11+1,1))</f>
        <v>328.58609979635901</v>
      </c>
      <c r="BJ196" s="59">
        <f t="shared" si="146"/>
        <v>432.3494365423407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19.115677906696032</v>
      </c>
      <c r="BQ196" s="21">
        <f>EXP(-LN(2)/25)*BQ195+(1-EXP(-LN(2)/25))/(LN(2)/25)*Calculateur!BL196*Calculateur!BN196*VLOOKUP('Données projet'!$B$11,Paramètres!$A$1:$I$89,3,0)*0.475*44/12</f>
        <v>0.43571123966516517</v>
      </c>
      <c r="BR196" s="21">
        <f>EXP(-LN(2)/2)*BR195+(1-EXP(-LN(2)/2))/(LN(2)/2)*BL196*BO196*VLOOKUP('Données projet'!$B$11,Paramètres!$A$1:$I$89,3,0)*0.475*44/12</f>
        <v>1.7110034759321981E-25</v>
      </c>
      <c r="BS196" s="22">
        <f t="shared" si="169"/>
        <v>19.551389146361196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19.8100000000004</v>
      </c>
      <c r="BZ196" s="13">
        <f>BY196*VLOOKUP('Données projet'!$B$12,Paramètres!$A$1:$I$89,3,0)*VLOOKUP('Données projet'!$B$12,Paramètres!$A$1:$I$89,5,0)</f>
        <v>18.851196000000382</v>
      </c>
      <c r="CA196" s="13">
        <f t="shared" si="170"/>
        <v>6.172221809210666</v>
      </c>
      <c r="CB196" s="20">
        <f t="shared" si="171"/>
        <v>43.582452684375909</v>
      </c>
      <c r="CC196" s="59">
        <f t="shared" ref="CC196:CC203" si="195">CB196+(BT196+BU196)*44/12</f>
        <v>336.91578601770925</v>
      </c>
      <c r="CD196" s="59">
        <f ca="1">AVERAGE(OFFSET($CC$3,0,0,'Données projet'!$E$12+1,1))-AVERAGE(OFFSET($H$3,0,0,'Données projet'!$E$12+1,1))</f>
        <v>555.3092253965317</v>
      </c>
      <c r="CE196" s="59">
        <f t="shared" si="148"/>
        <v>292.20785523952651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85.360778824685269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85.360778824685269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243</v>
      </c>
      <c r="CU196" s="17">
        <f>CT196*VLOOKUP('Données projet'!$B$13,Paramètres!$A$1:$I$89,3,0)*VLOOKUP('Données projet'!$B$13,Paramètres!$A$1:$I$89,5,0)</f>
        <v>155.4228</v>
      </c>
      <c r="CV196" s="13">
        <f t="shared" si="173"/>
        <v>39.808377687614154</v>
      </c>
      <c r="CW196" s="20">
        <f t="shared" si="174"/>
        <v>340.02763447259463</v>
      </c>
      <c r="CX196" s="59">
        <f t="shared" ref="CX196:CX203" si="196">CW196+(CO196+CP196)*44/12</f>
        <v>633.36096780592788</v>
      </c>
      <c r="CY196" s="59">
        <f ca="1">AVERAGE(OFFSET($CX$3,0,0,'Données projet'!$E$13+1,1))-AVERAGE(OFFSET($H$3,0,0,'Données projet'!$E$13+1,1))</f>
        <v>269.44168853803717</v>
      </c>
      <c r="CZ196" s="59">
        <f t="shared" si="150"/>
        <v>247.65158389074043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6.5159751456972712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6.5159751456972712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6">
        <f t="shared" si="192"/>
        <v>256.66666666666669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259.99999999999983</v>
      </c>
      <c r="O197" s="13">
        <f>N197*VLOOKUP('Données projet'!$B$9,Paramètres!$A$1:$I$89,3,0)*VLOOKUP('Données projet'!$B$9,Paramètres!$A$1:$I$89,5,0)</f>
        <v>227.13599999999985</v>
      </c>
      <c r="P197" s="13">
        <f t="shared" ref="P197:P203" si="203">EXP(-1.0587+0.8836*LN(O197)+0.284)</f>
        <v>55.662966886685133</v>
      </c>
      <c r="Q197" s="20">
        <f t="shared" si="162"/>
        <v>492.5415339943097</v>
      </c>
      <c r="R197" s="59">
        <f t="shared" si="191"/>
        <v>785.87486732764296</v>
      </c>
      <c r="S197" s="59">
        <f ca="1">AVERAGE(OFFSET($R$3,0,0,'Données projet'!$E$9+1,1))-AVERAGE(OFFSET($H$3,0,0,'Données projet'!$E$9+1,1))</f>
        <v>381.72225529388083</v>
      </c>
      <c r="T197" s="59">
        <f t="shared" ref="T197:T203" si="204">$T$3</f>
        <v>360.05900046417361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9.9441120799016804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9.9441120799016804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304.99999999999994</v>
      </c>
      <c r="AJ197" s="13">
        <f>AI197*VLOOKUP('Données projet'!$B$10,Paramètres!$A$1:$I$89,3,0)*VLOOKUP('Données projet'!$B$10,Paramètres!$A$1:$I$89,5,0)</f>
        <v>275.96399999999994</v>
      </c>
      <c r="AK197" s="13">
        <f t="shared" si="164"/>
        <v>66.113366665488911</v>
      </c>
      <c r="AL197" s="20">
        <f t="shared" si="165"/>
        <v>595.7847469423931</v>
      </c>
      <c r="AM197" s="59">
        <f t="shared" si="193"/>
        <v>889.11808027572647</v>
      </c>
      <c r="AN197" s="59">
        <f ca="1">AVERAGE(OFFSET($AM$3,0,0,'Données projet'!$E$10+1,1))-AVERAGE(OFFSET($H$3,0,0,'Données projet'!$E$10+1,1))</f>
        <v>366.43676005661194</v>
      </c>
      <c r="AO197" s="59">
        <f t="shared" ref="AO197:AO203" si="205">$AO$3</f>
        <v>513.80016421153414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0.32519783493146887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0.32519783493146887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0.8600000000003547</v>
      </c>
      <c r="BE197" s="13">
        <f>BD197*VLOOKUP('Données projet'!$B$11,Paramètres!$A$1:$I$89,3,0)*VLOOKUP('Données projet'!$B$11,Paramètres!$A$1:$I$89,5,0)</f>
        <v>0.38012000000015683</v>
      </c>
      <c r="BF197" s="13">
        <f t="shared" si="167"/>
        <v>0.19605142963512551</v>
      </c>
      <c r="BG197" s="20">
        <f t="shared" si="168"/>
        <v>1.0034985732814501</v>
      </c>
      <c r="BH197" s="59">
        <f t="shared" si="194"/>
        <v>294.33683190661475</v>
      </c>
      <c r="BI197" s="59">
        <f ca="1">AVERAGE(OFFSET($BH$3,0,0,'Données projet'!$E$11+1,1))-AVERAGE(OFFSET($H$3,0,0,'Données projet'!$E$11+1,1))</f>
        <v>328.58609979635901</v>
      </c>
      <c r="BJ197" s="59">
        <f t="shared" ref="BJ197:BJ203" si="206">$BJ$3</f>
        <v>432.3494365423407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18.740831122357974</v>
      </c>
      <c r="BQ197" s="21">
        <f>EXP(-LN(2)/25)*BQ196+(1-EXP(-LN(2)/25))/(LN(2)/25)*Calculateur!BL197*Calculateur!BN197*VLOOKUP('Données projet'!$B$11,Paramètres!$A$1:$I$89,3,0)*0.475*44/12</f>
        <v>0.42379669290346295</v>
      </c>
      <c r="BR197" s="21">
        <f>EXP(-LN(2)/2)*BR196+(1-EXP(-LN(2)/2))/(LN(2)/2)*BL197*BO197*VLOOKUP('Données projet'!$B$11,Paramètres!$A$1:$I$89,3,0)*0.475*44/12</f>
        <v>1.209862160465411E-25</v>
      </c>
      <c r="BS197" s="22">
        <f t="shared" si="169"/>
        <v>19.164627815261436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19.8100000000004</v>
      </c>
      <c r="BZ197" s="13">
        <f>BY197*VLOOKUP('Données projet'!$B$12,Paramètres!$A$1:$I$89,3,0)*VLOOKUP('Données projet'!$B$12,Paramètres!$A$1:$I$89,5,0)</f>
        <v>18.851196000000382</v>
      </c>
      <c r="CA197" s="13">
        <f t="shared" si="170"/>
        <v>6.172221809210666</v>
      </c>
      <c r="CB197" s="20">
        <f t="shared" si="171"/>
        <v>43.582452684375909</v>
      </c>
      <c r="CC197" s="59">
        <f t="shared" si="195"/>
        <v>336.91578601770925</v>
      </c>
      <c r="CD197" s="59">
        <f ca="1">AVERAGE(OFFSET($CC$3,0,0,'Données projet'!$E$12+1,1))-AVERAGE(OFFSET($H$3,0,0,'Données projet'!$E$12+1,1))</f>
        <v>555.3092253965317</v>
      </c>
      <c r="CE197" s="59">
        <f t="shared" ref="CE197:CE203" si="207">$CE$3</f>
        <v>292.20785523952651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83.686906016867283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83.686906016867283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243</v>
      </c>
      <c r="CU197" s="17">
        <f>CT197*VLOOKUP('Données projet'!$B$13,Paramètres!$A$1:$I$89,3,0)*VLOOKUP('Données projet'!$B$13,Paramètres!$A$1:$I$89,5,0)</f>
        <v>155.4228</v>
      </c>
      <c r="CV197" s="13">
        <f t="shared" si="173"/>
        <v>39.808377687614154</v>
      </c>
      <c r="CW197" s="20">
        <f t="shared" si="174"/>
        <v>340.02763447259463</v>
      </c>
      <c r="CX197" s="59">
        <f t="shared" si="196"/>
        <v>633.36096780592788</v>
      </c>
      <c r="CY197" s="59">
        <f ca="1">AVERAGE(OFFSET($CX$3,0,0,'Données projet'!$E$13+1,1))-AVERAGE(OFFSET($H$3,0,0,'Données projet'!$E$13+1,1))</f>
        <v>269.44168853803717</v>
      </c>
      <c r="CZ197" s="59">
        <f t="shared" ref="CZ197:CZ203" si="208">$CZ$3</f>
        <v>247.65158389074043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6.388200847442552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6.388200847442552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6">
        <f t="shared" si="192"/>
        <v>256.66666666666669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259.99999999999983</v>
      </c>
      <c r="O198" s="13">
        <f>N198*VLOOKUP('Données projet'!$B$9,Paramètres!$A$1:$I$89,3,0)*VLOOKUP('Données projet'!$B$9,Paramètres!$A$1:$I$89,5,0)</f>
        <v>227.13599999999985</v>
      </c>
      <c r="P198" s="13">
        <f t="shared" si="203"/>
        <v>55.662966886685133</v>
      </c>
      <c r="Q198" s="20">
        <f t="shared" si="162"/>
        <v>492.5415339943097</v>
      </c>
      <c r="R198" s="59">
        <f t="shared" si="191"/>
        <v>785.87486732764296</v>
      </c>
      <c r="S198" s="59">
        <f ca="1">AVERAGE(OFFSET($R$3,0,0,'Données projet'!$E$9+1,1))-AVERAGE(OFFSET($H$3,0,0,'Données projet'!$E$9+1,1))</f>
        <v>381.72225529388083</v>
      </c>
      <c r="T198" s="59">
        <f t="shared" si="204"/>
        <v>360.05900046417361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9.749114107324278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9.749114107324278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304.99999999999994</v>
      </c>
      <c r="AJ198" s="13">
        <f>AI198*VLOOKUP('Données projet'!$B$10,Paramètres!$A$1:$I$89,3,0)*VLOOKUP('Données projet'!$B$10,Paramètres!$A$1:$I$89,5,0)</f>
        <v>275.96399999999994</v>
      </c>
      <c r="AK198" s="13">
        <f t="shared" si="164"/>
        <v>66.113366665488911</v>
      </c>
      <c r="AL198" s="20">
        <f t="shared" si="165"/>
        <v>595.7847469423931</v>
      </c>
      <c r="AM198" s="59">
        <f t="shared" si="193"/>
        <v>889.11808027572647</v>
      </c>
      <c r="AN198" s="59">
        <f ca="1">AVERAGE(OFFSET($AM$3,0,0,'Données projet'!$E$10+1,1))-AVERAGE(OFFSET($H$3,0,0,'Données projet'!$E$10+1,1))</f>
        <v>366.43676005661194</v>
      </c>
      <c r="AO198" s="59">
        <f t="shared" si="205"/>
        <v>513.80016421153414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0.31882090373955652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0.31882090373955652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0.8600000000003547</v>
      </c>
      <c r="BE198" s="13">
        <f>BD198*VLOOKUP('Données projet'!$B$11,Paramètres!$A$1:$I$89,3,0)*VLOOKUP('Données projet'!$B$11,Paramètres!$A$1:$I$89,5,0)</f>
        <v>0.38012000000015683</v>
      </c>
      <c r="BF198" s="13">
        <f t="shared" si="167"/>
        <v>0.19605142963512551</v>
      </c>
      <c r="BG198" s="20">
        <f t="shared" si="168"/>
        <v>1.0034985732814501</v>
      </c>
      <c r="BH198" s="59">
        <f t="shared" si="194"/>
        <v>294.33683190661475</v>
      </c>
      <c r="BI198" s="59">
        <f ca="1">AVERAGE(OFFSET($BH$3,0,0,'Données projet'!$E$11+1,1))-AVERAGE(OFFSET($H$3,0,0,'Données projet'!$E$11+1,1))</f>
        <v>328.58609979635901</v>
      </c>
      <c r="BJ198" s="59">
        <f t="shared" si="206"/>
        <v>432.3494365423407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18.373334854826822</v>
      </c>
      <c r="BQ198" s="21">
        <f>EXP(-LN(2)/25)*BQ197+(1-EXP(-LN(2)/25))/(LN(2)/25)*Calculateur!BL198*Calculateur!BN198*VLOOKUP('Données projet'!$B$11,Paramètres!$A$1:$I$89,3,0)*0.475*44/12</f>
        <v>0.41220795004951827</v>
      </c>
      <c r="BR198" s="21">
        <f>EXP(-LN(2)/2)*BR197+(1-EXP(-LN(2)/2))/(LN(2)/2)*BL198*BO198*VLOOKUP('Données projet'!$B$11,Paramètres!$A$1:$I$89,3,0)*0.475*44/12</f>
        <v>8.5550173796609904E-26</v>
      </c>
      <c r="BS198" s="22">
        <f t="shared" si="169"/>
        <v>18.785542804876339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19.8100000000004</v>
      </c>
      <c r="BZ198" s="13">
        <f>BY198*VLOOKUP('Données projet'!$B$12,Paramètres!$A$1:$I$89,3,0)*VLOOKUP('Données projet'!$B$12,Paramètres!$A$1:$I$89,5,0)</f>
        <v>18.851196000000382</v>
      </c>
      <c r="CA198" s="13">
        <f t="shared" si="170"/>
        <v>6.172221809210666</v>
      </c>
      <c r="CB198" s="20">
        <f t="shared" si="171"/>
        <v>43.582452684375909</v>
      </c>
      <c r="CC198" s="59">
        <f t="shared" si="195"/>
        <v>336.91578601770925</v>
      </c>
      <c r="CD198" s="59">
        <f ca="1">AVERAGE(OFFSET($CC$3,0,0,'Données projet'!$E$12+1,1))-AVERAGE(OFFSET($H$3,0,0,'Données projet'!$E$12+1,1))</f>
        <v>555.3092253965317</v>
      </c>
      <c r="CE198" s="59">
        <f t="shared" si="207"/>
        <v>292.20785523952651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82.045856833849015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82.045856833849015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243</v>
      </c>
      <c r="CU198" s="17">
        <f>CT198*VLOOKUP('Données projet'!$B$13,Paramètres!$A$1:$I$89,3,0)*VLOOKUP('Données projet'!$B$13,Paramètres!$A$1:$I$89,5,0)</f>
        <v>155.4228</v>
      </c>
      <c r="CV198" s="13">
        <f t="shared" si="173"/>
        <v>39.808377687614154</v>
      </c>
      <c r="CW198" s="20">
        <f t="shared" si="174"/>
        <v>340.02763447259463</v>
      </c>
      <c r="CX198" s="59">
        <f t="shared" si="196"/>
        <v>633.36096780592788</v>
      </c>
      <c r="CY198" s="59">
        <f ca="1">AVERAGE(OFFSET($CX$3,0,0,'Données projet'!$E$13+1,1))-AVERAGE(OFFSET($H$3,0,0,'Données projet'!$E$13+1,1))</f>
        <v>269.44168853803717</v>
      </c>
      <c r="CZ198" s="59">
        <f t="shared" si="208"/>
        <v>247.65158389074043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6.2629321252419814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6.2629321252419814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6">
        <f t="shared" si="192"/>
        <v>256.66666666666669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259.99999999999983</v>
      </c>
      <c r="O199" s="13">
        <f>N199*VLOOKUP('Données projet'!$B$9,Paramètres!$A$1:$I$89,3,0)*VLOOKUP('Données projet'!$B$9,Paramètres!$A$1:$I$89,5,0)</f>
        <v>227.13599999999985</v>
      </c>
      <c r="P199" s="13">
        <f t="shared" si="203"/>
        <v>55.662966886685133</v>
      </c>
      <c r="Q199" s="20">
        <f t="shared" si="162"/>
        <v>492.5415339943097</v>
      </c>
      <c r="R199" s="59">
        <f t="shared" si="191"/>
        <v>785.87486732764296</v>
      </c>
      <c r="S199" s="59">
        <f ca="1">AVERAGE(OFFSET($R$3,0,0,'Données projet'!$E$9+1,1))-AVERAGE(OFFSET($H$3,0,0,'Données projet'!$E$9+1,1))</f>
        <v>381.72225529388083</v>
      </c>
      <c r="T199" s="59">
        <f t="shared" si="204"/>
        <v>360.05900046417361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9.5579399260520983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9.5579399260520983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304.99999999999994</v>
      </c>
      <c r="AJ199" s="13">
        <f>AI199*VLOOKUP('Données projet'!$B$10,Paramètres!$A$1:$I$89,3,0)*VLOOKUP('Données projet'!$B$10,Paramètres!$A$1:$I$89,5,0)</f>
        <v>275.96399999999994</v>
      </c>
      <c r="AK199" s="13">
        <f t="shared" si="164"/>
        <v>66.113366665488911</v>
      </c>
      <c r="AL199" s="20">
        <f t="shared" si="165"/>
        <v>595.7847469423931</v>
      </c>
      <c r="AM199" s="59">
        <f t="shared" si="193"/>
        <v>889.11808027572647</v>
      </c>
      <c r="AN199" s="59">
        <f ca="1">AVERAGE(OFFSET($AM$3,0,0,'Données projet'!$E$10+1,1))-AVERAGE(OFFSET($H$3,0,0,'Données projet'!$E$10+1,1))</f>
        <v>366.43676005661194</v>
      </c>
      <c r="AO199" s="59">
        <f t="shared" si="205"/>
        <v>513.80016421153414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0.31256902027877359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0.31256902027877359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0.8600000000003547</v>
      </c>
      <c r="BE199" s="13">
        <f>BD199*VLOOKUP('Données projet'!$B$11,Paramètres!$A$1:$I$89,3,0)*VLOOKUP('Données projet'!$B$11,Paramètres!$A$1:$I$89,5,0)</f>
        <v>0.38012000000015683</v>
      </c>
      <c r="BF199" s="13">
        <f t="shared" si="167"/>
        <v>0.19605142963512551</v>
      </c>
      <c r="BG199" s="20">
        <f t="shared" si="168"/>
        <v>1.0034985732814501</v>
      </c>
      <c r="BH199" s="59">
        <f t="shared" si="194"/>
        <v>294.33683190661475</v>
      </c>
      <c r="BI199" s="59">
        <f ca="1">AVERAGE(OFFSET($BH$3,0,0,'Données projet'!$E$11+1,1))-AVERAGE(OFFSET($H$3,0,0,'Données projet'!$E$11+1,1))</f>
        <v>328.58609979635901</v>
      </c>
      <c r="BJ199" s="59">
        <f t="shared" si="206"/>
        <v>432.3494365423407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18.013044964951366</v>
      </c>
      <c r="BQ199" s="21">
        <f>EXP(-LN(2)/25)*BQ198+(1-EXP(-LN(2)/25))/(LN(2)/25)*Calculateur!BL199*Calculateur!BN199*VLOOKUP('Données projet'!$B$11,Paramètres!$A$1:$I$89,3,0)*0.475*44/12</f>
        <v>0.40093610197834023</v>
      </c>
      <c r="BR199" s="21">
        <f>EXP(-LN(2)/2)*BR198+(1-EXP(-LN(2)/2))/(LN(2)/2)*BL199*BO199*VLOOKUP('Données projet'!$B$11,Paramètres!$A$1:$I$89,3,0)*0.475*44/12</f>
        <v>6.049310802327055E-26</v>
      </c>
      <c r="BS199" s="22">
        <f t="shared" si="169"/>
        <v>18.413981066929708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19.8100000000004</v>
      </c>
      <c r="BZ199" s="13">
        <f>BY199*VLOOKUP('Données projet'!$B$12,Paramètres!$A$1:$I$89,3,0)*VLOOKUP('Données projet'!$B$12,Paramètres!$A$1:$I$89,5,0)</f>
        <v>18.851196000000382</v>
      </c>
      <c r="CA199" s="13">
        <f t="shared" si="170"/>
        <v>6.172221809210666</v>
      </c>
      <c r="CB199" s="20">
        <f t="shared" si="171"/>
        <v>43.582452684375909</v>
      </c>
      <c r="CC199" s="59">
        <f t="shared" si="195"/>
        <v>336.91578601770925</v>
      </c>
      <c r="CD199" s="59">
        <f ca="1">AVERAGE(OFFSET($CC$3,0,0,'Données projet'!$E$12+1,1))-AVERAGE(OFFSET($H$3,0,0,'Données projet'!$E$12+1,1))</f>
        <v>555.3092253965317</v>
      </c>
      <c r="CE199" s="59">
        <f t="shared" si="207"/>
        <v>292.20785523952651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80.43698762436857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80.43698762436857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243</v>
      </c>
      <c r="CU199" s="17">
        <f>CT199*VLOOKUP('Données projet'!$B$13,Paramètres!$A$1:$I$89,3,0)*VLOOKUP('Données projet'!$B$13,Paramètres!$A$1:$I$89,5,0)</f>
        <v>155.4228</v>
      </c>
      <c r="CV199" s="13">
        <f t="shared" si="173"/>
        <v>39.808377687614154</v>
      </c>
      <c r="CW199" s="20">
        <f t="shared" si="174"/>
        <v>340.02763447259463</v>
      </c>
      <c r="CX199" s="59">
        <f t="shared" si="196"/>
        <v>633.36096780592788</v>
      </c>
      <c r="CY199" s="59">
        <f ca="1">AVERAGE(OFFSET($CX$3,0,0,'Données projet'!$E$13+1,1))-AVERAGE(OFFSET($H$3,0,0,'Données projet'!$E$13+1,1))</f>
        <v>269.44168853803717</v>
      </c>
      <c r="CZ199" s="59">
        <f t="shared" si="208"/>
        <v>247.65158389074043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6.140119846277388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6.140119846277388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6">
        <f t="shared" si="192"/>
        <v>256.66666666666669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259.99999999999983</v>
      </c>
      <c r="O200" s="13">
        <f>N200*VLOOKUP('Données projet'!$B$9,Paramètres!$A$1:$I$89,3,0)*VLOOKUP('Données projet'!$B$9,Paramètres!$A$1:$I$89,5,0)</f>
        <v>227.13599999999985</v>
      </c>
      <c r="P200" s="13">
        <f t="shared" si="203"/>
        <v>55.662966886685133</v>
      </c>
      <c r="Q200" s="20">
        <f t="shared" si="162"/>
        <v>492.5415339943097</v>
      </c>
      <c r="R200" s="59">
        <f t="shared" si="191"/>
        <v>785.87486732764296</v>
      </c>
      <c r="S200" s="59">
        <f ca="1">AVERAGE(OFFSET($R$3,0,0,'Données projet'!$E$9+1,1))-AVERAGE(OFFSET($H$3,0,0,'Données projet'!$E$9+1,1))</f>
        <v>381.72225529388083</v>
      </c>
      <c r="T200" s="59">
        <f t="shared" si="204"/>
        <v>360.05900046417361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9.3705145538699295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9.3705145538699295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304.99999999999994</v>
      </c>
      <c r="AJ200" s="13">
        <f>AI200*VLOOKUP('Données projet'!$B$10,Paramètres!$A$1:$I$89,3,0)*VLOOKUP('Données projet'!$B$10,Paramètres!$A$1:$I$89,5,0)</f>
        <v>275.96399999999994</v>
      </c>
      <c r="AK200" s="13">
        <f t="shared" si="164"/>
        <v>66.113366665488911</v>
      </c>
      <c r="AL200" s="20">
        <f t="shared" si="165"/>
        <v>595.7847469423931</v>
      </c>
      <c r="AM200" s="59">
        <f t="shared" si="193"/>
        <v>889.11808027572647</v>
      </c>
      <c r="AN200" s="59">
        <f ca="1">AVERAGE(OFFSET($AM$3,0,0,'Données projet'!$E$10+1,1))-AVERAGE(OFFSET($H$3,0,0,'Données projet'!$E$10+1,1))</f>
        <v>366.43676005661194</v>
      </c>
      <c r="AO200" s="59">
        <f t="shared" si="205"/>
        <v>513.80016421153414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0.30643973243938427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0.30643973243938427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0.8600000000003547</v>
      </c>
      <c r="BE200" s="13">
        <f>BD200*VLOOKUP('Données projet'!$B$11,Paramètres!$A$1:$I$89,3,0)*VLOOKUP('Données projet'!$B$11,Paramètres!$A$1:$I$89,5,0)</f>
        <v>0.38012000000015683</v>
      </c>
      <c r="BF200" s="13">
        <f t="shared" si="167"/>
        <v>0.19605142963512551</v>
      </c>
      <c r="BG200" s="20">
        <f t="shared" si="168"/>
        <v>1.0034985732814501</v>
      </c>
      <c r="BH200" s="59">
        <f t="shared" si="194"/>
        <v>294.33683190661475</v>
      </c>
      <c r="BI200" s="59">
        <f ca="1">AVERAGE(OFFSET($BH$3,0,0,'Données projet'!$E$11+1,1))-AVERAGE(OFFSET($H$3,0,0,'Données projet'!$E$11+1,1))</f>
        <v>328.58609979635901</v>
      </c>
      <c r="BJ200" s="59">
        <f t="shared" si="206"/>
        <v>432.3494365423407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17.659820140061235</v>
      </c>
      <c r="BQ200" s="21">
        <f>EXP(-LN(2)/25)*BQ199+(1-EXP(-LN(2)/25))/(LN(2)/25)*Calculateur!BL200*Calculateur!BN200*VLOOKUP('Données projet'!$B$11,Paramètres!$A$1:$I$89,3,0)*0.475*44/12</f>
        <v>0.38997248318542926</v>
      </c>
      <c r="BR200" s="21">
        <f>EXP(-LN(2)/2)*BR199+(1-EXP(-LN(2)/2))/(LN(2)/2)*BL200*BO200*VLOOKUP('Données projet'!$B$11,Paramètres!$A$1:$I$89,3,0)*0.475*44/12</f>
        <v>4.2775086898304952E-26</v>
      </c>
      <c r="BS200" s="22">
        <f t="shared" si="169"/>
        <v>18.049792623246663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19.8100000000004</v>
      </c>
      <c r="BZ200" s="13">
        <f>BY200*VLOOKUP('Données projet'!$B$12,Paramètres!$A$1:$I$89,3,0)*VLOOKUP('Données projet'!$B$12,Paramètres!$A$1:$I$89,5,0)</f>
        <v>18.851196000000382</v>
      </c>
      <c r="CA200" s="13">
        <f t="shared" si="170"/>
        <v>6.172221809210666</v>
      </c>
      <c r="CB200" s="20">
        <f t="shared" si="171"/>
        <v>43.582452684375909</v>
      </c>
      <c r="CC200" s="59">
        <f t="shared" si="195"/>
        <v>336.91578601770925</v>
      </c>
      <c r="CD200" s="59">
        <f ca="1">AVERAGE(OFFSET($CC$3,0,0,'Données projet'!$E$12+1,1))-AVERAGE(OFFSET($H$3,0,0,'Données projet'!$E$12+1,1))</f>
        <v>555.3092253965317</v>
      </c>
      <c r="CE200" s="59">
        <f t="shared" si="207"/>
        <v>292.20785523952651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78.859667358772711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78.859667358772711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243</v>
      </c>
      <c r="CU200" s="17">
        <f>CT200*VLOOKUP('Données projet'!$B$13,Paramètres!$A$1:$I$89,3,0)*VLOOKUP('Données projet'!$B$13,Paramètres!$A$1:$I$89,5,0)</f>
        <v>155.4228</v>
      </c>
      <c r="CV200" s="13">
        <f t="shared" si="173"/>
        <v>39.808377687614154</v>
      </c>
      <c r="CW200" s="20">
        <f t="shared" si="174"/>
        <v>340.02763447259463</v>
      </c>
      <c r="CX200" s="59">
        <f t="shared" si="196"/>
        <v>633.36096780592788</v>
      </c>
      <c r="CY200" s="59">
        <f ca="1">AVERAGE(OFFSET($CX$3,0,0,'Données projet'!$E$13+1,1))-AVERAGE(OFFSET($H$3,0,0,'Données projet'!$E$13+1,1))</f>
        <v>269.44168853803717</v>
      </c>
      <c r="CZ200" s="59">
        <f t="shared" si="208"/>
        <v>247.65158389074043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6.0197158411951968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6.0197158411951968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6">
        <f t="shared" si="192"/>
        <v>256.66666666666669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259.99999999999983</v>
      </c>
      <c r="O201" s="13">
        <f>N201*VLOOKUP('Données projet'!$B$9,Paramètres!$A$1:$I$89,3,0)*VLOOKUP('Données projet'!$B$9,Paramètres!$A$1:$I$89,5,0)</f>
        <v>227.13599999999985</v>
      </c>
      <c r="P201" s="13">
        <f t="shared" si="203"/>
        <v>55.662966886685133</v>
      </c>
      <c r="Q201" s="20">
        <f t="shared" si="162"/>
        <v>492.5415339943097</v>
      </c>
      <c r="R201" s="59">
        <f t="shared" si="191"/>
        <v>785.87486732764296</v>
      </c>
      <c r="S201" s="59">
        <f ca="1">AVERAGE(OFFSET($R$3,0,0,'Données projet'!$E$9+1,1))-AVERAGE(OFFSET($H$3,0,0,'Données projet'!$E$9+1,1))</f>
        <v>381.72225529388083</v>
      </c>
      <c r="T201" s="59">
        <f t="shared" si="204"/>
        <v>360.05900046417361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9.1867644789180645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9.1867644789180645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304.99999999999994</v>
      </c>
      <c r="AJ201" s="13">
        <f>AI201*VLOOKUP('Données projet'!$B$10,Paramètres!$A$1:$I$89,3,0)*VLOOKUP('Données projet'!$B$10,Paramètres!$A$1:$I$89,5,0)</f>
        <v>275.96399999999994</v>
      </c>
      <c r="AK201" s="13">
        <f t="shared" si="164"/>
        <v>66.113366665488911</v>
      </c>
      <c r="AL201" s="20">
        <f t="shared" si="165"/>
        <v>595.7847469423931</v>
      </c>
      <c r="AM201" s="59">
        <f t="shared" si="193"/>
        <v>889.11808027572647</v>
      </c>
      <c r="AN201" s="59">
        <f ca="1">AVERAGE(OFFSET($AM$3,0,0,'Données projet'!$E$10+1,1))-AVERAGE(OFFSET($H$3,0,0,'Données projet'!$E$10+1,1))</f>
        <v>366.43676005661194</v>
      </c>
      <c r="AO201" s="59">
        <f t="shared" si="205"/>
        <v>513.80016421153414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0.30043063619602894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0.30043063619602894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0.8600000000003547</v>
      </c>
      <c r="BE201" s="13">
        <f>BD201*VLOOKUP('Données projet'!$B$11,Paramètres!$A$1:$I$89,3,0)*VLOOKUP('Données projet'!$B$11,Paramètres!$A$1:$I$89,5,0)</f>
        <v>0.38012000000015683</v>
      </c>
      <c r="BF201" s="13">
        <f t="shared" si="167"/>
        <v>0.19605142963512551</v>
      </c>
      <c r="BG201" s="20">
        <f t="shared" si="168"/>
        <v>1.0034985732814501</v>
      </c>
      <c r="BH201" s="59">
        <f t="shared" si="194"/>
        <v>294.33683190661475</v>
      </c>
      <c r="BI201" s="59">
        <f ca="1">AVERAGE(OFFSET($BH$3,0,0,'Données projet'!$E$11+1,1))-AVERAGE(OFFSET($H$3,0,0,'Données projet'!$E$11+1,1))</f>
        <v>328.58609979635901</v>
      </c>
      <c r="BJ201" s="59">
        <f t="shared" si="206"/>
        <v>432.3494365423407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17.31352183854133</v>
      </c>
      <c r="BQ201" s="21">
        <f>EXP(-LN(2)/25)*BQ200+(1-EXP(-LN(2)/25))/(LN(2)/25)*Calculateur!BL201*Calculateur!BN201*VLOOKUP('Données projet'!$B$11,Paramètres!$A$1:$I$89,3,0)*0.475*44/12</f>
        <v>0.37930866512496209</v>
      </c>
      <c r="BR201" s="21">
        <f>EXP(-LN(2)/2)*BR200+(1-EXP(-LN(2)/2))/(LN(2)/2)*BL201*BO201*VLOOKUP('Données projet'!$B$11,Paramètres!$A$1:$I$89,3,0)*0.475*44/12</f>
        <v>3.0246554011635275E-26</v>
      </c>
      <c r="BS201" s="22">
        <f t="shared" si="169"/>
        <v>17.692830503666293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19.8100000000004</v>
      </c>
      <c r="BZ201" s="13">
        <f>BY201*VLOOKUP('Données projet'!$B$12,Paramètres!$A$1:$I$89,3,0)*VLOOKUP('Données projet'!$B$12,Paramètres!$A$1:$I$89,5,0)</f>
        <v>18.851196000000382</v>
      </c>
      <c r="CA201" s="13">
        <f t="shared" si="170"/>
        <v>6.172221809210666</v>
      </c>
      <c r="CB201" s="20">
        <f t="shared" si="171"/>
        <v>43.582452684375909</v>
      </c>
      <c r="CC201" s="59">
        <f t="shared" si="195"/>
        <v>336.91578601770925</v>
      </c>
      <c r="CD201" s="59">
        <f ca="1">AVERAGE(OFFSET($CC$3,0,0,'Données projet'!$E$12+1,1))-AVERAGE(OFFSET($H$3,0,0,'Données projet'!$E$12+1,1))</f>
        <v>555.3092253965317</v>
      </c>
      <c r="CE201" s="59">
        <f t="shared" si="207"/>
        <v>292.20785523952651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77.313277381514823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77.313277381514823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243</v>
      </c>
      <c r="CU201" s="17">
        <f>CT201*VLOOKUP('Données projet'!$B$13,Paramètres!$A$1:$I$89,3,0)*VLOOKUP('Données projet'!$B$13,Paramètres!$A$1:$I$89,5,0)</f>
        <v>155.4228</v>
      </c>
      <c r="CV201" s="13">
        <f t="shared" si="173"/>
        <v>39.808377687614154</v>
      </c>
      <c r="CW201" s="20">
        <f t="shared" si="174"/>
        <v>340.02763447259463</v>
      </c>
      <c r="CX201" s="59">
        <f t="shared" si="196"/>
        <v>633.36096780592788</v>
      </c>
      <c r="CY201" s="59">
        <f ca="1">AVERAGE(OFFSET($CX$3,0,0,'Données projet'!$E$13+1,1))-AVERAGE(OFFSET($H$3,0,0,'Données projet'!$E$13+1,1))</f>
        <v>269.44168853803717</v>
      </c>
      <c r="CZ201" s="59">
        <f t="shared" si="208"/>
        <v>247.65158389074043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5.9016728852134754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5.9016728852134754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6">
        <f t="shared" si="192"/>
        <v>256.66666666666669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259.99999999999983</v>
      </c>
      <c r="O202" s="13">
        <f>N202*VLOOKUP('Données projet'!$B$9,Paramètres!$A$1:$I$89,3,0)*VLOOKUP('Données projet'!$B$9,Paramètres!$A$1:$I$89,5,0)</f>
        <v>227.13599999999985</v>
      </c>
      <c r="P202" s="13">
        <f t="shared" si="203"/>
        <v>55.662966886685133</v>
      </c>
      <c r="Q202" s="20">
        <f t="shared" si="162"/>
        <v>492.5415339943097</v>
      </c>
      <c r="R202" s="59">
        <f t="shared" si="191"/>
        <v>785.87486732764296</v>
      </c>
      <c r="S202" s="59">
        <f ca="1">AVERAGE(OFFSET($R$3,0,0,'Données projet'!$E$9+1,1))-AVERAGE(OFFSET($H$3,0,0,'Données projet'!$E$9+1,1))</f>
        <v>381.72225529388083</v>
      </c>
      <c r="T202" s="59">
        <f t="shared" si="204"/>
        <v>360.05900046417361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9.0066176308595267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9.0066176308595267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304.99999999999994</v>
      </c>
      <c r="AJ202" s="13">
        <f>AI202*VLOOKUP('Données projet'!$B$10,Paramètres!$A$1:$I$89,3,0)*VLOOKUP('Données projet'!$B$10,Paramètres!$A$1:$I$89,5,0)</f>
        <v>275.96399999999994</v>
      </c>
      <c r="AK202" s="13">
        <f t="shared" si="164"/>
        <v>66.113366665488911</v>
      </c>
      <c r="AL202" s="20">
        <f t="shared" si="165"/>
        <v>595.7847469423931</v>
      </c>
      <c r="AM202" s="59">
        <f t="shared" si="193"/>
        <v>889.11808027572647</v>
      </c>
      <c r="AN202" s="59">
        <f ca="1">AVERAGE(OFFSET($AM$3,0,0,'Données projet'!$E$10+1,1))-AVERAGE(OFFSET($H$3,0,0,'Données projet'!$E$10+1,1))</f>
        <v>366.43676005661194</v>
      </c>
      <c r="AO202" s="59">
        <f t="shared" si="205"/>
        <v>513.80016421153414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0.294539374664819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0.294539374664819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0.8600000000003547</v>
      </c>
      <c r="BE202" s="13">
        <f>BD202*VLOOKUP('Données projet'!$B$11,Paramètres!$A$1:$I$89,3,0)*VLOOKUP('Données projet'!$B$11,Paramètres!$A$1:$I$89,5,0)</f>
        <v>0.38012000000015683</v>
      </c>
      <c r="BF202" s="13">
        <f t="shared" si="167"/>
        <v>0.19605142963512551</v>
      </c>
      <c r="BG202" s="20">
        <f t="shared" si="168"/>
        <v>1.0034985732814501</v>
      </c>
      <c r="BH202" s="59">
        <f t="shared" si="194"/>
        <v>294.33683190661475</v>
      </c>
      <c r="BI202" s="59">
        <f ca="1">AVERAGE(OFFSET($BH$3,0,0,'Données projet'!$E$11+1,1))-AVERAGE(OFFSET($H$3,0,0,'Données projet'!$E$11+1,1))</f>
        <v>328.58609979635901</v>
      </c>
      <c r="BJ202" s="59">
        <f t="shared" si="206"/>
        <v>432.3494365423407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16.974014235493122</v>
      </c>
      <c r="BQ202" s="21">
        <f>EXP(-LN(2)/25)*BQ201+(1-EXP(-LN(2)/25))/(LN(2)/25)*Calculateur!BL202*Calculateur!BN202*VLOOKUP('Données projet'!$B$11,Paramètres!$A$1:$I$89,3,0)*0.475*44/12</f>
        <v>0.36893644973014422</v>
      </c>
      <c r="BR202" s="21">
        <f>EXP(-LN(2)/2)*BR201+(1-EXP(-LN(2)/2))/(LN(2)/2)*BL202*BO202*VLOOKUP('Données projet'!$B$11,Paramètres!$A$1:$I$89,3,0)*0.475*44/12</f>
        <v>2.1387543449152476E-26</v>
      </c>
      <c r="BS202" s="22">
        <f t="shared" si="169"/>
        <v>17.342950685223265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19.8100000000004</v>
      </c>
      <c r="BZ202" s="13">
        <f>BY202*VLOOKUP('Données projet'!$B$12,Paramètres!$A$1:$I$89,3,0)*VLOOKUP('Données projet'!$B$12,Paramètres!$A$1:$I$89,5,0)</f>
        <v>18.851196000000382</v>
      </c>
      <c r="CA202" s="13">
        <f t="shared" si="170"/>
        <v>6.172221809210666</v>
      </c>
      <c r="CB202" s="20">
        <f t="shared" si="171"/>
        <v>43.582452684375909</v>
      </c>
      <c r="CC202" s="59">
        <f t="shared" si="195"/>
        <v>336.91578601770925</v>
      </c>
      <c r="CD202" s="59">
        <f ca="1">AVERAGE(OFFSET($CC$3,0,0,'Données projet'!$E$12+1,1))-AVERAGE(OFFSET($H$3,0,0,'Données projet'!$E$12+1,1))</f>
        <v>555.3092253965317</v>
      </c>
      <c r="CE202" s="59">
        <f t="shared" si="207"/>
        <v>292.20785523952651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75.797211168506209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75.797211168506209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243</v>
      </c>
      <c r="CU202" s="17">
        <f>CT202*VLOOKUP('Données projet'!$B$13,Paramètres!$A$1:$I$89,3,0)*VLOOKUP('Données projet'!$B$13,Paramètres!$A$1:$I$89,5,0)</f>
        <v>155.4228</v>
      </c>
      <c r="CV202" s="13">
        <f t="shared" si="173"/>
        <v>39.808377687614154</v>
      </c>
      <c r="CW202" s="20">
        <f t="shared" si="174"/>
        <v>340.02763447259463</v>
      </c>
      <c r="CX202" s="59">
        <f t="shared" si="196"/>
        <v>633.36096780592788</v>
      </c>
      <c r="CY202" s="59">
        <f ca="1">AVERAGE(OFFSET($CX$3,0,0,'Données projet'!$E$13+1,1))-AVERAGE(OFFSET($H$3,0,0,'Données projet'!$E$13+1,1))</f>
        <v>269.44168853803717</v>
      </c>
      <c r="CZ202" s="59">
        <f t="shared" si="208"/>
        <v>247.65158389074043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5.7859446795994618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5.7859446795994618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6">
        <f t="shared" si="192"/>
        <v>256.66666666666669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259.99999999999983</v>
      </c>
      <c r="O203" s="13">
        <f>N203*VLOOKUP('Données projet'!$B$9,Paramètres!$A$1:$I$89,3,0)*VLOOKUP('Données projet'!$B$9,Paramètres!$A$1:$I$89,5,0)</f>
        <v>227.13599999999985</v>
      </c>
      <c r="P203" s="13">
        <f t="shared" si="203"/>
        <v>55.662966886685133</v>
      </c>
      <c r="Q203" s="20">
        <f t="shared" si="162"/>
        <v>492.5415339943097</v>
      </c>
      <c r="R203" s="59">
        <f t="shared" si="191"/>
        <v>785.87486732764296</v>
      </c>
      <c r="S203" s="59">
        <f ca="1">AVERAGE(OFFSET($R$3,0,0,'Données projet'!$E$9+1,1))-AVERAGE(OFFSET($H$3,0,0,'Données projet'!$E$9+1,1))</f>
        <v>381.72225529388083</v>
      </c>
      <c r="T203" s="59">
        <f t="shared" si="204"/>
        <v>360.05900046417361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8.8300033526126889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8.8300033526126889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304.99999999999994</v>
      </c>
      <c r="AJ203" s="13">
        <f>AI203*VLOOKUP('Données projet'!$B$10,Paramètres!$A$1:$I$89,3,0)*VLOOKUP('Données projet'!$B$10,Paramètres!$A$1:$I$89,5,0)</f>
        <v>275.96399999999994</v>
      </c>
      <c r="AK203" s="13">
        <f t="shared" si="164"/>
        <v>66.113366665488911</v>
      </c>
      <c r="AL203" s="20">
        <f t="shared" si="165"/>
        <v>595.7847469423931</v>
      </c>
      <c r="AM203" s="59">
        <f t="shared" si="193"/>
        <v>889.11808027572647</v>
      </c>
      <c r="AN203" s="59">
        <f ca="1">AVERAGE(OFFSET($AM$3,0,0,'Données projet'!$E$10+1,1))-AVERAGE(OFFSET($H$3,0,0,'Données projet'!$E$10+1,1))</f>
        <v>366.43676005661194</v>
      </c>
      <c r="AO203" s="59">
        <f t="shared" si="205"/>
        <v>513.80016421153414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0.28876363717892134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0.28876363717892134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0.8600000000003547</v>
      </c>
      <c r="BE203" s="13">
        <f>BD203*VLOOKUP('Données projet'!$B$11,Paramètres!$A$1:$I$89,3,0)*VLOOKUP('Données projet'!$B$11,Paramètres!$A$1:$I$89,5,0)</f>
        <v>0.38012000000015683</v>
      </c>
      <c r="BF203" s="13">
        <f t="shared" si="167"/>
        <v>0.19605142963512551</v>
      </c>
      <c r="BG203" s="20">
        <f t="shared" si="168"/>
        <v>1.0034985732814501</v>
      </c>
      <c r="BH203" s="59">
        <f t="shared" si="194"/>
        <v>294.33683190661475</v>
      </c>
      <c r="BI203" s="59">
        <f ca="1">AVERAGE(OFFSET($BH$3,0,0,'Données projet'!$E$11+1,1))-AVERAGE(OFFSET($H$3,0,0,'Données projet'!$E$11+1,1))</f>
        <v>328.58609979635901</v>
      </c>
      <c r="BJ203" s="59">
        <f t="shared" si="206"/>
        <v>432.3494365423407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16.641164169461501</v>
      </c>
      <c r="BQ203" s="21">
        <f>EXP(-LN(2)/25)*BQ202+(1-EXP(-LN(2)/25))/(LN(2)/25)*Calculateur!BL203*Calculateur!BN203*VLOOKUP('Données projet'!$B$11,Paramètres!$A$1:$I$89,3,0)*0.475*44/12</f>
        <v>0.35884786311074873</v>
      </c>
      <c r="BR203" s="21">
        <f>EXP(-LN(2)/2)*BR202+(1-EXP(-LN(2)/2))/(LN(2)/2)*BL203*BO203*VLOOKUP('Données projet'!$B$11,Paramètres!$A$1:$I$89,3,0)*0.475*44/12</f>
        <v>1.5123277005817637E-26</v>
      </c>
      <c r="BS203" s="22">
        <f t="shared" si="169"/>
        <v>17.000012032572251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19.8100000000004</v>
      </c>
      <c r="BZ203" s="13">
        <f>BY203*VLOOKUP('Données projet'!$B$12,Paramètres!$A$1:$I$89,3,0)*VLOOKUP('Données projet'!$B$12,Paramètres!$A$1:$I$89,5,0)</f>
        <v>18.851196000000382</v>
      </c>
      <c r="CA203" s="13">
        <f t="shared" si="170"/>
        <v>6.172221809210666</v>
      </c>
      <c r="CB203" s="20">
        <f t="shared" si="171"/>
        <v>43.582452684375909</v>
      </c>
      <c r="CC203" s="59">
        <f t="shared" si="195"/>
        <v>336.91578601770925</v>
      </c>
      <c r="CD203" s="59">
        <f ca="1">AVERAGE(OFFSET($CC$3,0,0,'Données projet'!$E$12+1,1))-AVERAGE(OFFSET($H$3,0,0,'Données projet'!$E$12+1,1))</f>
        <v>555.3092253965317</v>
      </c>
      <c r="CE203" s="59">
        <f t="shared" si="207"/>
        <v>292.20785523952651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74.310874089225607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74.310874089225607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243</v>
      </c>
      <c r="CU203" s="17">
        <f>CT203*VLOOKUP('Données projet'!$B$13,Paramètres!$A$1:$I$89,3,0)*VLOOKUP('Données projet'!$B$13,Paramètres!$A$1:$I$89,5,0)</f>
        <v>155.4228</v>
      </c>
      <c r="CV203" s="13">
        <f t="shared" si="173"/>
        <v>39.808377687614154</v>
      </c>
      <c r="CW203" s="20">
        <f t="shared" si="174"/>
        <v>340.02763447259463</v>
      </c>
      <c r="CX203" s="59">
        <f t="shared" si="196"/>
        <v>633.36096780592788</v>
      </c>
      <c r="CY203" s="59">
        <f ca="1">AVERAGE(OFFSET($CX$3,0,0,'Données projet'!$E$13+1,1))-AVERAGE(OFFSET($H$3,0,0,'Données projet'!$E$13+1,1))</f>
        <v>269.44168853803717</v>
      </c>
      <c r="CZ203" s="59">
        <f t="shared" si="208"/>
        <v>247.65158389074043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5.6724858335103034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5.6724858335103034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4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1.4269435884576509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2.0243974584998852</v>
      </c>
      <c r="BA205" s="81">
        <f>EXP(LN('Données projet'!B88)/'Données projet'!A88)</f>
        <v>1.3540417154604885</v>
      </c>
      <c r="BV205" s="81">
        <f>EXP(LN('Données projet'!B114)/'Données projet'!A114)</f>
        <v>1.1736311550444201</v>
      </c>
      <c r="CQ205" s="81">
        <f>EXP(LN('Données projet'!B140)/'Données projet'!A140)</f>
        <v>1.4003603312913959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63281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6328125" style="4" bestFit="1" customWidth="1"/>
    <col min="7" max="7" width="11.453125" style="4" bestFit="1" customWidth="1"/>
    <col min="8" max="8" width="39" style="4" bestFit="1" customWidth="1"/>
    <col min="9" max="9" width="16.63281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5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4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4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5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5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5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4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4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5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4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5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5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5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5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5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5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5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5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5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5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5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5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5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5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5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5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5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5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5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5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5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5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5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5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5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5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5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5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5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5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5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5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5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5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5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5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5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5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5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5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5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5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5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5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5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5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5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5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5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5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5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5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5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5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5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5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5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5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5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5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5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5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5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5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5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5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5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5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5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5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5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5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5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5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5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5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5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4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5">
      <c r="A93" s="120" t="s">
        <v>208</v>
      </c>
    </row>
    <row r="94" spans="1:14" x14ac:dyDescent="0.35">
      <c r="A94" s="120" t="s">
        <v>209</v>
      </c>
    </row>
    <row r="95" spans="1:14" x14ac:dyDescent="0.35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80" zoomScaleNormal="80" workbookViewId="0">
      <selection activeCell="M34" sqref="M34"/>
    </sheetView>
  </sheetViews>
  <sheetFormatPr baseColWidth="10" defaultColWidth="11.453125" defaultRowHeight="14.5" x14ac:dyDescent="0.35"/>
  <cols>
    <col min="1" max="1" width="22.81640625" style="1" bestFit="1" customWidth="1"/>
    <col min="2" max="2" width="10.453125" style="1" bestFit="1" customWidth="1"/>
    <col min="3" max="3" width="15.45312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3" thickBot="1" x14ac:dyDescent="0.4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3" t="str">
        <f>IF('Données projet'!$B$9="","",'Données projet'!$B$9)</f>
        <v>Chêne rouge d'Amérique</v>
      </c>
      <c r="B6" s="144">
        <f>'Données projet'!D9</f>
        <v>1.4304400000000002</v>
      </c>
      <c r="C6" s="145">
        <f ca="1">IF(OR('Données projet'!B9="",'Données projet'!C9="",'Données projet'!C9=0%),0,Calculateur!S3)</f>
        <v>381.72225529388083</v>
      </c>
      <c r="D6" s="145">
        <f>IF(OR('Données projet'!B9="",'Données projet'!C9="",'Données projet'!C9=0%),0,Calculateur!T3)</f>
        <v>360.05900046417361</v>
      </c>
      <c r="E6" s="145">
        <f ca="1">MIN(C6,D6)</f>
        <v>360.05900046417361</v>
      </c>
      <c r="F6" s="145">
        <f ca="1">E6*B6</f>
        <v>515.04279662397255</v>
      </c>
      <c r="G6" s="145">
        <f ca="1">F6*(100%-'Données projet'!$C$24)*(100%-'Données projet'!$C$25)*(100%-'Données projet'!$C$26)*(100%-'Données projet'!$C$27)</f>
        <v>463.53851696157528</v>
      </c>
      <c r="H6" s="146">
        <f>IF(OR('Données projet'!B9="",'Données projet'!C9="",'Données projet'!C9=0%),0,AVERAGE(Calculateur!$AC$3:$AC$33)*B6)</f>
        <v>0</v>
      </c>
      <c r="I6" s="147">
        <f>H6*(100%-'Données projet'!$C$24)*(100%-'Données projet'!$C$25)*(100%-'Données projet'!$C$26)*(100%-'Données projet'!$C$27)</f>
        <v>0</v>
      </c>
      <c r="J6" s="148">
        <f>IF(OR('Données projet'!B9="",'Données projet'!C9="",'Données projet'!C9=0%),0,SUM(Calculateur!$V$3:$V$33)*VLOOKUP('Données projet'!$B$9,Paramètres!$A$1:$I$89,9,0)*B6)</f>
        <v>43.628420000000006</v>
      </c>
      <c r="K6" s="149">
        <f>J6*(100%-'Données projet'!$C$24)*(100%-'Données projet'!$C$25)*(100%-'Données projet'!$C$26)*(100%-'Données projet'!$C$27)</f>
        <v>39.265578000000005</v>
      </c>
      <c r="L6" s="150">
        <f ca="1">G6+I6+K6</f>
        <v>502.80409496157529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1" t="str">
        <f>IF('Données projet'!$B$10="","",'Données projet'!$B$10)</f>
        <v>Robinier faux-acacia</v>
      </c>
      <c r="B7" s="152">
        <f>'Données projet'!D10</f>
        <v>0.61580200000000007</v>
      </c>
      <c r="C7" s="145">
        <f ca="1">IF(OR('Données projet'!B10="",'Données projet'!C10="",'Données projet'!C10=0%),0,Calculateur!AN3)</f>
        <v>366.43676005661194</v>
      </c>
      <c r="D7" s="145">
        <f>IF(OR('Données projet'!B10="",'Données projet'!C10="",'Données projet'!C10=0%),0,Calculateur!AO3)</f>
        <v>513.80016421153414</v>
      </c>
      <c r="E7" s="145">
        <f t="shared" ref="E7:E15" ca="1" si="0">MIN(C7,D7)</f>
        <v>366.43676005661194</v>
      </c>
      <c r="F7" s="145">
        <f t="shared" ref="F7:F15" ca="1" si="1">E7*B7</f>
        <v>225.65248971638178</v>
      </c>
      <c r="G7" s="145">
        <f ca="1">F7*(100%-'Données projet'!$C$24)*(100%-'Données projet'!$C$25)*(100%-'Données projet'!$C$26)*(100%-'Données projet'!$C$27)</f>
        <v>203.08724074474361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15.395050000000001</v>
      </c>
      <c r="K7" s="149">
        <f>J7*(100%-'Données projet'!$C$24)*(100%-'Données projet'!$C$25)*(100%-'Données projet'!$C$26)*(100%-'Données projet'!$C$27)</f>
        <v>13.855545000000001</v>
      </c>
      <c r="L7" s="150">
        <f t="shared" ref="L7:L15" ca="1" si="2">G7+I7+K7</f>
        <v>216.94278574474362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1" t="str">
        <f>IF('Données projet'!$B$11="","",'Données projet'!$B$11)</f>
        <v>Séquoia toujours vert</v>
      </c>
      <c r="B8" s="152">
        <f>'Données projet'!D11</f>
        <v>8.5822000000000009E-2</v>
      </c>
      <c r="C8" s="145">
        <f ca="1">IF(OR('Données projet'!B11="",'Données projet'!C11="",'Données projet'!C11=0%),0,Calculateur!BI3)</f>
        <v>328.58609979635901</v>
      </c>
      <c r="D8" s="145">
        <f>IF(OR('Données projet'!B11="",'Données projet'!C11="",'Données projet'!C11=0%),0,Calculateur!BJ3)</f>
        <v>432.3494365423407</v>
      </c>
      <c r="E8" s="145">
        <f t="shared" ca="1" si="0"/>
        <v>328.58609979635901</v>
      </c>
      <c r="F8" s="145">
        <f t="shared" ca="1" si="1"/>
        <v>28.199916256723125</v>
      </c>
      <c r="G8" s="145">
        <f ca="1">F8*(100%-'Données projet'!$C$24)*(100%-'Données projet'!$C$25)*(100%-'Données projet'!$C$26)*(100%-'Données projet'!$C$27)</f>
        <v>25.379924631050812</v>
      </c>
      <c r="H8" s="153">
        <f>IF(OR('Données projet'!B11="",'Données projet'!C11="",'Données projet'!C11=0%),0,AVERAGE(Calculateur!$BS$3:$BS$33)*B8)</f>
        <v>0.71683318256372075</v>
      </c>
      <c r="I8" s="147">
        <f>H8*(100%-'Données projet'!$C$24)*(100%-'Données projet'!$C$25)*(100%-'Données projet'!$C$26)*(100%-'Données projet'!$C$27)</f>
        <v>0.64514986430734866</v>
      </c>
      <c r="J8" s="148">
        <f>IF(OR('Données projet'!B11="",'Données projet'!C11="",'Données projet'!C11=0%),0,SUM(Calculateur!$BL$3:$BL$33)*VLOOKUP('Données projet'!$B$11,Paramètres!$A$1:$I$89,9,0)*B8)</f>
        <v>7.6456588428000014</v>
      </c>
      <c r="K8" s="149">
        <f>J8*(100%-'Données projet'!$C$24)*(100%-'Données projet'!$C$25)*(100%-'Données projet'!$C$26)*(100%-'Données projet'!$C$27)</f>
        <v>6.8810929585200018</v>
      </c>
      <c r="L8" s="150">
        <f t="shared" ca="1" si="2"/>
        <v>32.906167453878162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1" t="str">
        <f>IF('Données projet'!$B$12="","",'Données projet'!$B$12)</f>
        <v>Charme</v>
      </c>
      <c r="B9" s="152">
        <f>'Données projet'!D12</f>
        <v>3.4320000000000003E-2</v>
      </c>
      <c r="C9" s="145">
        <f ca="1">IF(OR('Données projet'!B12="",'Données projet'!C12="",'Données projet'!C12=0%),0,Calculateur!CD3)</f>
        <v>555.3092253965317</v>
      </c>
      <c r="D9" s="145">
        <f>IF(OR('Données projet'!B12="",'Données projet'!C12="",'Données projet'!C12=0%),0,Calculateur!CE3)</f>
        <v>292.20785523952651</v>
      </c>
      <c r="E9" s="145">
        <f t="shared" ca="1" si="0"/>
        <v>292.20785523952651</v>
      </c>
      <c r="F9" s="145">
        <f t="shared" ca="1" si="1"/>
        <v>10.028573591820551</v>
      </c>
      <c r="G9" s="145">
        <f ca="1">F9*(100%-'Données projet'!$C$24)*(100%-'Données projet'!$C$25)*(100%-'Données projet'!$C$26)*(100%-'Données projet'!$C$27)</f>
        <v>9.0257162326384961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ca="1" si="2"/>
        <v>9.0257162326384961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1" t="str">
        <f>IF('Données projet'!$B$13="","",'Données projet'!$B$13)</f>
        <v>Tulipier de Virginie</v>
      </c>
      <c r="B10" s="152">
        <f>'Données projet'!D13</f>
        <v>3.3616E-2</v>
      </c>
      <c r="C10" s="145">
        <f ca="1">IF(OR('Données projet'!B13="",'Données projet'!C13="",'Données projet'!C13=0%),0,Calculateur!CY3)</f>
        <v>269.44168853803717</v>
      </c>
      <c r="D10" s="145">
        <f>IF(OR('Données projet'!B13="",'Données projet'!C13="",'Données projet'!C13=0%),0,Calculateur!CZ3)</f>
        <v>247.65158389074043</v>
      </c>
      <c r="E10" s="145">
        <f t="shared" ca="1" si="0"/>
        <v>247.65158389074043</v>
      </c>
      <c r="F10" s="145">
        <f t="shared" ca="1" si="1"/>
        <v>8.3250556440711296</v>
      </c>
      <c r="G10" s="145">
        <f ca="1">F10*(100%-'Données projet'!$C$24)*(100%-'Données projet'!$C$25)*(100%-'Données projet'!$C$26)*(100%-'Données projet'!$C$27)</f>
        <v>7.4925500796640172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0.89922800000000003</v>
      </c>
      <c r="K10" s="149">
        <f>J10*(100%-'Données projet'!$C$24)*(100%-'Données projet'!$C$25)*(100%-'Données projet'!$C$26)*(100%-'Données projet'!$C$27)</f>
        <v>0.80930520000000006</v>
      </c>
      <c r="L10" s="150">
        <f t="shared" ca="1" si="2"/>
        <v>8.3018552796640179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7"/>
      <c r="B16" s="211"/>
      <c r="C16" s="212"/>
      <c r="D16" s="23"/>
      <c r="E16" s="23"/>
      <c r="F16" s="163">
        <f t="shared" ref="F16:L16" ca="1" si="3">SUM(F6:F15)</f>
        <v>787.24883183296902</v>
      </c>
      <c r="G16" s="164">
        <f t="shared" ca="1" si="3"/>
        <v>708.52394864967221</v>
      </c>
      <c r="H16" s="165">
        <f t="shared" si="3"/>
        <v>0.71683318256372075</v>
      </c>
      <c r="I16" s="165">
        <f t="shared" si="3"/>
        <v>0.64514986430734866</v>
      </c>
      <c r="J16" s="166">
        <f t="shared" si="3"/>
        <v>67.5683568428</v>
      </c>
      <c r="K16" s="166">
        <f t="shared" si="3"/>
        <v>60.811521158520002</v>
      </c>
      <c r="L16" s="167">
        <f t="shared" ca="1" si="3"/>
        <v>769.98061967249964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68" t="str">
        <f>A6</f>
        <v>Chêne rouge d'Amérique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68" t="str">
        <f>A7</f>
        <v>Robinier faux-acacia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68" t="str">
        <f>A8</f>
        <v>Séquoia toujours vert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68" t="str">
        <f>A9</f>
        <v>Charme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68" t="str">
        <f>A10</f>
        <v>Tulipier de Virginie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5" zoomScaleNormal="85" workbookViewId="0">
      <selection activeCell="L26" sqref="L26:P27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08984375" style="1" bestFit="1" customWidth="1"/>
    <col min="4" max="5" width="11.453125" style="1"/>
    <col min="6" max="6" width="14" style="1" customWidth="1"/>
    <col min="7" max="7" width="17.453125" style="1" customWidth="1"/>
    <col min="8" max="8" width="21.63281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089843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Chêne rouge d'Amérique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521.44578019344715</v>
      </c>
      <c r="U10" s="176">
        <f>'Données projet'!D9</f>
        <v>1.4304400000000002</v>
      </c>
      <c r="V10" s="175">
        <f>U10*T10</f>
        <v>745.89690181991466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Robinier faux-acacia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-562.54369139507799</v>
      </c>
      <c r="U11" s="176">
        <f>'Données projet'!D10</f>
        <v>0.61580200000000007</v>
      </c>
      <c r="V11" s="175">
        <f t="shared" ref="V11" si="0">U11*T11</f>
        <v>-346.41553024847184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Séquoia toujours vert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5835.0724697855712</v>
      </c>
      <c r="U12" s="176">
        <f>'Données projet'!D11</f>
        <v>8.5822000000000009E-2</v>
      </c>
      <c r="V12" s="175">
        <f t="shared" ref="V12:V19" si="1">U12*T12</f>
        <v>500.77758950193737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>Charme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1058.2259301141507</v>
      </c>
      <c r="U13" s="176">
        <f>'Données projet'!D12</f>
        <v>3.4320000000000003E-2</v>
      </c>
      <c r="V13" s="175">
        <f t="shared" si="1"/>
        <v>36.318313921517657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2" t="str">
        <f>IF('Données projet'!$B$9="","",'Données projet'!$B$9)</f>
        <v>Chêne rouge d'Amérique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>Tulipier de Virginie</v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-689.27550110725565</v>
      </c>
      <c r="U14" s="176">
        <f>'Données projet'!D13</f>
        <v>3.3616E-2</v>
      </c>
      <c r="V14" s="175">
        <f t="shared" si="1"/>
        <v>-23.170685245221506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7" t="s">
        <v>132</v>
      </c>
      <c r="C17" s="196" t="s">
        <v>132</v>
      </c>
      <c r="D17" s="195" t="s">
        <v>132</v>
      </c>
      <c r="E17" s="191">
        <v>1939.34</v>
      </c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>
        <v>6775.2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78">
        <f>'Données projet'!A36</f>
        <v>10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-13992.033410250324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78">
        <f>'Données projet'!A37</f>
        <v>15</v>
      </c>
      <c r="B24" s="179">
        <f>'Données projet'!D37</f>
        <v>30</v>
      </c>
      <c r="C24" s="191">
        <v>20</v>
      </c>
      <c r="D24" s="180">
        <f t="shared" ref="D24:D42" si="2">B24*C24</f>
        <v>600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78">
        <f>'Données projet'!A38</f>
        <v>20</v>
      </c>
      <c r="B25" s="179">
        <f>'Données projet'!D38</f>
        <v>29</v>
      </c>
      <c r="C25" s="191">
        <v>20</v>
      </c>
      <c r="D25" s="180">
        <f t="shared" si="2"/>
        <v>580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>
        <v>0</v>
      </c>
      <c r="Q25" s="232"/>
      <c r="R25" s="23"/>
      <c r="S25" s="184" t="s">
        <v>266</v>
      </c>
      <c r="T25" s="308">
        <f ca="1">T23-T24</f>
        <v>-13992.033410250324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78">
        <f>'Données projet'!A39</f>
        <v>25</v>
      </c>
      <c r="B26" s="179">
        <f>'Données projet'!D39</f>
        <v>31</v>
      </c>
      <c r="C26" s="191">
        <v>20</v>
      </c>
      <c r="D26" s="180">
        <f t="shared" si="2"/>
        <v>620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est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78">
        <f>'Données projet'!A40</f>
        <v>30</v>
      </c>
      <c r="B27" s="179">
        <f>'Données projet'!D40</f>
        <v>32</v>
      </c>
      <c r="C27" s="191">
        <v>20</v>
      </c>
      <c r="D27" s="180">
        <f t="shared" si="2"/>
        <v>640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78">
        <f>'Données projet'!A41</f>
        <v>35</v>
      </c>
      <c r="B28" s="179">
        <f>'Données projet'!D41</f>
        <v>32</v>
      </c>
      <c r="C28" s="191">
        <v>55</v>
      </c>
      <c r="D28" s="180">
        <f t="shared" si="2"/>
        <v>1760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78">
        <f>'Données projet'!A42</f>
        <v>40</v>
      </c>
      <c r="B29" s="179">
        <f>'Données projet'!D42</f>
        <v>31</v>
      </c>
      <c r="C29" s="191">
        <v>55</v>
      </c>
      <c r="D29" s="180">
        <f t="shared" si="2"/>
        <v>1705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78">
        <f>'Données projet'!A43</f>
        <v>45</v>
      </c>
      <c r="B30" s="179">
        <f>'Données projet'!D43</f>
        <v>30</v>
      </c>
      <c r="C30" s="191">
        <v>55</v>
      </c>
      <c r="D30" s="180">
        <f t="shared" si="2"/>
        <v>1650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78">
        <f>'Données projet'!A44</f>
        <v>50</v>
      </c>
      <c r="B31" s="179">
        <f>'Données projet'!D44</f>
        <v>28</v>
      </c>
      <c r="C31" s="191">
        <v>55</v>
      </c>
      <c r="D31" s="180">
        <f t="shared" si="2"/>
        <v>1540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78">
        <f>'Données projet'!A45</f>
        <v>55</v>
      </c>
      <c r="B32" s="179">
        <f>'Données projet'!D45</f>
        <v>26</v>
      </c>
      <c r="C32" s="191">
        <v>55</v>
      </c>
      <c r="D32" s="180">
        <f t="shared" si="2"/>
        <v>1430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78">
        <f>'Données projet'!A46</f>
        <v>60</v>
      </c>
      <c r="B33" s="179">
        <f>'Données projet'!D46</f>
        <v>24</v>
      </c>
      <c r="C33" s="191">
        <v>55</v>
      </c>
      <c r="D33" s="180">
        <f t="shared" si="2"/>
        <v>1320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78">
        <f>'Données projet'!A47</f>
        <v>65</v>
      </c>
      <c r="B34" s="179">
        <f>'Données projet'!D47</f>
        <v>22</v>
      </c>
      <c r="C34" s="191">
        <v>55</v>
      </c>
      <c r="D34" s="180">
        <f t="shared" si="2"/>
        <v>1210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78">
        <f>'Données projet'!A48</f>
        <v>70</v>
      </c>
      <c r="B35" s="179">
        <f>'Données projet'!D48</f>
        <v>21</v>
      </c>
      <c r="C35" s="191">
        <v>55</v>
      </c>
      <c r="D35" s="180">
        <f t="shared" si="2"/>
        <v>1155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78">
        <f>'Données projet'!A49</f>
        <v>75</v>
      </c>
      <c r="B36" s="179">
        <f>'Données projet'!D49</f>
        <v>19</v>
      </c>
      <c r="C36" s="191">
        <v>55</v>
      </c>
      <c r="D36" s="180">
        <f t="shared" si="2"/>
        <v>1045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78">
        <f>'Données projet'!A50</f>
        <v>80</v>
      </c>
      <c r="B37" s="179">
        <f>'Données projet'!D50</f>
        <v>17</v>
      </c>
      <c r="C37" s="191">
        <v>55</v>
      </c>
      <c r="D37" s="180">
        <f t="shared" si="2"/>
        <v>935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78">
        <f>'Données projet'!A51</f>
        <v>85</v>
      </c>
      <c r="B38" s="179">
        <f>'Données projet'!D51</f>
        <v>16</v>
      </c>
      <c r="C38" s="191">
        <v>55</v>
      </c>
      <c r="D38" s="180">
        <f t="shared" si="2"/>
        <v>880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78">
        <f>'Données projet'!A52</f>
        <v>90</v>
      </c>
      <c r="B39" s="179">
        <f>'Données projet'!D52</f>
        <v>14</v>
      </c>
      <c r="C39" s="191">
        <v>55</v>
      </c>
      <c r="D39" s="180">
        <f t="shared" si="2"/>
        <v>770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78">
        <f>'Données projet'!A53</f>
        <v>95</v>
      </c>
      <c r="B40" s="179">
        <f>'Données projet'!D53</f>
        <v>13</v>
      </c>
      <c r="C40" s="191">
        <v>55</v>
      </c>
      <c r="D40" s="180">
        <f t="shared" si="2"/>
        <v>715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78">
        <f>'Données projet'!A54</f>
        <v>100</v>
      </c>
      <c r="B41" s="179">
        <f>'Données projet'!D54</f>
        <v>13</v>
      </c>
      <c r="C41" s="191">
        <v>55</v>
      </c>
      <c r="D41" s="180">
        <f t="shared" si="2"/>
        <v>715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2" t="str">
        <f>IF('Données projet'!$B$10="","",'Données projet'!$B$10)</f>
        <v>Robinier faux-acacia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7" t="s">
        <v>132</v>
      </c>
      <c r="C48" s="196" t="s">
        <v>132</v>
      </c>
      <c r="D48" s="195" t="s">
        <v>132</v>
      </c>
      <c r="E48" s="191">
        <v>1423.07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5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5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78">
        <f>'Données projet'!A62</f>
        <v>5</v>
      </c>
      <c r="B54" s="179">
        <f>'Données projet'!D62</f>
        <v>6</v>
      </c>
      <c r="C54" s="189">
        <v>20</v>
      </c>
      <c r="D54" s="177">
        <f>B54*C54</f>
        <v>120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78">
        <f>'Données projet'!A63</f>
        <v>10</v>
      </c>
      <c r="B55" s="179">
        <f>'Données projet'!D63</f>
        <v>28</v>
      </c>
      <c r="C55" s="189">
        <v>20</v>
      </c>
      <c r="D55" s="177">
        <f t="shared" ref="D55:D73" si="4">B55*C55</f>
        <v>560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78">
        <f>'Données projet'!A64</f>
        <v>15</v>
      </c>
      <c r="B56" s="179">
        <f>'Données projet'!D64</f>
        <v>23</v>
      </c>
      <c r="C56" s="189">
        <v>20</v>
      </c>
      <c r="D56" s="177">
        <f t="shared" si="4"/>
        <v>460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78">
        <f>'Données projet'!A65</f>
        <v>20</v>
      </c>
      <c r="B57" s="179">
        <f>'Données projet'!D65</f>
        <v>18</v>
      </c>
      <c r="C57" s="189">
        <v>20</v>
      </c>
      <c r="D57" s="177">
        <f t="shared" si="4"/>
        <v>360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78">
        <f>'Données projet'!A66</f>
        <v>25</v>
      </c>
      <c r="B58" s="179">
        <f>'Données projet'!D66</f>
        <v>14</v>
      </c>
      <c r="C58" s="189">
        <v>20</v>
      </c>
      <c r="D58" s="177">
        <f t="shared" si="4"/>
        <v>280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78">
        <f>'Données projet'!A67</f>
        <v>30</v>
      </c>
      <c r="B59" s="179">
        <f>'Données projet'!D67</f>
        <v>11</v>
      </c>
      <c r="C59" s="189">
        <v>20</v>
      </c>
      <c r="D59" s="177">
        <f t="shared" si="4"/>
        <v>220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78">
        <f>'Données projet'!A68</f>
        <v>35</v>
      </c>
      <c r="B60" s="179">
        <f>'Données projet'!D68</f>
        <v>9</v>
      </c>
      <c r="C60" s="189">
        <v>55</v>
      </c>
      <c r="D60" s="177">
        <f t="shared" si="4"/>
        <v>495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78">
        <f>'Données projet'!A69</f>
        <v>40</v>
      </c>
      <c r="B61" s="179">
        <f>'Données projet'!D69</f>
        <v>7</v>
      </c>
      <c r="C61" s="189">
        <v>55</v>
      </c>
      <c r="D61" s="177">
        <f t="shared" si="4"/>
        <v>385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78">
        <f>'Données projet'!A70</f>
        <v>45</v>
      </c>
      <c r="B62" s="179">
        <f>'Données projet'!D70</f>
        <v>7</v>
      </c>
      <c r="C62" s="189">
        <v>55</v>
      </c>
      <c r="D62" s="177">
        <f t="shared" si="4"/>
        <v>385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78">
        <f>'Données projet'!A71</f>
        <v>0</v>
      </c>
      <c r="B63" s="179">
        <f>'Données projet'!D71</f>
        <v>0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78">
        <f>'Données projet'!A72</f>
        <v>0</v>
      </c>
      <c r="B64" s="179">
        <f>'Données projet'!D72</f>
        <v>0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0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78">
        <f>'Données projet'!A73</f>
        <v>0</v>
      </c>
      <c r="B65" s="179">
        <f>'Données projet'!D73</f>
        <v>0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0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78">
        <f>'Données projet'!A74</f>
        <v>0</v>
      </c>
      <c r="B66" s="179">
        <f>'Données projet'!D74</f>
        <v>0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0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78">
        <f>'Données projet'!A75</f>
        <v>0</v>
      </c>
      <c r="B67" s="179">
        <f>'Données projet'!D75</f>
        <v>0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0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78">
        <f>'Données projet'!A76</f>
        <v>0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0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0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0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0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0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0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0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0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2" t="str">
        <f>IF('Données projet'!B11="","",'Données projet'!B11)</f>
        <v>Séquoia toujours vert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>
        <f>IF(O75+1&lt;=MIN('Données projet'!$E$9:$E$18),O75+1,"STOP")</f>
        <v>43</v>
      </c>
      <c r="P76" s="183">
        <f t="shared" si="5"/>
        <v>0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>
        <f>IF(O76+1&lt;=MIN('Données projet'!$E$9:$E$18),O76+1,"STOP")</f>
        <v>44</v>
      </c>
      <c r="P77" s="183">
        <f t="shared" si="5"/>
        <v>0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>
        <f>IF(O77+1&lt;=MIN('Données projet'!$E$9:$E$18),O77+1,"STOP")</f>
        <v>45</v>
      </c>
      <c r="P78" s="183">
        <f t="shared" si="5"/>
        <v>0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7" t="s">
        <v>132</v>
      </c>
      <c r="C79" s="196" t="s">
        <v>132</v>
      </c>
      <c r="D79" s="195" t="s">
        <v>132</v>
      </c>
      <c r="E79" s="191">
        <v>3547.3</v>
      </c>
      <c r="F79" s="229"/>
      <c r="G79" s="204"/>
      <c r="H79" s="188"/>
      <c r="I79" s="189"/>
      <c r="J79" s="4"/>
      <c r="K79" s="171"/>
      <c r="L79" s="4"/>
      <c r="M79" s="4"/>
      <c r="N79" s="4"/>
      <c r="O79" s="192" t="str">
        <f>IF(O78+1&lt;=MIN('Données projet'!$E$9:$E$18),O78+1,"STOP")</f>
        <v>STOP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78">
        <f>'Données projet'!A88</f>
        <v>17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78">
        <f>'Données projet'!A89</f>
        <v>18</v>
      </c>
      <c r="B86" s="179">
        <f>'Données projet'!D89</f>
        <v>74.819999999999993</v>
      </c>
      <c r="C86" s="189">
        <v>20</v>
      </c>
      <c r="D86" s="177">
        <f t="shared" ref="D86:D104" si="6">B86*C86</f>
        <v>1496.3999999999999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78">
        <f>'Données projet'!A90</f>
        <v>24</v>
      </c>
      <c r="B87" s="179">
        <f>'Données projet'!D90</f>
        <v>51.39</v>
      </c>
      <c r="C87" s="189">
        <v>20</v>
      </c>
      <c r="D87" s="177">
        <f t="shared" si="6"/>
        <v>1027.8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78">
        <f>'Données projet'!A91</f>
        <v>30</v>
      </c>
      <c r="B88" s="179">
        <f>'Données projet'!D91</f>
        <v>80.97</v>
      </c>
      <c r="C88" s="189">
        <v>20</v>
      </c>
      <c r="D88" s="177">
        <f t="shared" si="6"/>
        <v>1619.4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78">
        <f>'Données projet'!A92</f>
        <v>36</v>
      </c>
      <c r="B89" s="179">
        <f>'Données projet'!D92</f>
        <v>85.88</v>
      </c>
      <c r="C89" s="189">
        <v>72</v>
      </c>
      <c r="D89" s="177">
        <f t="shared" si="6"/>
        <v>6183.36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78">
        <f>'Données projet'!A93</f>
        <v>42</v>
      </c>
      <c r="B90" s="179">
        <f>'Données projet'!D93</f>
        <v>91.25</v>
      </c>
      <c r="C90" s="189">
        <v>72</v>
      </c>
      <c r="D90" s="177">
        <f t="shared" si="6"/>
        <v>6570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78">
        <f>'Données projet'!A94</f>
        <v>48</v>
      </c>
      <c r="B91" s="179">
        <f>'Données projet'!D94</f>
        <v>101.34</v>
      </c>
      <c r="C91" s="189">
        <v>72</v>
      </c>
      <c r="D91" s="177">
        <f t="shared" si="6"/>
        <v>7296.4800000000005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78">
        <f>'Données projet'!A95</f>
        <v>54</v>
      </c>
      <c r="B92" s="179">
        <f>'Données projet'!D95</f>
        <v>707.75</v>
      </c>
      <c r="C92" s="189">
        <v>72</v>
      </c>
      <c r="D92" s="177">
        <f t="shared" si="6"/>
        <v>50958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2" t="str">
        <f>IF('Données projet'!B12="","",'Données projet'!B12)</f>
        <v>Charme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7" t="s">
        <v>132</v>
      </c>
      <c r="C110" s="196" t="s">
        <v>132</v>
      </c>
      <c r="D110" s="195" t="s">
        <v>132</v>
      </c>
      <c r="E110" s="191">
        <v>1556.03</v>
      </c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78">
        <f>'Données projet'!A114</f>
        <v>30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78">
        <f>'Données projet'!A115</f>
        <v>35</v>
      </c>
      <c r="B117" s="179">
        <f>'Données projet'!D115</f>
        <v>69.58</v>
      </c>
      <c r="C117" s="189">
        <v>55</v>
      </c>
      <c r="D117" s="177">
        <f t="shared" ref="D117:D135" si="8">B117*C117</f>
        <v>3826.9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78">
        <f>'Données projet'!A116</f>
        <v>41</v>
      </c>
      <c r="B118" s="179">
        <f>'Données projet'!D116</f>
        <v>47.41</v>
      </c>
      <c r="C118" s="189">
        <v>55</v>
      </c>
      <c r="D118" s="177">
        <f t="shared" si="8"/>
        <v>2607.5499999999997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78">
        <f>'Données projet'!A117</f>
        <v>48</v>
      </c>
      <c r="B119" s="179">
        <f>'Données projet'!D117</f>
        <v>61.12</v>
      </c>
      <c r="C119" s="189">
        <v>55</v>
      </c>
      <c r="D119" s="177">
        <f t="shared" si="8"/>
        <v>3361.6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78">
        <f>'Données projet'!A118</f>
        <v>55</v>
      </c>
      <c r="B120" s="179">
        <f>'Données projet'!D118</f>
        <v>58.24</v>
      </c>
      <c r="C120" s="189">
        <v>55</v>
      </c>
      <c r="D120" s="177">
        <f t="shared" si="8"/>
        <v>3203.2000000000003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78">
        <f>'Données projet'!A119</f>
        <v>63</v>
      </c>
      <c r="B121" s="179">
        <f>'Données projet'!D119</f>
        <v>54.21</v>
      </c>
      <c r="C121" s="189">
        <v>55</v>
      </c>
      <c r="D121" s="177">
        <f t="shared" si="8"/>
        <v>2981.55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78">
        <f>'Données projet'!A120</f>
        <v>71</v>
      </c>
      <c r="B122" s="179">
        <f>'Données projet'!D120</f>
        <v>52.07</v>
      </c>
      <c r="C122" s="189">
        <v>55</v>
      </c>
      <c r="D122" s="177">
        <f t="shared" si="8"/>
        <v>2863.85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78">
        <f>'Données projet'!A121</f>
        <v>80</v>
      </c>
      <c r="B123" s="179">
        <f>'Données projet'!D121</f>
        <v>59.57</v>
      </c>
      <c r="C123" s="189">
        <v>55</v>
      </c>
      <c r="D123" s="177">
        <f t="shared" si="8"/>
        <v>3276.35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78">
        <f>'Données projet'!A122</f>
        <v>89</v>
      </c>
      <c r="B124" s="179">
        <f>'Données projet'!D122</f>
        <v>64.5</v>
      </c>
      <c r="C124" s="189">
        <v>55</v>
      </c>
      <c r="D124" s="177">
        <f t="shared" si="8"/>
        <v>3547.5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78">
        <f>'Données projet'!A123</f>
        <v>99</v>
      </c>
      <c r="B125" s="179">
        <f>'Données projet'!D123</f>
        <v>62.94</v>
      </c>
      <c r="C125" s="189">
        <v>55</v>
      </c>
      <c r="D125" s="177">
        <f t="shared" si="8"/>
        <v>3461.7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78">
        <f>'Données projet'!A124</f>
        <v>109</v>
      </c>
      <c r="B126" s="179">
        <f>'Données projet'!D124</f>
        <v>66.959999999999994</v>
      </c>
      <c r="C126" s="189">
        <v>55</v>
      </c>
      <c r="D126" s="177">
        <f t="shared" si="8"/>
        <v>3682.7999999999997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78">
        <f>'Données projet'!A125</f>
        <v>119</v>
      </c>
      <c r="B127" s="179">
        <f>'Données projet'!D125</f>
        <v>196.46</v>
      </c>
      <c r="C127" s="189">
        <v>55</v>
      </c>
      <c r="D127" s="177">
        <f t="shared" si="8"/>
        <v>10805.300000000001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78">
        <f>'Données projet'!A126</f>
        <v>123</v>
      </c>
      <c r="B128" s="179">
        <f>'Données projet'!D126</f>
        <v>100.6</v>
      </c>
      <c r="C128" s="189">
        <v>55</v>
      </c>
      <c r="D128" s="177">
        <f t="shared" si="8"/>
        <v>5533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78">
        <f>'Données projet'!A127</f>
        <v>127</v>
      </c>
      <c r="B129" s="179">
        <f>'Données projet'!D127</f>
        <v>65.02</v>
      </c>
      <c r="C129" s="189">
        <v>55</v>
      </c>
      <c r="D129" s="177">
        <f t="shared" si="8"/>
        <v>3576.1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78">
        <f>'Données projet'!A128</f>
        <v>131</v>
      </c>
      <c r="B130" s="179">
        <f>'Données projet'!D128</f>
        <v>143.84</v>
      </c>
      <c r="C130" s="189">
        <v>55</v>
      </c>
      <c r="D130" s="177">
        <f t="shared" si="8"/>
        <v>7911.2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2" t="str">
        <f>IF('Données projet'!B13="","",'Données projet'!B13)</f>
        <v>Tulipier de Virginie</v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7" t="s">
        <v>132</v>
      </c>
      <c r="C141" s="196" t="s">
        <v>132</v>
      </c>
      <c r="D141" s="195" t="s">
        <v>132</v>
      </c>
      <c r="E141" s="191">
        <v>2780.09</v>
      </c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10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15</v>
      </c>
      <c r="B148" s="173">
        <f>'Données projet'!D141</f>
        <v>0</v>
      </c>
      <c r="C148" s="189"/>
      <c r="D148" s="180">
        <f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20</v>
      </c>
      <c r="B149" s="173">
        <f>'Données projet'!D142</f>
        <v>54</v>
      </c>
      <c r="C149" s="189">
        <v>20</v>
      </c>
      <c r="D149" s="180">
        <f t="shared" ref="D149:D166" si="10">B149*C149</f>
        <v>1080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25</v>
      </c>
      <c r="B150" s="173">
        <f>'Données projet'!D143</f>
        <v>26</v>
      </c>
      <c r="C150" s="189">
        <v>20</v>
      </c>
      <c r="D150" s="180">
        <f t="shared" si="10"/>
        <v>520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30</v>
      </c>
      <c r="B151" s="173">
        <f>'Données projet'!D144</f>
        <v>27</v>
      </c>
      <c r="C151" s="189">
        <v>20</v>
      </c>
      <c r="D151" s="180">
        <f t="shared" si="10"/>
        <v>540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35</v>
      </c>
      <c r="B152" s="173">
        <f>'Données projet'!D145</f>
        <v>27</v>
      </c>
      <c r="C152" s="189">
        <v>55</v>
      </c>
      <c r="D152" s="180">
        <f t="shared" si="10"/>
        <v>1485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40</v>
      </c>
      <c r="B153" s="173">
        <f>'Données projet'!D146</f>
        <v>27</v>
      </c>
      <c r="C153" s="189">
        <v>55</v>
      </c>
      <c r="D153" s="180">
        <f t="shared" si="10"/>
        <v>1485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45</v>
      </c>
      <c r="B154" s="173">
        <f>'Données projet'!D147</f>
        <v>26</v>
      </c>
      <c r="C154" s="189">
        <v>55</v>
      </c>
      <c r="D154" s="180">
        <f t="shared" si="10"/>
        <v>1430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50</v>
      </c>
      <c r="B155" s="173">
        <f>'Données projet'!D148</f>
        <v>24</v>
      </c>
      <c r="C155" s="189">
        <v>55</v>
      </c>
      <c r="D155" s="180">
        <f t="shared" si="10"/>
        <v>1320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55</v>
      </c>
      <c r="B156" s="173">
        <f>'Données projet'!D149</f>
        <v>23</v>
      </c>
      <c r="C156" s="189">
        <v>55</v>
      </c>
      <c r="D156" s="180">
        <f t="shared" si="10"/>
        <v>1265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60</v>
      </c>
      <c r="B157" s="173">
        <f>'Données projet'!D150</f>
        <v>21</v>
      </c>
      <c r="C157" s="189">
        <v>55</v>
      </c>
      <c r="D157" s="180">
        <f t="shared" si="10"/>
        <v>1155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65</v>
      </c>
      <c r="B158" s="173">
        <f>'Données projet'!D151</f>
        <v>20</v>
      </c>
      <c r="C158" s="189">
        <v>55</v>
      </c>
      <c r="D158" s="180">
        <f t="shared" si="10"/>
        <v>1100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70</v>
      </c>
      <c r="B159" s="173">
        <f>'Données projet'!D152</f>
        <v>18</v>
      </c>
      <c r="C159" s="189">
        <v>55</v>
      </c>
      <c r="D159" s="180">
        <f t="shared" si="10"/>
        <v>990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75</v>
      </c>
      <c r="B160" s="173">
        <f>'Données projet'!D153</f>
        <v>16</v>
      </c>
      <c r="C160" s="189">
        <v>55</v>
      </c>
      <c r="D160" s="180">
        <f t="shared" si="10"/>
        <v>880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80</v>
      </c>
      <c r="B161" s="173">
        <f>'Données projet'!D154</f>
        <v>15</v>
      </c>
      <c r="C161" s="189">
        <v>55</v>
      </c>
      <c r="D161" s="180">
        <f t="shared" si="10"/>
        <v>825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85</v>
      </c>
      <c r="B162" s="173">
        <f>'Données projet'!D155</f>
        <v>14</v>
      </c>
      <c r="C162" s="189">
        <v>55</v>
      </c>
      <c r="D162" s="180">
        <f t="shared" si="10"/>
        <v>770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90</v>
      </c>
      <c r="B163" s="173">
        <f>'Données projet'!D156</f>
        <v>12</v>
      </c>
      <c r="C163" s="189">
        <v>55</v>
      </c>
      <c r="D163" s="180">
        <f t="shared" si="10"/>
        <v>660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95</v>
      </c>
      <c r="B164" s="173">
        <f>'Données projet'!D157</f>
        <v>12</v>
      </c>
      <c r="C164" s="189">
        <v>55</v>
      </c>
      <c r="D164" s="180">
        <f t="shared" si="10"/>
        <v>660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100</v>
      </c>
      <c r="B165" s="173">
        <f>'Données projet'!D158</f>
        <v>12</v>
      </c>
      <c r="C165" s="189">
        <v>55</v>
      </c>
      <c r="D165" s="180">
        <f t="shared" si="10"/>
        <v>660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Goulven Kersante</cp:lastModifiedBy>
  <dcterms:created xsi:type="dcterms:W3CDTF">2021-02-01T08:22:39Z</dcterms:created>
  <dcterms:modified xsi:type="dcterms:W3CDTF">2025-01-13T09:20:11Z</dcterms:modified>
</cp:coreProperties>
</file>